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s\Desktop\propostas\"/>
    </mc:Choice>
  </mc:AlternateContent>
  <bookViews>
    <workbookView xWindow="0" yWindow="0" windowWidth="29010" windowHeight="11985" tabRatio="500"/>
  </bookViews>
  <sheets>
    <sheet name="Modelo de Proposta" sheetId="10" r:id="rId1"/>
    <sheet name="MC" sheetId="1" r:id="rId2"/>
    <sheet name="Insumos" sheetId="2" r:id="rId3"/>
    <sheet name="Resumo Proposta" sheetId="3" r:id="rId4"/>
    <sheet name="Prod. GEXCHA" sheetId="4" r:id="rId5"/>
    <sheet name="GEXCHA Limp.Ord. " sheetId="5" r:id="rId6"/>
    <sheet name="GEXCHA Covid  " sheetId="6" r:id="rId7"/>
    <sheet name="Prod. GEXCRI" sheetId="7" r:id="rId8"/>
    <sheet name="GEXCRI Limp.Ord. " sheetId="8" r:id="rId9"/>
    <sheet name="GEXCRI Covid " sheetId="9" r:id="rId10"/>
  </sheets>
  <definedNames>
    <definedName name="_xlnm._FilterDatabase" localSheetId="4">'Prod. GEXCHA'!$A$2:$AB$2</definedName>
    <definedName name="_xlnm._FilterDatabase" localSheetId="7">'Prod. GEXCRI'!$A$2:$AB$2</definedName>
    <definedName name="_xlnm.Print_Area" localSheetId="0">'Modelo de Proposta'!$B$1:$H$30</definedName>
    <definedName name="Print_Area" localSheetId="6">'GEXCHA Covid  '!$A$1:$D$144</definedName>
    <definedName name="Print_Area" localSheetId="5">'GEXCHA Limp.Ord. '!$A$1:$D$192</definedName>
    <definedName name="Print_Area" localSheetId="9">'GEXCRI Covid '!$A$1:$D$144</definedName>
    <definedName name="Print_Area" localSheetId="8">'GEXCRI Limp.Ord. '!$A$1:$D$192</definedName>
    <definedName name="Print_Area" localSheetId="1">MC!$A$3:$V$20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6" i="2" l="1"/>
  <c r="D121" i="9" l="1"/>
  <c r="C121" i="9"/>
  <c r="B110" i="9"/>
  <c r="B109" i="9" s="1"/>
  <c r="B107" i="9"/>
  <c r="B106" i="9" s="1"/>
  <c r="B104" i="9"/>
  <c r="B103" i="9" s="1"/>
  <c r="B101" i="9"/>
  <c r="B100" i="9" s="1"/>
  <c r="B98" i="9"/>
  <c r="B97" i="9" s="1"/>
  <c r="D78" i="9"/>
  <c r="B78" i="9"/>
  <c r="B74" i="9"/>
  <c r="B79" i="9" s="1"/>
  <c r="C72" i="9"/>
  <c r="C78" i="9" s="1"/>
  <c r="B67" i="9"/>
  <c r="B66" i="9"/>
  <c r="B65" i="9"/>
  <c r="B64" i="9"/>
  <c r="B59" i="9"/>
  <c r="B58" i="9"/>
  <c r="B57" i="9"/>
  <c r="B55" i="9"/>
  <c r="B54" i="9"/>
  <c r="B60" i="9" s="1"/>
  <c r="B46" i="9"/>
  <c r="B42" i="9"/>
  <c r="B40" i="9"/>
  <c r="B36" i="9"/>
  <c r="B47" i="9" s="1"/>
  <c r="B25" i="9"/>
  <c r="B24" i="9"/>
  <c r="B23" i="9"/>
  <c r="D8" i="9"/>
  <c r="C8" i="9"/>
  <c r="D7" i="9"/>
  <c r="C7" i="9"/>
  <c r="D6" i="9"/>
  <c r="C6" i="9"/>
  <c r="C5" i="9"/>
  <c r="C13" i="9" s="1"/>
  <c r="B189" i="8"/>
  <c r="B186" i="8"/>
  <c r="B183" i="8"/>
  <c r="B177" i="8"/>
  <c r="B174" i="8"/>
  <c r="B171" i="8"/>
  <c r="B165" i="8"/>
  <c r="B159" i="8"/>
  <c r="B153" i="8"/>
  <c r="B147" i="8"/>
  <c r="F121" i="8"/>
  <c r="E121" i="8"/>
  <c r="D121" i="8"/>
  <c r="C121" i="8"/>
  <c r="B110" i="8"/>
  <c r="B109" i="8" s="1"/>
  <c r="B107" i="8"/>
  <c r="B106" i="8" s="1"/>
  <c r="B104" i="8"/>
  <c r="B103" i="8" s="1"/>
  <c r="B101" i="8"/>
  <c r="B100" i="8" s="1"/>
  <c r="B98" i="8"/>
  <c r="B97" i="8" s="1"/>
  <c r="B96" i="8"/>
  <c r="B95" i="8"/>
  <c r="F90" i="8"/>
  <c r="B79" i="8"/>
  <c r="F78" i="8"/>
  <c r="E78" i="8"/>
  <c r="D78" i="8"/>
  <c r="B78" i="8"/>
  <c r="B74" i="8"/>
  <c r="C72" i="8"/>
  <c r="C78" i="8" s="1"/>
  <c r="B67" i="8"/>
  <c r="B66" i="8"/>
  <c r="B64" i="8"/>
  <c r="B59" i="8"/>
  <c r="B57" i="8"/>
  <c r="B55" i="8"/>
  <c r="B54" i="8"/>
  <c r="B42" i="8"/>
  <c r="E40" i="8"/>
  <c r="B40" i="8"/>
  <c r="B36" i="8"/>
  <c r="B24" i="8"/>
  <c r="B23" i="8"/>
  <c r="F8" i="8"/>
  <c r="F6" i="8"/>
  <c r="F5" i="8"/>
  <c r="F13" i="8" s="1"/>
  <c r="C5" i="8"/>
  <c r="C13" i="8" s="1"/>
  <c r="L29" i="7"/>
  <c r="J21" i="7" s="1"/>
  <c r="J22" i="7" s="1"/>
  <c r="L28" i="7"/>
  <c r="K21" i="7" s="1"/>
  <c r="J28" i="7"/>
  <c r="L22" i="7"/>
  <c r="K22" i="7"/>
  <c r="G22" i="7"/>
  <c r="F22" i="7"/>
  <c r="C22" i="7"/>
  <c r="L21" i="7"/>
  <c r="I21" i="7"/>
  <c r="H21" i="7"/>
  <c r="H22" i="7" s="1"/>
  <c r="G21" i="7"/>
  <c r="F21" i="7"/>
  <c r="E21" i="7"/>
  <c r="D21" i="7"/>
  <c r="D22" i="7" s="1"/>
  <c r="C21" i="7"/>
  <c r="L19" i="7"/>
  <c r="J19" i="7"/>
  <c r="F19" i="7"/>
  <c r="E19" i="7"/>
  <c r="AB17" i="7"/>
  <c r="Z17" i="7"/>
  <c r="Y17" i="7"/>
  <c r="X17" i="7"/>
  <c r="W17" i="7"/>
  <c r="V17" i="7"/>
  <c r="U17" i="7"/>
  <c r="T17" i="7"/>
  <c r="S17" i="7"/>
  <c r="R17" i="7"/>
  <c r="Q17" i="7"/>
  <c r="P17" i="7"/>
  <c r="Q18" i="7" s="1"/>
  <c r="O17" i="7"/>
  <c r="O19" i="7" s="1"/>
  <c r="N17" i="7"/>
  <c r="L17" i="7"/>
  <c r="K17" i="7"/>
  <c r="K19" i="7" s="1"/>
  <c r="J17" i="7"/>
  <c r="J20" i="7" s="1"/>
  <c r="I17" i="7"/>
  <c r="I19" i="7" s="1"/>
  <c r="H17" i="7"/>
  <c r="G17" i="7"/>
  <c r="F17" i="7"/>
  <c r="E17" i="7"/>
  <c r="D17" i="7"/>
  <c r="D19" i="7" s="1"/>
  <c r="C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D121" i="6"/>
  <c r="C121" i="6"/>
  <c r="B110" i="6"/>
  <c r="B109" i="6" s="1"/>
  <c r="B107" i="6"/>
  <c r="B106" i="6"/>
  <c r="B104" i="6"/>
  <c r="B103" i="6" s="1"/>
  <c r="B101" i="6"/>
  <c r="B100" i="6"/>
  <c r="B98" i="6"/>
  <c r="B97" i="6" s="1"/>
  <c r="D78" i="6"/>
  <c r="B78" i="6"/>
  <c r="B74" i="6"/>
  <c r="B79" i="6" s="1"/>
  <c r="C72" i="6"/>
  <c r="C78" i="6" s="1"/>
  <c r="B67" i="6"/>
  <c r="B66" i="6"/>
  <c r="B64" i="6"/>
  <c r="B59" i="6"/>
  <c r="B57" i="6"/>
  <c r="B54" i="6"/>
  <c r="B55" i="6" s="1"/>
  <c r="B42" i="6"/>
  <c r="B40" i="6"/>
  <c r="B36" i="6"/>
  <c r="B24" i="6"/>
  <c r="B23" i="6"/>
  <c r="C13" i="6"/>
  <c r="D8" i="6"/>
  <c r="C8" i="6"/>
  <c r="D7" i="6"/>
  <c r="C7" i="6"/>
  <c r="D6" i="6"/>
  <c r="C6" i="6"/>
  <c r="C5" i="6"/>
  <c r="B189" i="5"/>
  <c r="B186" i="5"/>
  <c r="B183" i="5"/>
  <c r="B177" i="5"/>
  <c r="B178" i="5" s="1"/>
  <c r="B174" i="5"/>
  <c r="B171" i="5"/>
  <c r="B165" i="5"/>
  <c r="B159" i="5"/>
  <c r="B154" i="5"/>
  <c r="B153" i="5"/>
  <c r="B147" i="5"/>
  <c r="F121" i="5"/>
  <c r="E121" i="5"/>
  <c r="D121" i="5"/>
  <c r="C121" i="5"/>
  <c r="B110" i="5"/>
  <c r="B109" i="5"/>
  <c r="B107" i="5"/>
  <c r="B106" i="5" s="1"/>
  <c r="B104" i="5"/>
  <c r="B103" i="5"/>
  <c r="B101" i="5"/>
  <c r="B100" i="5" s="1"/>
  <c r="B98" i="5"/>
  <c r="B97" i="5"/>
  <c r="B96" i="5"/>
  <c r="B95" i="5"/>
  <c r="F90" i="5"/>
  <c r="F78" i="5"/>
  <c r="E78" i="5"/>
  <c r="D78" i="5"/>
  <c r="B78" i="5"/>
  <c r="B74" i="5"/>
  <c r="B79" i="5" s="1"/>
  <c r="C72" i="5"/>
  <c r="C78" i="5" s="1"/>
  <c r="B67" i="5"/>
  <c r="B66" i="5"/>
  <c r="B65" i="5"/>
  <c r="B64" i="5"/>
  <c r="B59" i="5"/>
  <c r="B58" i="5"/>
  <c r="B57" i="5"/>
  <c r="B55" i="5"/>
  <c r="B54" i="5"/>
  <c r="B42" i="5"/>
  <c r="E40" i="5"/>
  <c r="B40" i="5"/>
  <c r="B36" i="5"/>
  <c r="B47" i="5" s="1"/>
  <c r="B24" i="5"/>
  <c r="B23" i="5"/>
  <c r="F8" i="5"/>
  <c r="F6" i="5"/>
  <c r="F5" i="5"/>
  <c r="F13" i="5" s="1"/>
  <c r="C5" i="5"/>
  <c r="C13" i="5" s="1"/>
  <c r="C14" i="5" s="1"/>
  <c r="L32" i="4"/>
  <c r="J32" i="4"/>
  <c r="I26" i="4"/>
  <c r="E26" i="4"/>
  <c r="D26" i="4"/>
  <c r="I25" i="4"/>
  <c r="H25" i="4"/>
  <c r="H26" i="4" s="1"/>
  <c r="G25" i="4"/>
  <c r="F25" i="4"/>
  <c r="F26" i="4" s="1"/>
  <c r="E25" i="4"/>
  <c r="D25" i="4"/>
  <c r="C25" i="4"/>
  <c r="O23" i="4"/>
  <c r="K23" i="4"/>
  <c r="J23" i="4"/>
  <c r="I23" i="4"/>
  <c r="G23" i="4"/>
  <c r="F23" i="4"/>
  <c r="E23" i="4"/>
  <c r="C23" i="4"/>
  <c r="O22" i="4"/>
  <c r="AB21" i="4"/>
  <c r="Z21" i="4"/>
  <c r="Y21" i="4"/>
  <c r="X21" i="4"/>
  <c r="W21" i="4"/>
  <c r="V21" i="4"/>
  <c r="U21" i="4"/>
  <c r="T21" i="4"/>
  <c r="S21" i="4"/>
  <c r="R21" i="4"/>
  <c r="Q21" i="4"/>
  <c r="P21" i="4"/>
  <c r="Q22" i="4" s="1"/>
  <c r="O21" i="4"/>
  <c r="N21" i="4"/>
  <c r="L21" i="4"/>
  <c r="L23" i="4" s="1"/>
  <c r="K21" i="4"/>
  <c r="J21" i="4"/>
  <c r="J24" i="4" s="1"/>
  <c r="I21" i="4"/>
  <c r="H21" i="4"/>
  <c r="G21" i="4"/>
  <c r="F21" i="4"/>
  <c r="E21" i="4"/>
  <c r="D21" i="4"/>
  <c r="C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21" i="4" s="1"/>
  <c r="M4" i="4"/>
  <c r="W37" i="3"/>
  <c r="U37" i="3"/>
  <c r="S37" i="3"/>
  <c r="Q37" i="3"/>
  <c r="O37" i="3"/>
  <c r="M37" i="3"/>
  <c r="K37" i="3"/>
  <c r="I37" i="3"/>
  <c r="G37" i="3"/>
  <c r="E37" i="3"/>
  <c r="D36" i="3"/>
  <c r="B16" i="7" s="1"/>
  <c r="D35" i="3"/>
  <c r="B15" i="7" s="1"/>
  <c r="D34" i="3"/>
  <c r="B14" i="7" s="1"/>
  <c r="D33" i="3"/>
  <c r="B13" i="7" s="1"/>
  <c r="D32" i="3"/>
  <c r="B12" i="7" s="1"/>
  <c r="D31" i="3"/>
  <c r="B11" i="7" s="1"/>
  <c r="D30" i="3"/>
  <c r="B10" i="7" s="1"/>
  <c r="D29" i="3"/>
  <c r="B9" i="7" s="1"/>
  <c r="D28" i="3"/>
  <c r="B8" i="7" s="1"/>
  <c r="D27" i="3"/>
  <c r="B7" i="7" s="1"/>
  <c r="D26" i="3"/>
  <c r="B6" i="7" s="1"/>
  <c r="D25" i="3"/>
  <c r="B5" i="7" s="1"/>
  <c r="AC24" i="3"/>
  <c r="AC37" i="3" s="1"/>
  <c r="D24" i="3"/>
  <c r="B4" i="7" s="1"/>
  <c r="W23" i="3"/>
  <c r="U23" i="3"/>
  <c r="S23" i="3"/>
  <c r="Q23" i="3"/>
  <c r="O23" i="3"/>
  <c r="M23" i="3"/>
  <c r="K23" i="3"/>
  <c r="I23" i="3"/>
  <c r="G23" i="3"/>
  <c r="E23" i="3"/>
  <c r="D22" i="3"/>
  <c r="B20" i="4" s="1"/>
  <c r="D21" i="3"/>
  <c r="B19" i="4" s="1"/>
  <c r="D20" i="3"/>
  <c r="B18" i="4" s="1"/>
  <c r="D19" i="3"/>
  <c r="B17" i="4" s="1"/>
  <c r="D18" i="3"/>
  <c r="B16" i="4" s="1"/>
  <c r="D17" i="3"/>
  <c r="B15" i="4" s="1"/>
  <c r="D16" i="3"/>
  <c r="B14" i="4" s="1"/>
  <c r="D15" i="3"/>
  <c r="B13" i="4" s="1"/>
  <c r="D14" i="3"/>
  <c r="B12" i="4" s="1"/>
  <c r="D13" i="3"/>
  <c r="B11" i="4" s="1"/>
  <c r="D12" i="3"/>
  <c r="B10" i="4" s="1"/>
  <c r="D11" i="3"/>
  <c r="B9" i="4" s="1"/>
  <c r="D10" i="3"/>
  <c r="B8" i="4" s="1"/>
  <c r="D9" i="3"/>
  <c r="B7" i="4" s="1"/>
  <c r="D8" i="3"/>
  <c r="B6" i="4" s="1"/>
  <c r="D7" i="3"/>
  <c r="B5" i="4" s="1"/>
  <c r="AC6" i="3"/>
  <c r="AC23" i="3" s="1"/>
  <c r="AC39" i="3" s="1"/>
  <c r="G12" i="10" s="1"/>
  <c r="H12" i="10" s="1"/>
  <c r="D6" i="3"/>
  <c r="B4" i="4" s="1"/>
  <c r="H146" i="2"/>
  <c r="B89" i="5" s="1"/>
  <c r="F89" i="5" s="1"/>
  <c r="G133" i="2"/>
  <c r="I133" i="2" s="1"/>
  <c r="G132" i="2"/>
  <c r="D132" i="2"/>
  <c r="C132" i="2"/>
  <c r="H132" i="2" s="1"/>
  <c r="G131" i="2"/>
  <c r="I131" i="2" s="1"/>
  <c r="G130" i="2"/>
  <c r="H130" i="2" s="1"/>
  <c r="G127" i="2"/>
  <c r="H127" i="2" s="1"/>
  <c r="D127" i="2"/>
  <c r="C127" i="2"/>
  <c r="G126" i="2"/>
  <c r="I126" i="2" s="1"/>
  <c r="D126" i="2"/>
  <c r="C126" i="2"/>
  <c r="G125" i="2"/>
  <c r="I125" i="2" s="1"/>
  <c r="D125" i="2"/>
  <c r="C125" i="2"/>
  <c r="G124" i="2"/>
  <c r="D124" i="2"/>
  <c r="I124" i="2" s="1"/>
  <c r="C124" i="2"/>
  <c r="G123" i="2"/>
  <c r="H123" i="2" s="1"/>
  <c r="D123" i="2"/>
  <c r="I123" i="2" s="1"/>
  <c r="C123" i="2"/>
  <c r="G116" i="2"/>
  <c r="H116" i="2" s="1"/>
  <c r="G115" i="2"/>
  <c r="I115" i="2" s="1"/>
  <c r="I114" i="2"/>
  <c r="G114" i="2"/>
  <c r="H114" i="2" s="1"/>
  <c r="G113" i="2"/>
  <c r="I113" i="2" s="1"/>
  <c r="G111" i="2"/>
  <c r="I111" i="2" s="1"/>
  <c r="G110" i="2"/>
  <c r="I110" i="2" s="1"/>
  <c r="G109" i="2"/>
  <c r="H109" i="2" s="1"/>
  <c r="G108" i="2"/>
  <c r="I108" i="2" s="1"/>
  <c r="I107" i="2"/>
  <c r="H107" i="2"/>
  <c r="G107" i="2"/>
  <c r="G106" i="2"/>
  <c r="I106" i="2" s="1"/>
  <c r="I96" i="2"/>
  <c r="H96" i="2"/>
  <c r="G95" i="2"/>
  <c r="I95" i="2" s="1"/>
  <c r="D95" i="2"/>
  <c r="C95" i="2"/>
  <c r="G94" i="2"/>
  <c r="I94" i="2" s="1"/>
  <c r="G93" i="2"/>
  <c r="H93" i="2" s="1"/>
  <c r="G92" i="2"/>
  <c r="I92" i="2" s="1"/>
  <c r="G91" i="2"/>
  <c r="H91" i="2" s="1"/>
  <c r="G90" i="2"/>
  <c r="I90" i="2" s="1"/>
  <c r="G89" i="2"/>
  <c r="I89" i="2" s="1"/>
  <c r="G88" i="2"/>
  <c r="I88" i="2" s="1"/>
  <c r="G87" i="2"/>
  <c r="H87" i="2" s="1"/>
  <c r="F68" i="2"/>
  <c r="C68" i="2"/>
  <c r="G68" i="2" s="1"/>
  <c r="F66" i="2"/>
  <c r="G66" i="2" s="1"/>
  <c r="C66" i="2"/>
  <c r="F65" i="2"/>
  <c r="G65" i="2" s="1"/>
  <c r="F64" i="2"/>
  <c r="C64" i="2"/>
  <c r="F63" i="2"/>
  <c r="G63" i="2" s="1"/>
  <c r="C63" i="2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G10" i="2"/>
  <c r="F10" i="2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D86" i="1"/>
  <c r="F84" i="1"/>
  <c r="E84" i="1"/>
  <c r="J83" i="1"/>
  <c r="E83" i="1"/>
  <c r="F83" i="1" s="1"/>
  <c r="K82" i="1"/>
  <c r="L82" i="1" s="1"/>
  <c r="E82" i="1"/>
  <c r="F82" i="1" s="1"/>
  <c r="K81" i="1"/>
  <c r="L81" i="1" s="1"/>
  <c r="E81" i="1"/>
  <c r="F81" i="1" s="1"/>
  <c r="L80" i="1"/>
  <c r="K80" i="1"/>
  <c r="E80" i="1"/>
  <c r="F80" i="1" s="1"/>
  <c r="K79" i="1"/>
  <c r="L79" i="1" s="1"/>
  <c r="E79" i="1"/>
  <c r="F79" i="1" s="1"/>
  <c r="K78" i="1"/>
  <c r="L78" i="1" s="1"/>
  <c r="E78" i="1"/>
  <c r="F78" i="1" s="1"/>
  <c r="K77" i="1"/>
  <c r="L77" i="1" s="1"/>
  <c r="E77" i="1"/>
  <c r="F77" i="1" s="1"/>
  <c r="L76" i="1"/>
  <c r="K76" i="1"/>
  <c r="E76" i="1"/>
  <c r="F76" i="1" s="1"/>
  <c r="K75" i="1"/>
  <c r="K83" i="1" s="1"/>
  <c r="E75" i="1"/>
  <c r="F75" i="1" s="1"/>
  <c r="K74" i="1"/>
  <c r="L74" i="1" s="1"/>
  <c r="E74" i="1"/>
  <c r="F74" i="1" s="1"/>
  <c r="K73" i="1"/>
  <c r="L73" i="1" s="1"/>
  <c r="E73" i="1"/>
  <c r="F73" i="1" s="1"/>
  <c r="L72" i="1"/>
  <c r="K72" i="1"/>
  <c r="E72" i="1"/>
  <c r="F72" i="1" s="1"/>
  <c r="K71" i="1"/>
  <c r="L71" i="1" s="1"/>
  <c r="E71" i="1"/>
  <c r="F71" i="1" s="1"/>
  <c r="K70" i="1"/>
  <c r="L70" i="1" s="1"/>
  <c r="E70" i="1"/>
  <c r="F70" i="1" s="1"/>
  <c r="E69" i="1"/>
  <c r="F69" i="1" s="1"/>
  <c r="E52" i="1"/>
  <c r="E21" i="1"/>
  <c r="D18" i="1"/>
  <c r="E18" i="1" s="1"/>
  <c r="E17" i="1"/>
  <c r="E11" i="1"/>
  <c r="D5" i="5" s="1"/>
  <c r="D13" i="5" s="1"/>
  <c r="D11" i="1"/>
  <c r="I132" i="2" l="1"/>
  <c r="H126" i="2"/>
  <c r="H125" i="2"/>
  <c r="H124" i="2"/>
  <c r="H122" i="2" s="1"/>
  <c r="H115" i="2"/>
  <c r="H108" i="2"/>
  <c r="H110" i="2"/>
  <c r="H94" i="2"/>
  <c r="H90" i="2"/>
  <c r="I93" i="2"/>
  <c r="H95" i="2"/>
  <c r="G64" i="2"/>
  <c r="G58" i="2"/>
  <c r="C14" i="8"/>
  <c r="C19" i="8"/>
  <c r="L24" i="4"/>
  <c r="C24" i="4"/>
  <c r="K24" i="4"/>
  <c r="G24" i="4"/>
  <c r="F24" i="4"/>
  <c r="G37" i="2"/>
  <c r="G59" i="2" s="1"/>
  <c r="G69" i="2"/>
  <c r="D39" i="9"/>
  <c r="D39" i="8"/>
  <c r="D39" i="5"/>
  <c r="D39" i="6"/>
  <c r="F14" i="8"/>
  <c r="F19" i="8" s="1"/>
  <c r="C39" i="9"/>
  <c r="C39" i="6"/>
  <c r="C39" i="5"/>
  <c r="E39" i="8"/>
  <c r="C39" i="8"/>
  <c r="F39" i="5"/>
  <c r="B41" i="8"/>
  <c r="B41" i="6"/>
  <c r="B25" i="5"/>
  <c r="B46" i="5" s="1"/>
  <c r="B89" i="8"/>
  <c r="F89" i="8" s="1"/>
  <c r="B166" i="8"/>
  <c r="L75" i="1"/>
  <c r="L83" i="1" s="1"/>
  <c r="J84" i="1" s="1"/>
  <c r="I87" i="2"/>
  <c r="H89" i="2"/>
  <c r="H92" i="2"/>
  <c r="I130" i="2"/>
  <c r="I129" i="2" s="1"/>
  <c r="H133" i="2"/>
  <c r="H129" i="2" s="1"/>
  <c r="F14" i="5"/>
  <c r="F19" i="5" s="1"/>
  <c r="F55" i="5" s="1"/>
  <c r="B60" i="5"/>
  <c r="B166" i="5"/>
  <c r="C14" i="6"/>
  <c r="C19" i="6" s="1"/>
  <c r="B58" i="6"/>
  <c r="B47" i="6"/>
  <c r="C55" i="8"/>
  <c r="B160" i="8"/>
  <c r="E5" i="8"/>
  <c r="E13" i="8" s="1"/>
  <c r="E5" i="5"/>
  <c r="E13" i="5" s="1"/>
  <c r="E85" i="1"/>
  <c r="F85" i="1" s="1"/>
  <c r="D87" i="1" s="1"/>
  <c r="H106" i="2"/>
  <c r="H105" i="2" s="1"/>
  <c r="H117" i="2" s="1"/>
  <c r="I109" i="2"/>
  <c r="I105" i="2" s="1"/>
  <c r="H111" i="2"/>
  <c r="H113" i="2"/>
  <c r="H112" i="2" s="1"/>
  <c r="H118" i="2" s="1"/>
  <c r="F84" i="5" s="1"/>
  <c r="F91" i="5" s="1"/>
  <c r="F127" i="5" s="1"/>
  <c r="I116" i="2"/>
  <c r="I112" i="2" s="1"/>
  <c r="H145" i="2"/>
  <c r="D24" i="4"/>
  <c r="M24" i="4" s="1"/>
  <c r="D23" i="4"/>
  <c r="M23" i="4" s="1"/>
  <c r="H24" i="4"/>
  <c r="H23" i="4"/>
  <c r="B187" i="5"/>
  <c r="B175" i="5"/>
  <c r="L33" i="4"/>
  <c r="J25" i="4" s="1"/>
  <c r="J26" i="4" s="1"/>
  <c r="L25" i="4"/>
  <c r="L26" i="4" s="1"/>
  <c r="K25" i="4"/>
  <c r="K26" i="4" s="1"/>
  <c r="B41" i="5"/>
  <c r="B25" i="6"/>
  <c r="B46" i="6" s="1"/>
  <c r="C20" i="7"/>
  <c r="C19" i="7"/>
  <c r="M19" i="7" s="1"/>
  <c r="G19" i="7"/>
  <c r="O18" i="7"/>
  <c r="B58" i="8"/>
  <c r="B47" i="8"/>
  <c r="F39" i="8"/>
  <c r="C14" i="9"/>
  <c r="C19" i="9"/>
  <c r="B41" i="9"/>
  <c r="H88" i="2"/>
  <c r="I91" i="2"/>
  <c r="I127" i="2"/>
  <c r="I122" i="2" s="1"/>
  <c r="H131" i="2"/>
  <c r="E24" i="4"/>
  <c r="I24" i="4"/>
  <c r="C19" i="5"/>
  <c r="E39" i="5"/>
  <c r="B69" i="5"/>
  <c r="B77" i="5" s="1"/>
  <c r="B160" i="5"/>
  <c r="B172" i="5"/>
  <c r="B190" i="5"/>
  <c r="M17" i="7"/>
  <c r="H20" i="7"/>
  <c r="H19" i="7"/>
  <c r="D20" i="7"/>
  <c r="C123" i="8"/>
  <c r="C57" i="8"/>
  <c r="C24" i="8"/>
  <c r="C54" i="8"/>
  <c r="C59" i="8"/>
  <c r="C26" i="4"/>
  <c r="G26" i="4"/>
  <c r="D14" i="5"/>
  <c r="D19" i="5" s="1"/>
  <c r="B25" i="8"/>
  <c r="B46" i="8" s="1"/>
  <c r="D13" i="9"/>
  <c r="D5" i="9"/>
  <c r="D5" i="8"/>
  <c r="D13" i="8" s="1"/>
  <c r="D13" i="6"/>
  <c r="D5" i="6"/>
  <c r="B65" i="8"/>
  <c r="B65" i="6"/>
  <c r="B148" i="5"/>
  <c r="B184" i="5"/>
  <c r="C23" i="8"/>
  <c r="C25" i="8" s="1"/>
  <c r="C29" i="8" s="1"/>
  <c r="C42" i="8"/>
  <c r="E22" i="7"/>
  <c r="I22" i="7"/>
  <c r="B69" i="8"/>
  <c r="B77" i="8" s="1"/>
  <c r="B175" i="8"/>
  <c r="B184" i="8"/>
  <c r="B69" i="9"/>
  <c r="B77" i="9" s="1"/>
  <c r="H97" i="2" l="1"/>
  <c r="H98" i="2" s="1"/>
  <c r="H99" i="2" s="1"/>
  <c r="B86" i="5" s="1"/>
  <c r="C86" i="5" s="1"/>
  <c r="C30" i="8"/>
  <c r="C32" i="8"/>
  <c r="C33" i="8"/>
  <c r="C35" i="8"/>
  <c r="C56" i="8" s="1"/>
  <c r="D87" i="8"/>
  <c r="D87" i="5"/>
  <c r="B85" i="8"/>
  <c r="B85" i="5"/>
  <c r="C59" i="6"/>
  <c r="C57" i="6"/>
  <c r="C123" i="6"/>
  <c r="C54" i="6"/>
  <c r="C24" i="6"/>
  <c r="C23" i="6"/>
  <c r="C55" i="6"/>
  <c r="C42" i="6"/>
  <c r="D59" i="5"/>
  <c r="D54" i="5"/>
  <c r="D57" i="5"/>
  <c r="D24" i="5"/>
  <c r="D123" i="5"/>
  <c r="D28" i="5"/>
  <c r="D42" i="5"/>
  <c r="D23" i="5"/>
  <c r="D25" i="5" s="1"/>
  <c r="D46" i="5" s="1"/>
  <c r="D58" i="5"/>
  <c r="D55" i="5"/>
  <c r="B87" i="9"/>
  <c r="C87" i="9" s="1"/>
  <c r="B87" i="6"/>
  <c r="C87" i="6" s="1"/>
  <c r="B38" i="9"/>
  <c r="B38" i="8"/>
  <c r="F57" i="8"/>
  <c r="F54" i="8"/>
  <c r="F24" i="8"/>
  <c r="F59" i="8"/>
  <c r="F123" i="8"/>
  <c r="F23" i="8"/>
  <c r="F42" i="8"/>
  <c r="F55" i="8"/>
  <c r="B69" i="6"/>
  <c r="B77" i="6" s="1"/>
  <c r="D14" i="8"/>
  <c r="D19" i="8" s="1"/>
  <c r="D58" i="8" s="1"/>
  <c r="C123" i="5"/>
  <c r="C54" i="5"/>
  <c r="C34" i="5"/>
  <c r="C24" i="5"/>
  <c r="C59" i="5"/>
  <c r="C57" i="5"/>
  <c r="C123" i="9"/>
  <c r="C57" i="9"/>
  <c r="C54" i="9"/>
  <c r="C23" i="9"/>
  <c r="C24" i="9"/>
  <c r="C59" i="9"/>
  <c r="C42" i="9"/>
  <c r="F58" i="8"/>
  <c r="C58" i="8"/>
  <c r="D41" i="5"/>
  <c r="E41" i="5"/>
  <c r="C41" i="5"/>
  <c r="F41" i="5"/>
  <c r="F84" i="8"/>
  <c r="F91" i="8" s="1"/>
  <c r="F127" i="8" s="1"/>
  <c r="I118" i="2"/>
  <c r="D84" i="9"/>
  <c r="C84" i="9"/>
  <c r="B84" i="6"/>
  <c r="B84" i="5"/>
  <c r="C58" i="6"/>
  <c r="F57" i="5"/>
  <c r="F24" i="5"/>
  <c r="F59" i="5"/>
  <c r="F123" i="5"/>
  <c r="F54" i="5"/>
  <c r="F29" i="5"/>
  <c r="F23" i="5"/>
  <c r="F25" i="5" s="1"/>
  <c r="F46" i="5" s="1"/>
  <c r="E41" i="8"/>
  <c r="D41" i="8"/>
  <c r="F41" i="8"/>
  <c r="C41" i="8"/>
  <c r="C55" i="9"/>
  <c r="C60" i="8"/>
  <c r="C125" i="8" s="1"/>
  <c r="B172" i="8"/>
  <c r="C148" i="7"/>
  <c r="B190" i="8"/>
  <c r="B187" i="8"/>
  <c r="B154" i="8"/>
  <c r="B38" i="6"/>
  <c r="B38" i="5"/>
  <c r="F42" i="5"/>
  <c r="C42" i="5"/>
  <c r="C23" i="5"/>
  <c r="C25" i="5" s="1"/>
  <c r="C46" i="5" s="1"/>
  <c r="B85" i="9"/>
  <c r="B85" i="6"/>
  <c r="D14" i="9"/>
  <c r="D19" i="9" s="1"/>
  <c r="B178" i="8"/>
  <c r="B60" i="8"/>
  <c r="E19" i="5"/>
  <c r="E18" i="5"/>
  <c r="B60" i="6"/>
  <c r="F58" i="5"/>
  <c r="B87" i="8"/>
  <c r="C87" i="8"/>
  <c r="C87" i="5"/>
  <c r="C55" i="5"/>
  <c r="I97" i="2"/>
  <c r="I98" i="2" s="1"/>
  <c r="I99" i="2" s="1"/>
  <c r="B86" i="8" s="1"/>
  <c r="D87" i="9"/>
  <c r="D87" i="6"/>
  <c r="C58" i="9"/>
  <c r="B148" i="8"/>
  <c r="C46" i="8"/>
  <c r="C31" i="8"/>
  <c r="C34" i="8"/>
  <c r="D19" i="6"/>
  <c r="D14" i="6"/>
  <c r="C28" i="8"/>
  <c r="L20" i="7"/>
  <c r="F20" i="7"/>
  <c r="M20" i="7" s="1"/>
  <c r="K20" i="7"/>
  <c r="I20" i="7"/>
  <c r="E20" i="7"/>
  <c r="D41" i="9"/>
  <c r="C41" i="9"/>
  <c r="G20" i="7"/>
  <c r="C58" i="5"/>
  <c r="B84" i="8"/>
  <c r="I117" i="2"/>
  <c r="B84" i="9" s="1"/>
  <c r="E18" i="8"/>
  <c r="E19" i="8" s="1"/>
  <c r="C41" i="6"/>
  <c r="D41" i="6"/>
  <c r="D86" i="5" l="1"/>
  <c r="F30" i="5"/>
  <c r="F35" i="5"/>
  <c r="F56" i="5" s="1"/>
  <c r="C25" i="9"/>
  <c r="C35" i="5"/>
  <c r="C56" i="5" s="1"/>
  <c r="C60" i="5" s="1"/>
  <c r="C125" i="5" s="1"/>
  <c r="F25" i="8"/>
  <c r="D30" i="5"/>
  <c r="F33" i="5"/>
  <c r="C29" i="5"/>
  <c r="D34" i="5"/>
  <c r="F34" i="5"/>
  <c r="C30" i="5"/>
  <c r="D29" i="5"/>
  <c r="D36" i="5" s="1"/>
  <c r="D35" i="5"/>
  <c r="D56" i="5" s="1"/>
  <c r="D60" i="5"/>
  <c r="D125" i="5" s="1"/>
  <c r="C25" i="6"/>
  <c r="E59" i="8"/>
  <c r="E54" i="8"/>
  <c r="E24" i="8"/>
  <c r="E123" i="8"/>
  <c r="E57" i="8"/>
  <c r="E55" i="8"/>
  <c r="E42" i="8"/>
  <c r="E23" i="8"/>
  <c r="E25" i="8" s="1"/>
  <c r="E46" i="8" s="1"/>
  <c r="D123" i="6"/>
  <c r="D54" i="6"/>
  <c r="D24" i="6"/>
  <c r="D57" i="6"/>
  <c r="D59" i="6"/>
  <c r="D55" i="6"/>
  <c r="D42" i="6"/>
  <c r="D23" i="6"/>
  <c r="E57" i="5"/>
  <c r="E54" i="5"/>
  <c r="E24" i="5"/>
  <c r="E59" i="5"/>
  <c r="E123" i="5"/>
  <c r="E23" i="5"/>
  <c r="E58" i="5"/>
  <c r="E55" i="5"/>
  <c r="E42" i="5"/>
  <c r="D24" i="9"/>
  <c r="D59" i="9"/>
  <c r="D23" i="9"/>
  <c r="D123" i="9"/>
  <c r="D57" i="9"/>
  <c r="D54" i="9"/>
  <c r="D42" i="9"/>
  <c r="D55" i="9"/>
  <c r="D58" i="9"/>
  <c r="F60" i="5"/>
  <c r="F125" i="5" s="1"/>
  <c r="E58" i="8"/>
  <c r="C36" i="8"/>
  <c r="D85" i="6"/>
  <c r="C85" i="6"/>
  <c r="D84" i="8"/>
  <c r="E84" i="8"/>
  <c r="C84" i="8"/>
  <c r="C85" i="9"/>
  <c r="D85" i="9"/>
  <c r="D91" i="9" s="1"/>
  <c r="D127" i="9" s="1"/>
  <c r="C38" i="5"/>
  <c r="C44" i="5" s="1"/>
  <c r="C48" i="5" s="1"/>
  <c r="F38" i="5"/>
  <c r="F44" i="5" s="1"/>
  <c r="F48" i="5" s="1"/>
  <c r="E38" i="5"/>
  <c r="D38" i="5"/>
  <c r="D44" i="5" s="1"/>
  <c r="D48" i="5" s="1"/>
  <c r="C84" i="5"/>
  <c r="E84" i="5"/>
  <c r="D84" i="5"/>
  <c r="D86" i="8"/>
  <c r="C86" i="8"/>
  <c r="D58" i="6"/>
  <c r="C84" i="6"/>
  <c r="C91" i="6" s="1"/>
  <c r="C127" i="6" s="1"/>
  <c r="D84" i="6"/>
  <c r="D54" i="8"/>
  <c r="D123" i="8"/>
  <c r="D57" i="8"/>
  <c r="D24" i="8"/>
  <c r="D59" i="8"/>
  <c r="D23" i="8"/>
  <c r="D55" i="8"/>
  <c r="D42" i="8"/>
  <c r="C28" i="6"/>
  <c r="C32" i="6"/>
  <c r="C33" i="6"/>
  <c r="C38" i="6"/>
  <c r="C44" i="6" s="1"/>
  <c r="C48" i="6" s="1"/>
  <c r="D38" i="6"/>
  <c r="D44" i="6" s="1"/>
  <c r="D48" i="6" s="1"/>
  <c r="F28" i="5"/>
  <c r="C91" i="9"/>
  <c r="C127" i="9" s="1"/>
  <c r="C29" i="9"/>
  <c r="C32" i="9"/>
  <c r="C32" i="5"/>
  <c r="C28" i="5"/>
  <c r="C33" i="5"/>
  <c r="F31" i="8"/>
  <c r="F35" i="8"/>
  <c r="F56" i="8" s="1"/>
  <c r="D38" i="8"/>
  <c r="D44" i="8" s="1"/>
  <c r="D48" i="8" s="1"/>
  <c r="F38" i="8"/>
  <c r="F44" i="8" s="1"/>
  <c r="F48" i="8" s="1"/>
  <c r="E38" i="8"/>
  <c r="E44" i="8" s="1"/>
  <c r="E48" i="8" s="1"/>
  <c r="C38" i="8"/>
  <c r="C44" i="8" s="1"/>
  <c r="C48" i="8" s="1"/>
  <c r="D33" i="5"/>
  <c r="C34" i="6"/>
  <c r="C60" i="6"/>
  <c r="C125" i="6" s="1"/>
  <c r="C35" i="6"/>
  <c r="C56" i="6" s="1"/>
  <c r="C85" i="5"/>
  <c r="D85" i="5"/>
  <c r="F32" i="5"/>
  <c r="F31" i="5"/>
  <c r="C34" i="9"/>
  <c r="C31" i="5"/>
  <c r="F60" i="8"/>
  <c r="F125" i="8" s="1"/>
  <c r="F28" i="8"/>
  <c r="F32" i="8"/>
  <c r="C38" i="9"/>
  <c r="C44" i="9" s="1"/>
  <c r="C48" i="9" s="1"/>
  <c r="D38" i="9"/>
  <c r="D32" i="5"/>
  <c r="D31" i="5"/>
  <c r="C30" i="6"/>
  <c r="C29" i="6"/>
  <c r="C85" i="8"/>
  <c r="D85" i="8"/>
  <c r="C91" i="8" l="1"/>
  <c r="C127" i="8" s="1"/>
  <c r="D25" i="8"/>
  <c r="E44" i="5"/>
  <c r="E48" i="5" s="1"/>
  <c r="D25" i="6"/>
  <c r="E34" i="8"/>
  <c r="C46" i="6"/>
  <c r="C31" i="6"/>
  <c r="C46" i="9"/>
  <c r="C30" i="9"/>
  <c r="C35" i="9"/>
  <c r="C56" i="9" s="1"/>
  <c r="C60" i="9" s="1"/>
  <c r="C125" i="9" s="1"/>
  <c r="C28" i="9"/>
  <c r="C36" i="9" s="1"/>
  <c r="C33" i="9"/>
  <c r="C31" i="9"/>
  <c r="E33" i="8"/>
  <c r="E35" i="8"/>
  <c r="E56" i="8" s="1"/>
  <c r="E60" i="8" s="1"/>
  <c r="E125" i="8" s="1"/>
  <c r="F46" i="8"/>
  <c r="F29" i="8"/>
  <c r="F34" i="8"/>
  <c r="F30" i="8"/>
  <c r="F36" i="8" s="1"/>
  <c r="F33" i="8"/>
  <c r="D44" i="9"/>
  <c r="D48" i="9" s="1"/>
  <c r="C36" i="5"/>
  <c r="D47" i="5"/>
  <c r="D49" i="5" s="1"/>
  <c r="D74" i="5"/>
  <c r="D79" i="5" s="1"/>
  <c r="C91" i="5"/>
  <c r="C127" i="5" s="1"/>
  <c r="E25" i="5"/>
  <c r="F36" i="5"/>
  <c r="C36" i="6"/>
  <c r="D32" i="8"/>
  <c r="D30" i="8"/>
  <c r="D91" i="8"/>
  <c r="D127" i="8" s="1"/>
  <c r="C47" i="8"/>
  <c r="C49" i="8" s="1"/>
  <c r="C74" i="8"/>
  <c r="C79" i="8" s="1"/>
  <c r="E30" i="8"/>
  <c r="E28" i="8"/>
  <c r="E32" i="8"/>
  <c r="D34" i="8"/>
  <c r="D91" i="6"/>
  <c r="D127" i="6" s="1"/>
  <c r="D91" i="5"/>
  <c r="D127" i="5" s="1"/>
  <c r="D25" i="9"/>
  <c r="D29" i="6"/>
  <c r="E29" i="8"/>
  <c r="E31" i="8"/>
  <c r="F47" i="8" l="1"/>
  <c r="F49" i="8" s="1"/>
  <c r="F74" i="8"/>
  <c r="F79" i="8" s="1"/>
  <c r="C74" i="9"/>
  <c r="C79" i="9" s="1"/>
  <c r="C47" i="9"/>
  <c r="C49" i="9" s="1"/>
  <c r="C67" i="9" s="1"/>
  <c r="D46" i="6"/>
  <c r="D34" i="6"/>
  <c r="D35" i="6"/>
  <c r="D56" i="6" s="1"/>
  <c r="D60" i="6" s="1"/>
  <c r="D125" i="6" s="1"/>
  <c r="D33" i="6"/>
  <c r="D46" i="8"/>
  <c r="D29" i="8"/>
  <c r="D35" i="8"/>
  <c r="D56" i="8" s="1"/>
  <c r="D60" i="8" s="1"/>
  <c r="D125" i="8" s="1"/>
  <c r="D33" i="8"/>
  <c r="D36" i="8" s="1"/>
  <c r="D28" i="8"/>
  <c r="D31" i="8"/>
  <c r="D32" i="6"/>
  <c r="D30" i="6"/>
  <c r="D31" i="6"/>
  <c r="D28" i="6"/>
  <c r="F47" i="5"/>
  <c r="F49" i="5" s="1"/>
  <c r="F74" i="5"/>
  <c r="F79" i="5" s="1"/>
  <c r="D46" i="9"/>
  <c r="D29" i="9"/>
  <c r="D30" i="9"/>
  <c r="D34" i="9"/>
  <c r="D35" i="9"/>
  <c r="D56" i="9" s="1"/>
  <c r="D60" i="9" s="1"/>
  <c r="D125" i="9" s="1"/>
  <c r="D33" i="9"/>
  <c r="D32" i="9"/>
  <c r="D31" i="9"/>
  <c r="D28" i="9"/>
  <c r="F124" i="8"/>
  <c r="F66" i="8"/>
  <c r="F64" i="8"/>
  <c r="F65" i="8"/>
  <c r="F67" i="8"/>
  <c r="C124" i="8"/>
  <c r="C66" i="8"/>
  <c r="C67" i="8"/>
  <c r="C64" i="8"/>
  <c r="C65" i="8"/>
  <c r="E46" i="5"/>
  <c r="E34" i="5"/>
  <c r="E30" i="5"/>
  <c r="E33" i="5"/>
  <c r="E29" i="5"/>
  <c r="E32" i="5"/>
  <c r="E28" i="5"/>
  <c r="E35" i="5"/>
  <c r="E56" i="5" s="1"/>
  <c r="E60" i="5" s="1"/>
  <c r="E125" i="5" s="1"/>
  <c r="E31" i="5"/>
  <c r="D124" i="5"/>
  <c r="D66" i="5"/>
  <c r="D64" i="5"/>
  <c r="D65" i="5"/>
  <c r="D67" i="5"/>
  <c r="E36" i="8"/>
  <c r="C47" i="6"/>
  <c r="C49" i="6" s="1"/>
  <c r="C74" i="6"/>
  <c r="C79" i="6" s="1"/>
  <c r="D36" i="6"/>
  <c r="C47" i="5"/>
  <c r="C49" i="5" s="1"/>
  <c r="C74" i="5"/>
  <c r="C79" i="5" s="1"/>
  <c r="C64" i="9"/>
  <c r="D74" i="8" l="1"/>
  <c r="D79" i="8" s="1"/>
  <c r="D47" i="8"/>
  <c r="D49" i="8" s="1"/>
  <c r="C66" i="9"/>
  <c r="C69" i="9" s="1"/>
  <c r="C77" i="9" s="1"/>
  <c r="C80" i="9" s="1"/>
  <c r="C124" i="9"/>
  <c r="F69" i="8"/>
  <c r="C65" i="9"/>
  <c r="E36" i="5"/>
  <c r="E47" i="5" s="1"/>
  <c r="E49" i="5" s="1"/>
  <c r="C69" i="8"/>
  <c r="C77" i="8" s="1"/>
  <c r="C80" i="8" s="1"/>
  <c r="C126" i="8" s="1"/>
  <c r="C128" i="8" s="1"/>
  <c r="E74" i="5"/>
  <c r="E79" i="5" s="1"/>
  <c r="F124" i="5"/>
  <c r="F66" i="5"/>
  <c r="F64" i="5"/>
  <c r="F65" i="5"/>
  <c r="F67" i="5"/>
  <c r="C124" i="6"/>
  <c r="C66" i="6"/>
  <c r="C64" i="6"/>
  <c r="C65" i="6"/>
  <c r="C67" i="6"/>
  <c r="D47" i="6"/>
  <c r="D49" i="6" s="1"/>
  <c r="D74" i="6"/>
  <c r="D79" i="6" s="1"/>
  <c r="F126" i="8"/>
  <c r="F128" i="8" s="1"/>
  <c r="F77" i="8"/>
  <c r="F80" i="8" s="1"/>
  <c r="C124" i="5"/>
  <c r="C67" i="5"/>
  <c r="C66" i="5"/>
  <c r="C65" i="5"/>
  <c r="C64" i="5"/>
  <c r="E47" i="8"/>
  <c r="E49" i="8" s="1"/>
  <c r="E74" i="8"/>
  <c r="E79" i="8" s="1"/>
  <c r="D69" i="5"/>
  <c r="D77" i="5" s="1"/>
  <c r="D80" i="5" s="1"/>
  <c r="D36" i="9"/>
  <c r="D124" i="8"/>
  <c r="D65" i="8"/>
  <c r="D66" i="8"/>
  <c r="D64" i="8"/>
  <c r="D67" i="8"/>
  <c r="C95" i="8" l="1"/>
  <c r="C69" i="5"/>
  <c r="C77" i="5" s="1"/>
  <c r="C80" i="5" s="1"/>
  <c r="C126" i="5" s="1"/>
  <c r="F69" i="5"/>
  <c r="F126" i="5" s="1"/>
  <c r="F128" i="5" s="1"/>
  <c r="F77" i="5"/>
  <c r="F80" i="5" s="1"/>
  <c r="D47" i="9"/>
  <c r="D49" i="9" s="1"/>
  <c r="D74" i="9"/>
  <c r="D79" i="9" s="1"/>
  <c r="E124" i="8"/>
  <c r="E64" i="8"/>
  <c r="E66" i="8"/>
  <c r="E67" i="8"/>
  <c r="E65" i="8"/>
  <c r="E68" i="8"/>
  <c r="C96" i="8"/>
  <c r="C103" i="8" s="1"/>
  <c r="D124" i="6"/>
  <c r="D64" i="6"/>
  <c r="D66" i="6"/>
  <c r="D65" i="6"/>
  <c r="D67" i="6"/>
  <c r="C126" i="9"/>
  <c r="C128" i="9" s="1"/>
  <c r="C95" i="9"/>
  <c r="C101" i="8"/>
  <c r="F95" i="8"/>
  <c r="F96" i="8" s="1"/>
  <c r="F103" i="8" s="1"/>
  <c r="E124" i="5"/>
  <c r="E64" i="5"/>
  <c r="E65" i="5"/>
  <c r="E66" i="5"/>
  <c r="E68" i="5"/>
  <c r="E67" i="5"/>
  <c r="D69" i="8"/>
  <c r="D77" i="8" s="1"/>
  <c r="D80" i="8" s="1"/>
  <c r="D126" i="5"/>
  <c r="D128" i="5" s="1"/>
  <c r="D95" i="5"/>
  <c r="C95" i="5"/>
  <c r="C128" i="5"/>
  <c r="C109" i="8"/>
  <c r="C69" i="6"/>
  <c r="C77" i="6" s="1"/>
  <c r="C80" i="6" s="1"/>
  <c r="C110" i="8"/>
  <c r="C107" i="8" l="1"/>
  <c r="C97" i="8"/>
  <c r="C104" i="8"/>
  <c r="C100" i="8"/>
  <c r="C113" i="8" s="1"/>
  <c r="C130" i="8" s="1"/>
  <c r="C135" i="8" s="1"/>
  <c r="C105" i="8"/>
  <c r="C102" i="8"/>
  <c r="C106" i="8"/>
  <c r="C115" i="8" s="1"/>
  <c r="C132" i="8" s="1"/>
  <c r="C137" i="8" s="1"/>
  <c r="I186" i="8" s="1"/>
  <c r="J186" i="8" s="1"/>
  <c r="C114" i="8"/>
  <c r="C131" i="8" s="1"/>
  <c r="C136" i="8" s="1"/>
  <c r="G171" i="8" s="1"/>
  <c r="H171" i="8" s="1"/>
  <c r="F106" i="8"/>
  <c r="E69" i="8"/>
  <c r="E77" i="8" s="1"/>
  <c r="E80" i="8" s="1"/>
  <c r="E126" i="8" s="1"/>
  <c r="F107" i="8"/>
  <c r="F101" i="8"/>
  <c r="F98" i="8"/>
  <c r="C116" i="8"/>
  <c r="C133" i="8" s="1"/>
  <c r="C138" i="8" s="1"/>
  <c r="K189" i="8" s="1"/>
  <c r="L189" i="8" s="1"/>
  <c r="C96" i="5"/>
  <c r="C103" i="5" s="1"/>
  <c r="I177" i="8"/>
  <c r="J177" i="8" s="1"/>
  <c r="I171" i="8"/>
  <c r="J171" i="8" s="1"/>
  <c r="I189" i="8"/>
  <c r="J189" i="8" s="1"/>
  <c r="I165" i="8"/>
  <c r="J165" i="8" s="1"/>
  <c r="I174" i="8"/>
  <c r="J174" i="8" s="1"/>
  <c r="G174" i="8"/>
  <c r="H174" i="8" s="1"/>
  <c r="G147" i="8"/>
  <c r="H147" i="8" s="1"/>
  <c r="E88" i="5"/>
  <c r="E91" i="5" s="1"/>
  <c r="E127" i="5" s="1"/>
  <c r="F95" i="5"/>
  <c r="E69" i="5"/>
  <c r="E77" i="5" s="1"/>
  <c r="E80" i="5" s="1"/>
  <c r="F100" i="8"/>
  <c r="F113" i="8" s="1"/>
  <c r="F130" i="8" s="1"/>
  <c r="F135" i="8" s="1"/>
  <c r="F111" i="8"/>
  <c r="F115" i="8"/>
  <c r="F132" i="8" s="1"/>
  <c r="F137" i="8" s="1"/>
  <c r="F114" i="8"/>
  <c r="F131" i="8" s="1"/>
  <c r="F136" i="8" s="1"/>
  <c r="F105" i="8"/>
  <c r="F99" i="8"/>
  <c r="C96" i="9"/>
  <c r="C111" i="9" s="1"/>
  <c r="C106" i="9"/>
  <c r="C115" i="9" s="1"/>
  <c r="C132" i="9" s="1"/>
  <c r="C137" i="9" s="1"/>
  <c r="C142" i="9" s="1"/>
  <c r="D124" i="9"/>
  <c r="D64" i="9"/>
  <c r="D67" i="9"/>
  <c r="D66" i="9"/>
  <c r="D65" i="9"/>
  <c r="F110" i="8"/>
  <c r="F109" i="8"/>
  <c r="F116" i="8" s="1"/>
  <c r="F133" i="8" s="1"/>
  <c r="F138" i="8" s="1"/>
  <c r="C107" i="9"/>
  <c r="E88" i="8"/>
  <c r="E91" i="8" s="1"/>
  <c r="E95" i="8" s="1"/>
  <c r="C111" i="8"/>
  <c r="C112" i="8"/>
  <c r="C129" i="8" s="1"/>
  <c r="C134" i="8" s="1"/>
  <c r="C126" i="6"/>
  <c r="C128" i="6" s="1"/>
  <c r="C95" i="6"/>
  <c r="D96" i="5"/>
  <c r="D107" i="5" s="1"/>
  <c r="D126" i="8"/>
  <c r="D128" i="8" s="1"/>
  <c r="D95" i="8"/>
  <c r="F97" i="8"/>
  <c r="F112" i="8" s="1"/>
  <c r="F129" i="8" s="1"/>
  <c r="F134" i="8" s="1"/>
  <c r="F104" i="8"/>
  <c r="F108" i="8"/>
  <c r="F102" i="8"/>
  <c r="C104" i="9"/>
  <c r="C99" i="9"/>
  <c r="C109" i="9"/>
  <c r="C116" i="9" s="1"/>
  <c r="C133" i="9" s="1"/>
  <c r="C138" i="9" s="1"/>
  <c r="D69" i="6"/>
  <c r="D77" i="6" s="1"/>
  <c r="D80" i="6" s="1"/>
  <c r="C108" i="8"/>
  <c r="C99" i="8"/>
  <c r="C98" i="8"/>
  <c r="G153" i="8" l="1"/>
  <c r="H153" i="8" s="1"/>
  <c r="G189" i="8"/>
  <c r="H189" i="8" s="1"/>
  <c r="C141" i="8"/>
  <c r="AA31" i="3" s="1"/>
  <c r="G159" i="8"/>
  <c r="H159" i="8" s="1"/>
  <c r="G186" i="8"/>
  <c r="H186" i="8" s="1"/>
  <c r="I159" i="8"/>
  <c r="J159" i="8" s="1"/>
  <c r="I147" i="8"/>
  <c r="J147" i="8" s="1"/>
  <c r="G177" i="8"/>
  <c r="H177" i="8" s="1"/>
  <c r="G165" i="8"/>
  <c r="H165" i="8" s="1"/>
  <c r="C142" i="8"/>
  <c r="I153" i="8"/>
  <c r="J153" i="8" s="1"/>
  <c r="C103" i="9"/>
  <c r="C114" i="9" s="1"/>
  <c r="C131" i="9" s="1"/>
  <c r="C136" i="9" s="1"/>
  <c r="C110" i="9"/>
  <c r="K153" i="8"/>
  <c r="L153" i="8" s="1"/>
  <c r="K171" i="8"/>
  <c r="L171" i="8" s="1"/>
  <c r="C111" i="5"/>
  <c r="C99" i="5"/>
  <c r="K159" i="8"/>
  <c r="L159" i="8" s="1"/>
  <c r="K147" i="8"/>
  <c r="L147" i="8" s="1"/>
  <c r="K186" i="8"/>
  <c r="L186" i="8" s="1"/>
  <c r="C98" i="5"/>
  <c r="C100" i="5"/>
  <c r="C102" i="5"/>
  <c r="C105" i="5"/>
  <c r="C101" i="5"/>
  <c r="K177" i="8"/>
  <c r="L177" i="8" s="1"/>
  <c r="K174" i="8"/>
  <c r="L174" i="8" s="1"/>
  <c r="K165" i="8"/>
  <c r="L165" i="8" s="1"/>
  <c r="C143" i="8"/>
  <c r="AA36" i="3" s="1"/>
  <c r="D106" i="5"/>
  <c r="D115" i="5" s="1"/>
  <c r="D132" i="5" s="1"/>
  <c r="D137" i="5" s="1"/>
  <c r="C106" i="5"/>
  <c r="C115" i="5" s="1"/>
  <c r="C132" i="5" s="1"/>
  <c r="C137" i="5" s="1"/>
  <c r="I189" i="5" s="1"/>
  <c r="J189" i="5" s="1"/>
  <c r="C96" i="6"/>
  <c r="C104" i="6" s="1"/>
  <c r="C107" i="5"/>
  <c r="C108" i="5"/>
  <c r="C113" i="5"/>
  <c r="C130" i="5" s="1"/>
  <c r="C135" i="5" s="1"/>
  <c r="E186" i="5" s="1"/>
  <c r="F186" i="5" s="1"/>
  <c r="C97" i="5"/>
  <c r="C112" i="5" s="1"/>
  <c r="C129" i="5" s="1"/>
  <c r="C134" i="5" s="1"/>
  <c r="C139" i="5" s="1"/>
  <c r="D108" i="5"/>
  <c r="D102" i="5"/>
  <c r="D110" i="5"/>
  <c r="C109" i="5"/>
  <c r="C116" i="5" s="1"/>
  <c r="C133" i="5" s="1"/>
  <c r="C138" i="5" s="1"/>
  <c r="C143" i="5" s="1"/>
  <c r="D111" i="5"/>
  <c r="C104" i="5"/>
  <c r="C114" i="5"/>
  <c r="C131" i="5" s="1"/>
  <c r="C136" i="5" s="1"/>
  <c r="G147" i="5" s="1"/>
  <c r="H147" i="5" s="1"/>
  <c r="C110" i="5"/>
  <c r="AB27" i="3"/>
  <c r="AB29" i="3"/>
  <c r="C184" i="8"/>
  <c r="C187" i="8"/>
  <c r="C172" i="8"/>
  <c r="C190" i="8"/>
  <c r="C175" i="8"/>
  <c r="C154" i="8"/>
  <c r="C166" i="8"/>
  <c r="C178" i="8"/>
  <c r="C160" i="8"/>
  <c r="C148" i="8"/>
  <c r="C141" i="9"/>
  <c r="Z26" i="3"/>
  <c r="Z35" i="3"/>
  <c r="C143" i="9"/>
  <c r="Z24" i="3"/>
  <c r="D126" i="6"/>
  <c r="D128" i="6" s="1"/>
  <c r="D95" i="6"/>
  <c r="D69" i="9"/>
  <c r="D77" i="9" s="1"/>
  <c r="D80" i="9" s="1"/>
  <c r="C108" i="9"/>
  <c r="C97" i="9"/>
  <c r="C112" i="9" s="1"/>
  <c r="C129" i="9" s="1"/>
  <c r="C134" i="9" s="1"/>
  <c r="C139" i="9" s="1"/>
  <c r="E126" i="5"/>
  <c r="E128" i="5" s="1"/>
  <c r="E95" i="5"/>
  <c r="C102" i="9"/>
  <c r="E177" i="8"/>
  <c r="F177" i="8" s="1"/>
  <c r="E147" i="8"/>
  <c r="F147" i="8" s="1"/>
  <c r="E189" i="8"/>
  <c r="F189" i="8" s="1"/>
  <c r="E165" i="8"/>
  <c r="F165" i="8" s="1"/>
  <c r="E159" i="8"/>
  <c r="F159" i="8" s="1"/>
  <c r="E153" i="8"/>
  <c r="F153" i="8" s="1"/>
  <c r="E174" i="8"/>
  <c r="F174" i="8" s="1"/>
  <c r="E186" i="8"/>
  <c r="F186" i="8" s="1"/>
  <c r="C140" i="8"/>
  <c r="E171" i="8"/>
  <c r="F171" i="8" s="1"/>
  <c r="D98" i="5"/>
  <c r="E96" i="8"/>
  <c r="E97" i="8" s="1"/>
  <c r="E127" i="8"/>
  <c r="E128" i="8" s="1"/>
  <c r="C101" i="9"/>
  <c r="C98" i="9"/>
  <c r="AA34" i="3"/>
  <c r="AA30" i="3"/>
  <c r="AA24" i="3"/>
  <c r="D96" i="8"/>
  <c r="D97" i="5"/>
  <c r="D112" i="5" s="1"/>
  <c r="D129" i="5" s="1"/>
  <c r="D134" i="5" s="1"/>
  <c r="D99" i="5"/>
  <c r="D109" i="5"/>
  <c r="D116" i="5" s="1"/>
  <c r="D133" i="5" s="1"/>
  <c r="D138" i="5" s="1"/>
  <c r="D101" i="5"/>
  <c r="D103" i="5"/>
  <c r="D114" i="5" s="1"/>
  <c r="D131" i="5" s="1"/>
  <c r="D136" i="5" s="1"/>
  <c r="D100" i="5"/>
  <c r="D113" i="5" s="1"/>
  <c r="D130" i="5" s="1"/>
  <c r="D135" i="5" s="1"/>
  <c r="D104" i="5"/>
  <c r="D105" i="5"/>
  <c r="C186" i="8"/>
  <c r="D186" i="8" s="1"/>
  <c r="C189" i="8"/>
  <c r="D189" i="8" s="1"/>
  <c r="C174" i="8"/>
  <c r="D174" i="8" s="1"/>
  <c r="C177" i="8"/>
  <c r="D177" i="8" s="1"/>
  <c r="C159" i="8"/>
  <c r="D159" i="8" s="1"/>
  <c r="C139" i="8"/>
  <c r="C153" i="8"/>
  <c r="D153" i="8" s="1"/>
  <c r="C147" i="8"/>
  <c r="D147" i="8" s="1"/>
  <c r="C171" i="8"/>
  <c r="D171" i="8" s="1"/>
  <c r="C165" i="8"/>
  <c r="D165" i="8" s="1"/>
  <c r="C105" i="9"/>
  <c r="C100" i="9"/>
  <c r="C113" i="9" s="1"/>
  <c r="C130" i="9" s="1"/>
  <c r="C135" i="9" s="1"/>
  <c r="C140" i="9" s="1"/>
  <c r="F96" i="5"/>
  <c r="F109" i="5" s="1"/>
  <c r="AA29" i="3"/>
  <c r="AA27" i="3"/>
  <c r="AA26" i="3" l="1"/>
  <c r="AA33" i="3"/>
  <c r="AA35" i="3"/>
  <c r="E177" i="5"/>
  <c r="F177" i="5" s="1"/>
  <c r="I159" i="5"/>
  <c r="J159" i="5" s="1"/>
  <c r="C107" i="6"/>
  <c r="C159" i="5"/>
  <c r="D159" i="5" s="1"/>
  <c r="K171" i="5"/>
  <c r="L171" i="5" s="1"/>
  <c r="K189" i="5"/>
  <c r="L189" i="5" s="1"/>
  <c r="E153" i="5"/>
  <c r="F153" i="5" s="1"/>
  <c r="I147" i="5"/>
  <c r="J147" i="5" s="1"/>
  <c r="E189" i="5"/>
  <c r="F189" i="5" s="1"/>
  <c r="G153" i="5"/>
  <c r="H153" i="5" s="1"/>
  <c r="I177" i="5"/>
  <c r="J177" i="5" s="1"/>
  <c r="I171" i="5"/>
  <c r="J171" i="5" s="1"/>
  <c r="E147" i="5"/>
  <c r="F147" i="5" s="1"/>
  <c r="G186" i="5"/>
  <c r="H186" i="5" s="1"/>
  <c r="I153" i="5"/>
  <c r="J153" i="5" s="1"/>
  <c r="C111" i="6"/>
  <c r="K174" i="5"/>
  <c r="L174" i="5" s="1"/>
  <c r="K159" i="5"/>
  <c r="L159" i="5" s="1"/>
  <c r="C186" i="5"/>
  <c r="D186" i="5" s="1"/>
  <c r="K186" i="5"/>
  <c r="L186" i="5" s="1"/>
  <c r="K177" i="5"/>
  <c r="L177" i="5" s="1"/>
  <c r="C98" i="6"/>
  <c r="C165" i="5"/>
  <c r="D165" i="5" s="1"/>
  <c r="K165" i="5"/>
  <c r="L165" i="5" s="1"/>
  <c r="K153" i="5"/>
  <c r="L153" i="5" s="1"/>
  <c r="E106" i="8"/>
  <c r="AA32" i="3"/>
  <c r="AA28" i="3"/>
  <c r="E109" i="8"/>
  <c r="E116" i="8" s="1"/>
  <c r="E133" i="8" s="1"/>
  <c r="E138" i="8" s="1"/>
  <c r="K183" i="8" s="1"/>
  <c r="L183" i="8" s="1"/>
  <c r="AA25" i="3"/>
  <c r="E99" i="8"/>
  <c r="F97" i="5"/>
  <c r="F112" i="5" s="1"/>
  <c r="F129" i="5" s="1"/>
  <c r="F134" i="5" s="1"/>
  <c r="E98" i="8"/>
  <c r="F100" i="5"/>
  <c r="F104" i="5"/>
  <c r="F108" i="5"/>
  <c r="F106" i="5"/>
  <c r="F115" i="5" s="1"/>
  <c r="F132" i="5" s="1"/>
  <c r="F137" i="5" s="1"/>
  <c r="C105" i="6"/>
  <c r="C106" i="6"/>
  <c r="C115" i="6" s="1"/>
  <c r="C132" i="6" s="1"/>
  <c r="C137" i="6" s="1"/>
  <c r="C142" i="6" s="1"/>
  <c r="AB13" i="3" s="1"/>
  <c r="C153" i="5"/>
  <c r="D153" i="5" s="1"/>
  <c r="C171" i="5"/>
  <c r="D171" i="5" s="1"/>
  <c r="C177" i="5"/>
  <c r="D177" i="5" s="1"/>
  <c r="C99" i="6"/>
  <c r="C141" i="5"/>
  <c r="AA18" i="3" s="1"/>
  <c r="G165" i="5"/>
  <c r="H165" i="5" s="1"/>
  <c r="G159" i="5"/>
  <c r="H159" i="5" s="1"/>
  <c r="C101" i="6"/>
  <c r="E174" i="5"/>
  <c r="F174" i="5" s="1"/>
  <c r="E159" i="5"/>
  <c r="F159" i="5" s="1"/>
  <c r="E171" i="5"/>
  <c r="F171" i="5" s="1"/>
  <c r="C109" i="6"/>
  <c r="C116" i="6" s="1"/>
  <c r="C133" i="6" s="1"/>
  <c r="C138" i="6" s="1"/>
  <c r="C143" i="6" s="1"/>
  <c r="AB20" i="3" s="1"/>
  <c r="C147" i="5"/>
  <c r="D147" i="5" s="1"/>
  <c r="C174" i="5"/>
  <c r="D174" i="5" s="1"/>
  <c r="G189" i="5"/>
  <c r="H189" i="5" s="1"/>
  <c r="G174" i="5"/>
  <c r="H174" i="5" s="1"/>
  <c r="G177" i="5"/>
  <c r="H177" i="5" s="1"/>
  <c r="K147" i="5"/>
  <c r="L147" i="5" s="1"/>
  <c r="I174" i="5"/>
  <c r="J174" i="5" s="1"/>
  <c r="I165" i="5"/>
  <c r="J165" i="5" s="1"/>
  <c r="I186" i="5"/>
  <c r="J186" i="5" s="1"/>
  <c r="C108" i="6"/>
  <c r="C103" i="6"/>
  <c r="C114" i="6" s="1"/>
  <c r="C131" i="6" s="1"/>
  <c r="C136" i="6" s="1"/>
  <c r="Z18" i="3" s="1"/>
  <c r="C102" i="6"/>
  <c r="C100" i="6"/>
  <c r="C113" i="6" s="1"/>
  <c r="C130" i="6" s="1"/>
  <c r="C135" i="6" s="1"/>
  <c r="C140" i="6" s="1"/>
  <c r="F107" i="5"/>
  <c r="C140" i="5"/>
  <c r="E165" i="5"/>
  <c r="F165" i="5" s="1"/>
  <c r="C97" i="6"/>
  <c r="C112" i="6" s="1"/>
  <c r="C129" i="6" s="1"/>
  <c r="C134" i="6" s="1"/>
  <c r="C139" i="6" s="1"/>
  <c r="F113" i="5"/>
  <c r="F130" i="5" s="1"/>
  <c r="F135" i="5" s="1"/>
  <c r="C189" i="5"/>
  <c r="D189" i="5" s="1"/>
  <c r="G171" i="5"/>
  <c r="H171" i="5" s="1"/>
  <c r="C142" i="5"/>
  <c r="AA13" i="3" s="1"/>
  <c r="C110" i="6"/>
  <c r="D106" i="8"/>
  <c r="D115" i="8" s="1"/>
  <c r="D132" i="8" s="1"/>
  <c r="D137" i="8" s="1"/>
  <c r="I190" i="8"/>
  <c r="J190" i="8" s="1"/>
  <c r="J191" i="8" s="1"/>
  <c r="E190" i="8"/>
  <c r="F190" i="8" s="1"/>
  <c r="F191" i="8" s="1"/>
  <c r="K190" i="8"/>
  <c r="L190" i="8" s="1"/>
  <c r="L191" i="8" s="1"/>
  <c r="G190" i="8"/>
  <c r="H190" i="8" s="1"/>
  <c r="H191" i="8" s="1"/>
  <c r="D190" i="8"/>
  <c r="D105" i="8"/>
  <c r="F98" i="5"/>
  <c r="F99" i="5"/>
  <c r="E104" i="8"/>
  <c r="E110" i="8"/>
  <c r="E107" i="8"/>
  <c r="E102" i="8"/>
  <c r="E101" i="8"/>
  <c r="E111" i="8"/>
  <c r="E108" i="8"/>
  <c r="E105" i="8"/>
  <c r="D102" i="8"/>
  <c r="D109" i="8"/>
  <c r="D116" i="8" s="1"/>
  <c r="D133" i="8" s="1"/>
  <c r="D138" i="8" s="1"/>
  <c r="F101" i="5"/>
  <c r="F105" i="5"/>
  <c r="E96" i="5"/>
  <c r="E104" i="5" s="1"/>
  <c r="D126" i="9"/>
  <c r="D128" i="9" s="1"/>
  <c r="D95" i="9"/>
  <c r="D96" i="9" s="1"/>
  <c r="D108" i="8"/>
  <c r="D96" i="6"/>
  <c r="D99" i="6" s="1"/>
  <c r="F102" i="5"/>
  <c r="AB32" i="3"/>
  <c r="AB28" i="3"/>
  <c r="AB36" i="3"/>
  <c r="AB25" i="3"/>
  <c r="AB24" i="3"/>
  <c r="AB33" i="3"/>
  <c r="AB30" i="3"/>
  <c r="AB34" i="3"/>
  <c r="AB35" i="3"/>
  <c r="AB26" i="3"/>
  <c r="AB31" i="3"/>
  <c r="I166" i="8"/>
  <c r="J166" i="8" s="1"/>
  <c r="J167" i="8" s="1"/>
  <c r="E166" i="8"/>
  <c r="F166" i="8" s="1"/>
  <c r="F167" i="8" s="1"/>
  <c r="D166" i="8"/>
  <c r="D167" i="8" s="1"/>
  <c r="K166" i="8"/>
  <c r="L166" i="8" s="1"/>
  <c r="L167" i="8" s="1"/>
  <c r="G166" i="8"/>
  <c r="H166" i="8" s="1"/>
  <c r="H167" i="8" s="1"/>
  <c r="K172" i="8"/>
  <c r="L172" i="8" s="1"/>
  <c r="L173" i="8" s="1"/>
  <c r="G172" i="8"/>
  <c r="H172" i="8" s="1"/>
  <c r="H173" i="8" s="1"/>
  <c r="I172" i="8"/>
  <c r="J172" i="8" s="1"/>
  <c r="J173" i="8" s="1"/>
  <c r="E172" i="8"/>
  <c r="F172" i="8" s="1"/>
  <c r="F173" i="8" s="1"/>
  <c r="D172" i="8"/>
  <c r="D173" i="8" s="1"/>
  <c r="D191" i="8"/>
  <c r="D110" i="8"/>
  <c r="D97" i="8"/>
  <c r="D112" i="8" s="1"/>
  <c r="D129" i="8" s="1"/>
  <c r="D134" i="8" s="1"/>
  <c r="D103" i="8"/>
  <c r="D114" i="8" s="1"/>
  <c r="D131" i="8" s="1"/>
  <c r="D136" i="8" s="1"/>
  <c r="D111" i="8"/>
  <c r="D98" i="8"/>
  <c r="I178" i="8"/>
  <c r="J178" i="8" s="1"/>
  <c r="J179" i="8" s="1"/>
  <c r="E178" i="8"/>
  <c r="F178" i="8" s="1"/>
  <c r="F179" i="8" s="1"/>
  <c r="G178" i="8"/>
  <c r="H178" i="8" s="1"/>
  <c r="H179" i="8" s="1"/>
  <c r="K178" i="8"/>
  <c r="L178" i="8" s="1"/>
  <c r="L179" i="8" s="1"/>
  <c r="D178" i="8"/>
  <c r="D179" i="8" s="1"/>
  <c r="F110" i="5"/>
  <c r="D99" i="8"/>
  <c r="F103" i="5"/>
  <c r="F114" i="5" s="1"/>
  <c r="F131" i="5" s="1"/>
  <c r="F136" i="5" s="1"/>
  <c r="E103" i="8"/>
  <c r="E114" i="8" s="1"/>
  <c r="E131" i="8" s="1"/>
  <c r="E136" i="8" s="1"/>
  <c r="G183" i="8" s="1"/>
  <c r="H183" i="8" s="1"/>
  <c r="D104" i="8"/>
  <c r="F116" i="5"/>
  <c r="F133" i="5" s="1"/>
  <c r="F138" i="5" s="1"/>
  <c r="E112" i="8"/>
  <c r="E129" i="8" s="1"/>
  <c r="E134" i="8" s="1"/>
  <c r="C183" i="8" s="1"/>
  <c r="D183" i="8" s="1"/>
  <c r="E115" i="8"/>
  <c r="E132" i="8" s="1"/>
  <c r="E137" i="8" s="1"/>
  <c r="I183" i="8" s="1"/>
  <c r="J183" i="8" s="1"/>
  <c r="AA14" i="3"/>
  <c r="AA7" i="3"/>
  <c r="AA6" i="3"/>
  <c r="AA8" i="3"/>
  <c r="AA17" i="3"/>
  <c r="AA19" i="3"/>
  <c r="D107" i="8"/>
  <c r="G148" i="8"/>
  <c r="H148" i="8" s="1"/>
  <c r="H149" i="8" s="1"/>
  <c r="E148" i="8"/>
  <c r="F148" i="8" s="1"/>
  <c r="F149" i="8" s="1"/>
  <c r="K148" i="8"/>
  <c r="L148" i="8" s="1"/>
  <c r="L149" i="8" s="1"/>
  <c r="I148" i="8"/>
  <c r="J148" i="8" s="1"/>
  <c r="J149" i="8" s="1"/>
  <c r="D148" i="8"/>
  <c r="D149" i="8" s="1"/>
  <c r="K154" i="8"/>
  <c r="L154" i="8" s="1"/>
  <c r="L155" i="8" s="1"/>
  <c r="G154" i="8"/>
  <c r="H154" i="8" s="1"/>
  <c r="H155" i="8" s="1"/>
  <c r="E154" i="8"/>
  <c r="F154" i="8" s="1"/>
  <c r="F155" i="8" s="1"/>
  <c r="I154" i="8"/>
  <c r="J154" i="8" s="1"/>
  <c r="J155" i="8" s="1"/>
  <c r="H27" i="3" s="1"/>
  <c r="D154" i="8"/>
  <c r="D155" i="8" s="1"/>
  <c r="K187" i="8"/>
  <c r="L187" i="8" s="1"/>
  <c r="L188" i="8" s="1"/>
  <c r="G187" i="8"/>
  <c r="H187" i="8" s="1"/>
  <c r="H188" i="8" s="1"/>
  <c r="I187" i="8"/>
  <c r="J187" i="8" s="1"/>
  <c r="J188" i="8" s="1"/>
  <c r="E187" i="8"/>
  <c r="F187" i="8" s="1"/>
  <c r="F188" i="8" s="1"/>
  <c r="D187" i="8"/>
  <c r="D188" i="8" s="1"/>
  <c r="D101" i="8"/>
  <c r="D100" i="8"/>
  <c r="D113" i="8" s="1"/>
  <c r="D130" i="8" s="1"/>
  <c r="D135" i="8" s="1"/>
  <c r="F111" i="5"/>
  <c r="E100" i="8"/>
  <c r="E113" i="8" s="1"/>
  <c r="E130" i="8" s="1"/>
  <c r="E135" i="8" s="1"/>
  <c r="E183" i="8" s="1"/>
  <c r="F183" i="8" s="1"/>
  <c r="AA11" i="3"/>
  <c r="AA20" i="3"/>
  <c r="E160" i="8"/>
  <c r="F160" i="8" s="1"/>
  <c r="F161" i="8" s="1"/>
  <c r="I160" i="8"/>
  <c r="J160" i="8" s="1"/>
  <c r="J161" i="8" s="1"/>
  <c r="G160" i="8"/>
  <c r="H160" i="8" s="1"/>
  <c r="H161" i="8" s="1"/>
  <c r="K160" i="8"/>
  <c r="L160" i="8" s="1"/>
  <c r="L161" i="8" s="1"/>
  <c r="D160" i="8"/>
  <c r="D161" i="8" s="1"/>
  <c r="I175" i="8"/>
  <c r="J175" i="8" s="1"/>
  <c r="J176" i="8" s="1"/>
  <c r="E175" i="8"/>
  <c r="F175" i="8" s="1"/>
  <c r="F176" i="8" s="1"/>
  <c r="K175" i="8"/>
  <c r="L175" i="8" s="1"/>
  <c r="L176" i="8" s="1"/>
  <c r="G175" i="8"/>
  <c r="H175" i="8" s="1"/>
  <c r="H176" i="8" s="1"/>
  <c r="D175" i="8"/>
  <c r="D176" i="8" s="1"/>
  <c r="K184" i="8"/>
  <c r="L184" i="8" s="1"/>
  <c r="G184" i="8"/>
  <c r="H184" i="8" s="1"/>
  <c r="I184" i="8"/>
  <c r="J184" i="8" s="1"/>
  <c r="E184" i="8"/>
  <c r="F184" i="8" s="1"/>
  <c r="D184" i="8"/>
  <c r="AB11" i="3" l="1"/>
  <c r="AA15" i="3"/>
  <c r="Z8" i="3"/>
  <c r="AA21" i="3"/>
  <c r="AA9" i="3"/>
  <c r="AA22" i="3"/>
  <c r="D110" i="6"/>
  <c r="D108" i="6"/>
  <c r="AA37" i="3"/>
  <c r="D97" i="9"/>
  <c r="D98" i="9"/>
  <c r="F185" i="8"/>
  <c r="E102" i="5"/>
  <c r="D104" i="6"/>
  <c r="E97" i="5"/>
  <c r="E112" i="5" s="1"/>
  <c r="E129" i="5" s="1"/>
  <c r="E134" i="5" s="1"/>
  <c r="C183" i="5" s="1"/>
  <c r="D183" i="5" s="1"/>
  <c r="D103" i="9"/>
  <c r="D114" i="9" s="1"/>
  <c r="D131" i="9" s="1"/>
  <c r="D136" i="9" s="1"/>
  <c r="Z15" i="3"/>
  <c r="C141" i="6"/>
  <c r="AB22" i="3" s="1"/>
  <c r="Z10" i="3"/>
  <c r="E109" i="5"/>
  <c r="E116" i="5" s="1"/>
  <c r="E133" i="5" s="1"/>
  <c r="E138" i="5" s="1"/>
  <c r="K183" i="5" s="1"/>
  <c r="L183" i="5" s="1"/>
  <c r="E110" i="5"/>
  <c r="E101" i="5"/>
  <c r="E111" i="5"/>
  <c r="L185" i="8"/>
  <c r="J185" i="8"/>
  <c r="D110" i="9"/>
  <c r="D105" i="9"/>
  <c r="D100" i="9"/>
  <c r="D113" i="9" s="1"/>
  <c r="D130" i="9" s="1"/>
  <c r="D135" i="9" s="1"/>
  <c r="D185" i="8"/>
  <c r="H185" i="8"/>
  <c r="D99" i="9"/>
  <c r="AA10" i="3"/>
  <c r="AA12" i="3"/>
  <c r="D98" i="6"/>
  <c r="AA16" i="3"/>
  <c r="N33" i="3"/>
  <c r="N34" i="3"/>
  <c r="N30" i="3"/>
  <c r="N35" i="3"/>
  <c r="N31" i="3"/>
  <c r="N26" i="3"/>
  <c r="D104" i="9"/>
  <c r="D109" i="9"/>
  <c r="D116" i="9" s="1"/>
  <c r="D133" i="9" s="1"/>
  <c r="D138" i="9" s="1"/>
  <c r="E98" i="5"/>
  <c r="E108" i="5"/>
  <c r="E103" i="5"/>
  <c r="E114" i="5" s="1"/>
  <c r="E131" i="5" s="1"/>
  <c r="E136" i="5" s="1"/>
  <c r="G183" i="5" s="1"/>
  <c r="H183" i="5" s="1"/>
  <c r="E99" i="5"/>
  <c r="E100" i="5"/>
  <c r="E113" i="5" s="1"/>
  <c r="E130" i="5" s="1"/>
  <c r="E135" i="5" s="1"/>
  <c r="E183" i="5" s="1"/>
  <c r="F183" i="5" s="1"/>
  <c r="X36" i="3"/>
  <c r="X25" i="3"/>
  <c r="X32" i="3"/>
  <c r="X28" i="3"/>
  <c r="X24" i="3"/>
  <c r="F27" i="3"/>
  <c r="F29" i="3"/>
  <c r="L28" i="3"/>
  <c r="L32" i="3"/>
  <c r="L36" i="3"/>
  <c r="L25" i="3"/>
  <c r="L24" i="3"/>
  <c r="C190" i="5"/>
  <c r="C175" i="5"/>
  <c r="C154" i="5"/>
  <c r="C172" i="5"/>
  <c r="C166" i="5"/>
  <c r="C160" i="5"/>
  <c r="C178" i="5"/>
  <c r="C148" i="5"/>
  <c r="C184" i="5"/>
  <c r="C187" i="5"/>
  <c r="X30" i="3"/>
  <c r="X34" i="3"/>
  <c r="X35" i="3"/>
  <c r="X31" i="3"/>
  <c r="X26" i="3"/>
  <c r="X33" i="3"/>
  <c r="F25" i="3"/>
  <c r="F36" i="3"/>
  <c r="F32" i="3"/>
  <c r="F28" i="3"/>
  <c r="F24" i="3"/>
  <c r="H32" i="3"/>
  <c r="H28" i="3"/>
  <c r="H25" i="3"/>
  <c r="H24" i="3"/>
  <c r="N24" i="3"/>
  <c r="N36" i="3"/>
  <c r="N25" i="3"/>
  <c r="N32" i="3"/>
  <c r="N28" i="3"/>
  <c r="D107" i="9"/>
  <c r="D106" i="9"/>
  <c r="D115" i="9" s="1"/>
  <c r="D132" i="9" s="1"/>
  <c r="D137" i="9" s="1"/>
  <c r="Z27" i="3" s="1"/>
  <c r="D101" i="9"/>
  <c r="D112" i="9"/>
  <c r="D129" i="9" s="1"/>
  <c r="D134" i="9" s="1"/>
  <c r="E106" i="5"/>
  <c r="E115" i="5" s="1"/>
  <c r="E132" i="5" s="1"/>
  <c r="E137" i="5" s="1"/>
  <c r="I183" i="5" s="1"/>
  <c r="J183" i="5" s="1"/>
  <c r="E105" i="5"/>
  <c r="N29" i="3"/>
  <c r="N27" i="3"/>
  <c r="H29" i="3"/>
  <c r="H26" i="3"/>
  <c r="H34" i="3"/>
  <c r="H33" i="3"/>
  <c r="H31" i="3"/>
  <c r="J33" i="3"/>
  <c r="J30" i="3"/>
  <c r="J26" i="3"/>
  <c r="F35" i="3"/>
  <c r="F33" i="3"/>
  <c r="F30" i="3"/>
  <c r="F31" i="3"/>
  <c r="F26" i="3"/>
  <c r="F34" i="3"/>
  <c r="L34" i="3"/>
  <c r="L31" i="3"/>
  <c r="L26" i="3"/>
  <c r="L33" i="3"/>
  <c r="L30" i="3"/>
  <c r="L35" i="3"/>
  <c r="L29" i="3"/>
  <c r="L27" i="3"/>
  <c r="AB37" i="3"/>
  <c r="D111" i="6"/>
  <c r="D105" i="6"/>
  <c r="D102" i="6"/>
  <c r="D97" i="6"/>
  <c r="D112" i="6" s="1"/>
  <c r="D129" i="6" s="1"/>
  <c r="D134" i="6" s="1"/>
  <c r="D106" i="6"/>
  <c r="D115" i="6" s="1"/>
  <c r="D132" i="6" s="1"/>
  <c r="D137" i="6" s="1"/>
  <c r="Z13" i="3" s="1"/>
  <c r="D101" i="6"/>
  <c r="D100" i="6"/>
  <c r="D113" i="6" s="1"/>
  <c r="D130" i="6" s="1"/>
  <c r="D135" i="6" s="1"/>
  <c r="D103" i="6"/>
  <c r="D114" i="6" s="1"/>
  <c r="D131" i="6" s="1"/>
  <c r="D136" i="6" s="1"/>
  <c r="D109" i="6"/>
  <c r="D116" i="6" s="1"/>
  <c r="D133" i="6" s="1"/>
  <c r="D138" i="6" s="1"/>
  <c r="D107" i="6"/>
  <c r="D102" i="9"/>
  <c r="D111" i="9"/>
  <c r="D108" i="9"/>
  <c r="E107" i="5"/>
  <c r="X27" i="3"/>
  <c r="X29" i="3"/>
  <c r="AB19" i="3"/>
  <c r="AB8" i="3"/>
  <c r="AB14" i="3"/>
  <c r="AB7" i="3"/>
  <c r="AB6" i="3"/>
  <c r="AB17" i="3"/>
  <c r="AB21" i="3"/>
  <c r="AB9" i="3"/>
  <c r="AB10" i="3" l="1"/>
  <c r="AB15" i="3"/>
  <c r="AB12" i="3"/>
  <c r="AB16" i="3"/>
  <c r="AB18" i="3"/>
  <c r="Y32" i="3"/>
  <c r="AA23" i="3"/>
  <c r="AA39" i="3" s="1"/>
  <c r="G10" i="10" s="1"/>
  <c r="H10" i="10" s="1"/>
  <c r="Y31" i="3"/>
  <c r="Z20" i="3"/>
  <c r="Z11" i="3"/>
  <c r="G178" i="5"/>
  <c r="H178" i="5" s="1"/>
  <c r="H179" i="5" s="1"/>
  <c r="K178" i="5"/>
  <c r="L178" i="5" s="1"/>
  <c r="L179" i="5" s="1"/>
  <c r="E178" i="5"/>
  <c r="F178" i="5" s="1"/>
  <c r="F179" i="5" s="1"/>
  <c r="I178" i="5"/>
  <c r="J178" i="5" s="1"/>
  <c r="J179" i="5" s="1"/>
  <c r="R13" i="3" s="1"/>
  <c r="D178" i="5"/>
  <c r="D179" i="5" s="1"/>
  <c r="K154" i="5"/>
  <c r="L154" i="5" s="1"/>
  <c r="L155" i="5" s="1"/>
  <c r="G154" i="5"/>
  <c r="H154" i="5" s="1"/>
  <c r="H155" i="5" s="1"/>
  <c r="E154" i="5"/>
  <c r="F154" i="5" s="1"/>
  <c r="F155" i="5" s="1"/>
  <c r="I154" i="5"/>
  <c r="J154" i="5" s="1"/>
  <c r="J155" i="5" s="1"/>
  <c r="H13" i="3" s="1"/>
  <c r="D154" i="5"/>
  <c r="D155" i="5" s="1"/>
  <c r="Z16" i="3"/>
  <c r="Z9" i="3"/>
  <c r="Z17" i="3"/>
  <c r="Z19" i="3"/>
  <c r="Z14" i="3"/>
  <c r="Z7" i="3"/>
  <c r="Y30" i="3"/>
  <c r="Y36" i="3"/>
  <c r="G187" i="5"/>
  <c r="H187" i="5" s="1"/>
  <c r="H188" i="5" s="1"/>
  <c r="K187" i="5"/>
  <c r="L187" i="5" s="1"/>
  <c r="L188" i="5" s="1"/>
  <c r="E187" i="5"/>
  <c r="F187" i="5" s="1"/>
  <c r="F188" i="5" s="1"/>
  <c r="I187" i="5"/>
  <c r="J187" i="5" s="1"/>
  <c r="J188" i="5" s="1"/>
  <c r="V13" i="3" s="1"/>
  <c r="D187" i="5"/>
  <c r="D188" i="5" s="1"/>
  <c r="E160" i="5"/>
  <c r="F160" i="5" s="1"/>
  <c r="F161" i="5" s="1"/>
  <c r="I160" i="5"/>
  <c r="J160" i="5" s="1"/>
  <c r="J161" i="5" s="1"/>
  <c r="J13" i="3" s="1"/>
  <c r="K160" i="5"/>
  <c r="L160" i="5" s="1"/>
  <c r="L161" i="5" s="1"/>
  <c r="G160" i="5"/>
  <c r="H160" i="5" s="1"/>
  <c r="H161" i="5" s="1"/>
  <c r="D160" i="5"/>
  <c r="D161" i="5" s="1"/>
  <c r="K175" i="5"/>
  <c r="L175" i="5" s="1"/>
  <c r="L176" i="5" s="1"/>
  <c r="G175" i="5"/>
  <c r="H175" i="5" s="1"/>
  <c r="H176" i="5" s="1"/>
  <c r="I175" i="5"/>
  <c r="J175" i="5" s="1"/>
  <c r="J176" i="5" s="1"/>
  <c r="P13" i="3" s="1"/>
  <c r="E175" i="5"/>
  <c r="F175" i="5" s="1"/>
  <c r="F176" i="5" s="1"/>
  <c r="D175" i="5"/>
  <c r="D176" i="5" s="1"/>
  <c r="Y27" i="3"/>
  <c r="Y29" i="3"/>
  <c r="Y34" i="3"/>
  <c r="Y33" i="3"/>
  <c r="Y24" i="3"/>
  <c r="Y25" i="3"/>
  <c r="I184" i="5"/>
  <c r="J184" i="5" s="1"/>
  <c r="E184" i="5"/>
  <c r="F184" i="5" s="1"/>
  <c r="F185" i="5" s="1"/>
  <c r="G184" i="5"/>
  <c r="H184" i="5" s="1"/>
  <c r="H185" i="5" s="1"/>
  <c r="K184" i="5"/>
  <c r="L184" i="5" s="1"/>
  <c r="L185" i="5" s="1"/>
  <c r="D184" i="5"/>
  <c r="D185" i="5" s="1"/>
  <c r="I166" i="5"/>
  <c r="J166" i="5" s="1"/>
  <c r="J167" i="5" s="1"/>
  <c r="L13" i="3" s="1"/>
  <c r="E166" i="5"/>
  <c r="F166" i="5" s="1"/>
  <c r="F167" i="5" s="1"/>
  <c r="D166" i="5"/>
  <c r="D167" i="5" s="1"/>
  <c r="G166" i="5"/>
  <c r="H166" i="5" s="1"/>
  <c r="H167" i="5" s="1"/>
  <c r="K166" i="5"/>
  <c r="L166" i="5" s="1"/>
  <c r="L167" i="5" s="1"/>
  <c r="K190" i="5"/>
  <c r="L190" i="5" s="1"/>
  <c r="L191" i="5" s="1"/>
  <c r="G190" i="5"/>
  <c r="H190" i="5" s="1"/>
  <c r="H191" i="5" s="1"/>
  <c r="E190" i="5"/>
  <c r="F190" i="5" s="1"/>
  <c r="F191" i="5" s="1"/>
  <c r="I190" i="5"/>
  <c r="J190" i="5" s="1"/>
  <c r="J191" i="5" s="1"/>
  <c r="X13" i="3" s="1"/>
  <c r="D190" i="5"/>
  <c r="D191" i="5" s="1"/>
  <c r="Y26" i="3"/>
  <c r="Y35" i="3"/>
  <c r="J185" i="5"/>
  <c r="T13" i="3" s="1"/>
  <c r="Z34" i="3"/>
  <c r="Z30" i="3"/>
  <c r="Y28" i="3"/>
  <c r="G148" i="5"/>
  <c r="H148" i="5" s="1"/>
  <c r="H149" i="5" s="1"/>
  <c r="K148" i="5"/>
  <c r="L148" i="5" s="1"/>
  <c r="L149" i="5" s="1"/>
  <c r="E148" i="5"/>
  <c r="F148" i="5" s="1"/>
  <c r="F149" i="5" s="1"/>
  <c r="D148" i="5"/>
  <c r="D149" i="5" s="1"/>
  <c r="I148" i="5"/>
  <c r="J148" i="5" s="1"/>
  <c r="J149" i="5" s="1"/>
  <c r="F13" i="3" s="1"/>
  <c r="I172" i="5"/>
  <c r="J172" i="5" s="1"/>
  <c r="J173" i="5" s="1"/>
  <c r="N13" i="3" s="1"/>
  <c r="K172" i="5"/>
  <c r="L172" i="5" s="1"/>
  <c r="L173" i="5" s="1"/>
  <c r="G172" i="5"/>
  <c r="H172" i="5" s="1"/>
  <c r="H173" i="5" s="1"/>
  <c r="E172" i="5"/>
  <c r="F172" i="5" s="1"/>
  <c r="F173" i="5" s="1"/>
  <c r="D172" i="5"/>
  <c r="D173" i="5" s="1"/>
  <c r="AB23" i="3" l="1"/>
  <c r="AB39" i="3" s="1"/>
  <c r="G11" i="10" s="1"/>
  <c r="H11" i="10" s="1"/>
  <c r="Y13" i="3"/>
  <c r="Z37" i="3"/>
  <c r="T21" i="3"/>
  <c r="T10" i="3"/>
  <c r="T22" i="3"/>
  <c r="T15" i="3"/>
  <c r="T18" i="3"/>
  <c r="T16" i="3"/>
  <c r="T9" i="3"/>
  <c r="T12" i="3"/>
  <c r="F18" i="3"/>
  <c r="F12" i="3"/>
  <c r="F21" i="3"/>
  <c r="F22" i="3"/>
  <c r="F15" i="3"/>
  <c r="F16" i="3"/>
  <c r="F10" i="3"/>
  <c r="F9" i="3"/>
  <c r="N18" i="3"/>
  <c r="N16" i="3"/>
  <c r="N10" i="3"/>
  <c r="N9" i="3"/>
  <c r="N12" i="3"/>
  <c r="N21" i="3"/>
  <c r="N22" i="3"/>
  <c r="N15" i="3"/>
  <c r="P11" i="3"/>
  <c r="P20" i="3"/>
  <c r="R19" i="3"/>
  <c r="R6" i="3"/>
  <c r="R14" i="3"/>
  <c r="R7" i="3"/>
  <c r="R17" i="3"/>
  <c r="R8" i="3"/>
  <c r="N11" i="3"/>
  <c r="N20" i="3"/>
  <c r="X22" i="3"/>
  <c r="X15" i="3"/>
  <c r="X12" i="3"/>
  <c r="X16" i="3"/>
  <c r="X10" i="3"/>
  <c r="X9" i="3"/>
  <c r="X18" i="3"/>
  <c r="X21" i="3"/>
  <c r="L17" i="3"/>
  <c r="L6" i="3"/>
  <c r="L8" i="3"/>
  <c r="L19" i="3"/>
  <c r="L14" i="3"/>
  <c r="L7" i="3"/>
  <c r="T20" i="3"/>
  <c r="T11" i="3"/>
  <c r="J14" i="3"/>
  <c r="J7" i="3"/>
  <c r="J17" i="3"/>
  <c r="J8" i="3"/>
  <c r="J19" i="3"/>
  <c r="J6" i="3"/>
  <c r="V11" i="3"/>
  <c r="V20" i="3"/>
  <c r="Z23" i="3"/>
  <c r="Z39" i="3" s="1"/>
  <c r="G9" i="10" s="1"/>
  <c r="H9" i="10" s="1"/>
  <c r="F14" i="3"/>
  <c r="F7" i="3"/>
  <c r="F19" i="3"/>
  <c r="F6" i="3"/>
  <c r="F8" i="3"/>
  <c r="F17" i="3"/>
  <c r="L21" i="3"/>
  <c r="L10" i="3"/>
  <c r="L22" i="3"/>
  <c r="L15" i="3"/>
  <c r="L18" i="3"/>
  <c r="L16" i="3"/>
  <c r="L9" i="3"/>
  <c r="L12" i="3"/>
  <c r="T17" i="3"/>
  <c r="T6" i="3"/>
  <c r="T14" i="3"/>
  <c r="T7" i="3"/>
  <c r="T8" i="3"/>
  <c r="T19" i="3"/>
  <c r="P19" i="3"/>
  <c r="P8" i="3"/>
  <c r="P6" i="3"/>
  <c r="P14" i="3"/>
  <c r="P7" i="3"/>
  <c r="P17" i="3"/>
  <c r="R16" i="3"/>
  <c r="R9" i="3"/>
  <c r="R21" i="3"/>
  <c r="R12" i="3"/>
  <c r="R22" i="3"/>
  <c r="R15" i="3"/>
  <c r="R10" i="3"/>
  <c r="R18" i="3"/>
  <c r="N14" i="3"/>
  <c r="N7" i="3"/>
  <c r="N17" i="3"/>
  <c r="N19" i="3"/>
  <c r="N6" i="3"/>
  <c r="N8" i="3"/>
  <c r="F11" i="3"/>
  <c r="F20" i="3"/>
  <c r="X19" i="3"/>
  <c r="X8" i="3"/>
  <c r="X17" i="3"/>
  <c r="X6" i="3"/>
  <c r="X14" i="3"/>
  <c r="X7" i="3"/>
  <c r="X11" i="3"/>
  <c r="X20" i="3"/>
  <c r="Y37" i="3"/>
  <c r="J16" i="3"/>
  <c r="J9" i="3"/>
  <c r="J22" i="3"/>
  <c r="J15" i="3"/>
  <c r="J10" i="3"/>
  <c r="J18" i="3"/>
  <c r="J21" i="3"/>
  <c r="J12" i="3"/>
  <c r="V14" i="3"/>
  <c r="V7" i="3"/>
  <c r="V8" i="3"/>
  <c r="V17" i="3"/>
  <c r="V19" i="3"/>
  <c r="V6" i="3"/>
  <c r="V18" i="3"/>
  <c r="V22" i="3"/>
  <c r="V15" i="3"/>
  <c r="V16" i="3"/>
  <c r="V10" i="3"/>
  <c r="V9" i="3"/>
  <c r="V12" i="3"/>
  <c r="V21" i="3"/>
  <c r="H22" i="3"/>
  <c r="H15" i="3"/>
  <c r="H12" i="3"/>
  <c r="H21" i="3"/>
  <c r="H16" i="3"/>
  <c r="H10" i="3"/>
  <c r="H9" i="3"/>
  <c r="H18" i="3"/>
  <c r="L11" i="3"/>
  <c r="L20" i="3"/>
  <c r="P22" i="3"/>
  <c r="P15" i="3"/>
  <c r="P12" i="3"/>
  <c r="P18" i="3"/>
  <c r="P21" i="3"/>
  <c r="P16" i="3"/>
  <c r="P10" i="3"/>
  <c r="P9" i="3"/>
  <c r="J20" i="3"/>
  <c r="J11" i="3"/>
  <c r="H19" i="3"/>
  <c r="H8" i="3"/>
  <c r="H6" i="3"/>
  <c r="H14" i="3"/>
  <c r="H7" i="3"/>
  <c r="H17" i="3"/>
  <c r="H20" i="3"/>
  <c r="H11" i="3"/>
  <c r="R20" i="3"/>
  <c r="R11" i="3"/>
  <c r="Y8" i="3" l="1"/>
  <c r="Y22" i="3"/>
  <c r="Y6" i="3"/>
  <c r="Y10" i="3"/>
  <c r="Y21" i="3"/>
  <c r="Y11" i="3"/>
  <c r="Y14" i="3"/>
  <c r="Y9" i="3"/>
  <c r="Y19" i="3"/>
  <c r="Y16" i="3"/>
  <c r="Y12" i="3"/>
  <c r="Y20" i="3"/>
  <c r="Y17" i="3"/>
  <c r="Y7" i="3"/>
  <c r="Y15" i="3"/>
  <c r="Y18" i="3"/>
  <c r="Y23" i="3" l="1"/>
  <c r="Y39" i="3" l="1"/>
  <c r="AC41" i="3" l="1"/>
  <c r="AC42" i="3" s="1"/>
  <c r="G8" i="10"/>
  <c r="H8" i="10" l="1"/>
  <c r="H13" i="10" s="1"/>
  <c r="G13" i="10"/>
</calcChain>
</file>

<file path=xl/sharedStrings.xml><?xml version="1.0" encoding="utf-8"?>
<sst xmlns="http://schemas.openxmlformats.org/spreadsheetml/2006/main" count="1995" uniqueCount="619">
  <si>
    <t>MEMÓRIA DE CÁLCULO</t>
  </si>
  <si>
    <t>Premissas Utilizadas</t>
  </si>
  <si>
    <t>Quantidade média de dias úteis no mês</t>
  </si>
  <si>
    <t>Quantidade de dias no mês</t>
  </si>
  <si>
    <t>Módulo 1</t>
  </si>
  <si>
    <t>Salário Normativo</t>
  </si>
  <si>
    <t>CCT</t>
  </si>
  <si>
    <t>Data Base</t>
  </si>
  <si>
    <t>CBO</t>
  </si>
  <si>
    <t xml:space="preserve">Valor da diária do carregador </t>
  </si>
  <si>
    <t>SC000316/2022</t>
  </si>
  <si>
    <t>5143-20</t>
  </si>
  <si>
    <t>Valor baseado em Pesquisa de Preços anexa ao Processo</t>
  </si>
  <si>
    <t>Carga horária semanal</t>
  </si>
  <si>
    <t>Salário Base (Cl. 3ª 01)</t>
  </si>
  <si>
    <t>Encarregado de 16 a 35 empregados</t>
  </si>
  <si>
    <t>+ 20% insalubridade</t>
  </si>
  <si>
    <t>Encarregado de 36 a 100 empregados (Cl. 3º CCT)</t>
  </si>
  <si>
    <t>Adicional de risco limpeza de vidros e fachadas de risco ( Cl.3º)</t>
  </si>
  <si>
    <t>+ 30% de periculosidade</t>
  </si>
  <si>
    <t>módulo 2</t>
  </si>
  <si>
    <t>Módulo 2.3</t>
  </si>
  <si>
    <t>custo empregado</t>
  </si>
  <si>
    <t>custo da empresa</t>
  </si>
  <si>
    <t>Auxílio alimentação 44h  ( Cl.12ª)</t>
  </si>
  <si>
    <t>Auxílio alimentação 30h  ( Cl.12ª)</t>
  </si>
  <si>
    <t>Auxílio transporte  ( Cl.14ª)</t>
  </si>
  <si>
    <t>Prêmio Assiduidade  ( Cl.11º)</t>
  </si>
  <si>
    <t>Assistência ao Trabalhador  ( Cl.16º)</t>
  </si>
  <si>
    <t>Módulo 3</t>
  </si>
  <si>
    <t>3.1 -A - Aviso Prévio Indenizado:  Fórmula do Percentual: 1/12 x 5% = 0,42%; Fórmula: Total da Remuneração x 0,42%</t>
  </si>
  <si>
    <t>→ Proporção estimada dos empregados demitidos com Aviso Prévio Indenizado, no primeiro período de 12 meses, durante a vigência do contrato: 5%.</t>
  </si>
  <si>
    <t>C - Multa do FGTS sobre Aviso Prévio Indenizado -</t>
  </si>
  <si>
    <t>(Considerando que a multa do FGTS  incide uma única vez sobre a totalidade dos meses de contrato, independentemente da espécie de Aviso Prévio  - trabalhado ou indenizado -,  zeramos essa rubrica e aportamos na sua totalidade na alínea “f” deste mesmo módulo.)</t>
  </si>
  <si>
    <t>D - Aviso Prévio Trabalhado: Fórmula do Percentual: 1 / 30 dias x 7 dias / 12 meses = 1,94%; Fórmula: Total da Remuneração x 1,</t>
  </si>
  <si>
    <t>→ Foi considerado que 100% dos empregados seriam demitidos com Aviso Prévio Trabalhado ao final do contrato.</t>
  </si>
  <si>
    <t>(Esta parcela e seus reflexos  deverão ser reduzidos após o primeiro ano da contratação para o percentual máximo de 0,194% e, 0,072%, respectivamente: Acórdão 1.186/2017-P).</t>
  </si>
  <si>
    <t>OBS: Nas prorrogações deverá constar da planilha de custos somente a previsão da extensão do aviso prévio, consoante disposto na Lei nº 12.506/2011, de 03 dias a mais por ano trabalhado, até o limite máximo de 42 dias, haja vista que os contratos poderão ser prorrogados até 60 meses.</t>
  </si>
  <si>
    <t>F - Multa FGTS e contribuição social - Fórmula do Percentual: Alíquota do FGTS (8%) x Multa do FGTS (40%) x 90% x (1 + 1/12 + 1/12 + 1/3 x 1/12) = 3,44% ; Fórmula: (Total da Remuneração) x 3,44%</t>
  </si>
  <si>
    <t>→ Foi considerado que 10% dos empregados pedem as contas.</t>
  </si>
  <si>
    <t>Módulo 4</t>
  </si>
  <si>
    <t>4.1 - Substituto nas Ausências Legais</t>
  </si>
  <si>
    <t>A - Substituto na cobertura de Férias</t>
  </si>
  <si>
    <t>Provisão para as despesas com o pagamento do substituto do empregado residente, quando este se ausentar em razões de suas férias - Fórmula do Percentual: 1/12 = 8,33% ; Fórmula: (MÓDULO 1 + 2 + 3) x 8,33%</t>
  </si>
  <si>
    <t>B – Subs. cobertura de Ausências Legais</t>
  </si>
  <si>
    <t>Provisão para cobertura das despesas eventuais com outras faltas legais (justificadas ou abonadas por lei) - Fórmula do Percentual: Média de ausências por ano * (4,874) / dias do mês (30) / doze meses = 1,3538%;    Fórmula: (MÓDULO 1 + 2 + 3) x 1,3538%</t>
  </si>
  <si>
    <t>Ausência justificada</t>
  </si>
  <si>
    <t>Afastamento por doença</t>
  </si>
  <si>
    <t>* Fonte: Caderno técnico de Limpeza 2019 - Paraná - SEGES/ME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</si>
  <si>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</si>
  <si>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</si>
  <si>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</si>
  <si>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</si>
  <si>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</si>
  <si>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</si>
  <si>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TOTAL</t>
  </si>
  <si>
    <t>C - Subst. cobertura de Licença Parternidade</t>
  </si>
  <si>
    <t>Fórmula do Percentual: 5 dias de licença (5 / 30) / 12 meses x percentual estatístico* x percentual de empregados do sexo masculino** ;    Fórmula: (MÓDULO 1 + 2 + 3) x 0,02%</t>
  </si>
  <si>
    <t xml:space="preserve">*Expectativa anual de nascimento de filhos dos trabalhadores (IBGE – Manual de Preenchimento da Planilha de Custos): </t>
  </si>
  <si>
    <t>**Percentual de Homens: Limpeza 51,67%</t>
  </si>
  <si>
    <t>D - Subst.  cobertura de Ausências por acidente de trabalho</t>
  </si>
  <si>
    <t>Lei  8.213/91 obriga o empregador a assumir o ônus financeiro pelo prazo de 15 dias, no caso de acidente de trabalho previsto no art. 131 da CLT. Fórmula do Percentual: 0,9659 * dias / 30 dias do mês / 12 meses = 0,2681% ; Fórmula: (MÓDULO 1 + 2 + 3) x 0,2681%</t>
  </si>
  <si>
    <t>* Média de faltas anuais por acidente de trabalho( dias)</t>
  </si>
  <si>
    <t>4.3 - Afastamento Maternidade</t>
  </si>
  <si>
    <t>A - Afastamento Maternidade</t>
  </si>
  <si>
    <t>Fórmula do Percentual: (Dias licença: 120 / Dias no mês: 30 ) x Percentual de Mulheres* x Expectativa mensal de Afastamento Maternidade**;  Fórmula: (13° Salário + Férias + Adicional Férias + Submódulo 2.2 + Benefícios Mensais excluídos vale transporte e vale refeição) x Percentual Encontrado</t>
  </si>
  <si>
    <t xml:space="preserve">*Percentual de Mulheres Limpeza </t>
  </si>
  <si>
    <t>**Expectativa mensal Afastamento Maternidade (Censo IBGE)</t>
  </si>
  <si>
    <t>Módulo 6</t>
  </si>
  <si>
    <t>A - Custos Indiretos</t>
  </si>
  <si>
    <t>B - Lucro</t>
  </si>
  <si>
    <t>Vale Transporte e ISS</t>
  </si>
  <si>
    <t>Unidade Orgânica GEX Florianópolis</t>
  </si>
  <si>
    <t>ISS</t>
  </si>
  <si>
    <t>VT</t>
  </si>
  <si>
    <t>Serventes</t>
  </si>
  <si>
    <t>VT*Servente</t>
  </si>
  <si>
    <t>GERÊNCIA EXECUTIVA CHAPECÓ</t>
  </si>
  <si>
    <t>Unidade Orgânica GEX Ponta Grossa</t>
  </si>
  <si>
    <t>APS CAÇADOR</t>
  </si>
  <si>
    <t>GERÊNCIA EXECUTIVA e APS CRICIÚMA</t>
  </si>
  <si>
    <t>APS CHAPECÓ</t>
  </si>
  <si>
    <t>CEDOC Prev</t>
  </si>
  <si>
    <t>APS CONCÓRDIA</t>
  </si>
  <si>
    <t>APS ARARANGUÁ</t>
  </si>
  <si>
    <t>APS JOAÇABA</t>
  </si>
  <si>
    <t>APS BRAÇO DO NORTE</t>
  </si>
  <si>
    <t>APS MARAVILHA/SC</t>
  </si>
  <si>
    <t>APS LAGUNA</t>
  </si>
  <si>
    <t>APS SÃO LOURENÇO DO OESTE</t>
  </si>
  <si>
    <t>APS ORLEANS</t>
  </si>
  <si>
    <t>APS SÃO MIGUEL D OESTE</t>
  </si>
  <si>
    <t>APS TUBARÃO</t>
  </si>
  <si>
    <t>APS VIDEIRA</t>
  </si>
  <si>
    <t>APS URUSSANGA</t>
  </si>
  <si>
    <t>APS XANXERÊ</t>
  </si>
  <si>
    <t>APS IÇARA</t>
  </si>
  <si>
    <t>APS CAMPOS NOVOS</t>
  </si>
  <si>
    <t>APS LAURO MÜLLER</t>
  </si>
  <si>
    <t>APS CAPINZAL</t>
  </si>
  <si>
    <t>APS SOMBRIO</t>
  </si>
  <si>
    <t>APS FRAIBURGO</t>
  </si>
  <si>
    <t>APS FORQUILHINHA</t>
  </si>
  <si>
    <t>APS PINHALZINHO/SC</t>
  </si>
  <si>
    <t>APS CAPIVARI DE BAIXO</t>
  </si>
  <si>
    <t>APS PORTO UNIÃO</t>
  </si>
  <si>
    <t>Média Simples VT</t>
  </si>
  <si>
    <t>APS XAXIM</t>
  </si>
  <si>
    <t>Média Ponderada VT</t>
  </si>
  <si>
    <t>APS DIONÍSIO CERQUEIRA</t>
  </si>
  <si>
    <t>MATERIAIS</t>
  </si>
  <si>
    <t>Formalização da pesquisa de preços</t>
  </si>
  <si>
    <t>DISCRIMINAÇÃO</t>
  </si>
  <si>
    <t>UNIDADE</t>
  </si>
  <si>
    <t>QUANTIDADE DEFINIDA POR SERVENTE</t>
  </si>
  <si>
    <t>PREÇO MEDIO – PAINEL DE PREÇOS (R$)</t>
  </si>
  <si>
    <t>PREÇO MÉDIO - INTERNET (R$)</t>
  </si>
  <si>
    <t>CUSTO MÉDIO (R$)</t>
  </si>
  <si>
    <t>CUSTO MENSAL MATERIAIS POR SERVENTE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</si>
  <si>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</si>
  <si>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</si>
  <si>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</si>
  <si>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</si>
  <si>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</si>
  <si>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</si>
  <si>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</si>
  <si>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</si>
  <si>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</si>
  <si>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</si>
  <si>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</si>
  <si>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</si>
  <si>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</si>
  <si>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</si>
  <si>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</si>
  <si>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</si>
  <si>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5 litros</t>
  </si>
  <si>
    <t>I, X</t>
  </si>
  <si>
    <t>Desinfetante de uso geral/banheiro</t>
  </si>
  <si>
    <t>II, X</t>
  </si>
  <si>
    <t>Desincrustante limpeza pesada piso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</si>
  <si>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</si>
  <si>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</si>
  <si>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</si>
  <si>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</si>
  <si>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</si>
  <si>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</si>
  <si>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</si>
  <si>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</si>
  <si>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pesada,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</si>
  <si>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</si>
  <si>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</si>
  <si>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</si>
  <si>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</si>
  <si>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</si>
  <si>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</si>
  <si>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</si>
  <si>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</si>
  <si>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</si>
  <si>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</si>
  <si>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</si>
  <si>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500ml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</si>
  <si>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</si>
  <si>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</si>
  <si>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</si>
  <si>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</si>
  <si>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</si>
  <si>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</si>
  <si>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</si>
  <si>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</si>
  <si>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</si>
  <si>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</si>
  <si>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</si>
  <si>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Rolão ( fardo 8un)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</si>
  <si>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</si>
  <si>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</si>
  <si>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</si>
  <si>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</si>
  <si>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</si>
  <si>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</si>
  <si>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</si>
  <si>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</si>
  <si>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</si>
  <si>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</si>
  <si>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</si>
  <si>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</si>
  <si>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</si>
  <si>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</si>
  <si>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</si>
  <si>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</si>
  <si>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UTENSÍLIOS</t>
  </si>
  <si>
    <t>QUANTIDADE DEFINIDA POR SERVENTE (ANUAL)</t>
  </si>
  <si>
    <t>CUSTO MENSAL UTENSÍLIOS POR SERVENTE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</si>
  <si>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</si>
  <si>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</si>
  <si>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</si>
  <si>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</si>
  <si>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</si>
  <si>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</si>
  <si>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</si>
  <si>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</si>
  <si>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</si>
  <si>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</si>
  <si>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Mop Úmido Refil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</si>
  <si>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</si>
  <si>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</si>
  <si>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</si>
  <si>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</si>
  <si>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</si>
  <si>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</si>
  <si>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</si>
  <si>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</si>
  <si>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</si>
  <si>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</si>
  <si>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</si>
  <si>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</si>
  <si>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CUSTO UTENSÍLIO MENSAL POR SERVENTE</t>
  </si>
  <si>
    <t>CUSTO TOTAL DE MATERIAIS + UTENSÍLIOS POR SERVENTE</t>
  </si>
  <si>
    <t>MATERIAIS/UTENSÍLIOS PARA ÁREA SANITIZAÇÃO</t>
  </si>
  <si>
    <t>QUANTIDADE DEFINIDA POR SERVENTE (MENSAL)</t>
  </si>
  <si>
    <t>PREÇO MÉDIO – PAINEL DE PREÇOS (R$)</t>
  </si>
  <si>
    <t>CUSTO MENSAL MATERIAIS (R$)</t>
  </si>
  <si>
    <t>Álcool isopropílico</t>
  </si>
  <si>
    <t>III</t>
  </si>
  <si>
    <t>XI</t>
  </si>
  <si>
    <t>Saco para Lixo Leitoso reforçado 100L</t>
  </si>
  <si>
    <t>V</t>
  </si>
  <si>
    <t>QUANTIDADE DEFINIDA (anual)</t>
  </si>
  <si>
    <t>CUSTO MENSAL MATERIAIS (R$) - GEX Ponta Grossa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</si>
  <si>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</si>
  <si>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</si>
  <si>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</si>
  <si>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</si>
  <si>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</si>
  <si>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>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</si>
  <si>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</si>
  <si>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</si>
  <si>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</si>
  <si>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</si>
  <si>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</si>
  <si>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equipamentos,</t>
  </si>
  <si>
    <t>X. Diversos</t>
  </si>
  <si>
    <t>EQUIPAMENTOS</t>
  </si>
  <si>
    <t>QUANTIDADE DEFINIDA (1 por Unidade) GEXCHA</t>
  </si>
  <si>
    <t>QUANTIDADE DEFINIDA (1 por Unidade) GEXCRI</t>
  </si>
  <si>
    <t>CUSTO MENSAL EQUIPAMENTOS (R$) - GEXCHA</t>
  </si>
  <si>
    <t>CUSTO MENSAL EQUIPAMENTOS (R$) - GEXCRI</t>
  </si>
  <si>
    <t>Aspirador de Pó</t>
  </si>
  <si>
    <t>Cabo Extensor para Limpeza (5 metros)</t>
  </si>
  <si>
    <t>Carro funcional c/ bolsa, metal/plástico, 3 prat.</t>
  </si>
  <si>
    <t>Enceradeira industrial DC 350 ( 60 meses)</t>
  </si>
  <si>
    <t>Escada domés.  Alum. Degraus 4 a 6, Antiderrap</t>
  </si>
  <si>
    <t>Extensão elétrica de 15mt</t>
  </si>
  <si>
    <t xml:space="preserve">Lavadora de alta pressão mínimo 1.500 LB  </t>
  </si>
  <si>
    <t>Mangueira de jardim 20m, c/ esguicho/engate</t>
  </si>
  <si>
    <t>Placa sinalizadora (Piso Molhado)</t>
  </si>
  <si>
    <t>Rastelo de Jardim ( APS com areas verdes)</t>
  </si>
  <si>
    <t>TOTAL GERAL ( 60 MESES)</t>
  </si>
  <si>
    <t>TOTAL ANUAL DE EQUIPAMENTOS  - Depreciação Anual conforme tabela da RFB -</t>
  </si>
  <si>
    <t>VALOR POR SERVENTE</t>
  </si>
  <si>
    <t>UNIFORMES</t>
  </si>
  <si>
    <t xml:space="preserve">QUANTIDADE DEFINIDA (anual) </t>
  </si>
  <si>
    <t>PREÇO MÉDIO – PAINEL DE PREÇOS</t>
  </si>
  <si>
    <t>PEÇO MÉDIO - INTERNET</t>
  </si>
  <si>
    <t>CUSTO MÉDIO</t>
  </si>
  <si>
    <t>CUSTO MENSAL UNIFORMES - GEX Chapecó</t>
  </si>
  <si>
    <t>CUSTO MENSAL UNIFORMES - GEX Criciúma</t>
  </si>
  <si>
    <t>SERVENTES</t>
  </si>
  <si>
    <t>Bata ( avental) pano</t>
  </si>
  <si>
    <t>Bota de borracha</t>
  </si>
  <si>
    <t>Calça</t>
  </si>
  <si>
    <t>Camiseta</t>
  </si>
  <si>
    <t>Crachá, protetor, jacaré, cordão e regulador</t>
  </si>
  <si>
    <t>Sapato segurança</t>
  </si>
  <si>
    <t>ENCARREGADAS</t>
  </si>
  <si>
    <t xml:space="preserve">Calça Social </t>
  </si>
  <si>
    <t>Camisa social  manga curta/longa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</si>
  <si>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</si>
  <si>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</si>
  <si>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</si>
  <si>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</si>
  <si>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</si>
  <si>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(Serventes 20 ou 30h)</t>
  </si>
  <si>
    <t>QUANTIDADE DEFINIDA MENSAL (Serventes 40 ou 44h)</t>
  </si>
  <si>
    <t>PREÇO MÉDIO - INTERNET</t>
  </si>
  <si>
    <t>CUSTO MENSAL DE EPIS (Servente 20 ou 30h)</t>
  </si>
  <si>
    <t>CUSTO MENSAL DE EPIS (Servente 40 ou 44h)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</si>
  <si>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</si>
  <si>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</si>
  <si>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</si>
  <si>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</si>
  <si>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</si>
  <si>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</si>
  <si>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 (Serventes 20 ou 30h)</t>
  </si>
  <si>
    <t>QUANTIDADE DEFINIDA ANUAL  (Serventes 40 ou 44h)</t>
  </si>
  <si>
    <t>PREÇO MEDIO – PAINEL DE PREÇOS</t>
  </si>
  <si>
    <t>EPIs USO GERAL</t>
  </si>
  <si>
    <t>Avental impermeável de pvc</t>
  </si>
  <si>
    <t>Luva proteção de raspa de couro, cano curto</t>
  </si>
  <si>
    <t>Óculos de proteção lente transparente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</si>
  <si>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</si>
  <si>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</si>
  <si>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</si>
  <si>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>3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</si>
  <si>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</si>
  <si>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</si>
  <si>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</si>
  <si>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</si>
  <si>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</si>
  <si>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</si>
  <si>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22 dias uteis mês</t>
  </si>
  <si>
    <t>PLANO DE TELEFONE  ENCARREGADA (O)</t>
  </si>
  <si>
    <t>Crédito celular encarregada</t>
  </si>
  <si>
    <t>POLO 4 - GEX CHAPECÓ E GEX CRICIÚMA</t>
  </si>
  <si>
    <t>ÁREA INTERNA</t>
  </si>
  <si>
    <t>ÁREA EXTERNA</t>
  </si>
  <si>
    <t>ESQUADRIAS</t>
  </si>
  <si>
    <t>ITEM 16</t>
  </si>
  <si>
    <t>ITEM 17</t>
  </si>
  <si>
    <t>ITEM 18</t>
  </si>
  <si>
    <t>ITEM 19</t>
  </si>
  <si>
    <t>ITEM 20</t>
  </si>
  <si>
    <t>Seq.</t>
  </si>
  <si>
    <t>Unidade Orgânica</t>
  </si>
  <si>
    <t>ISS %</t>
  </si>
  <si>
    <r>
      <rPr>
        <b/>
        <sz val="9"/>
        <color rgb="FF000000"/>
        <rFont val="Calibri"/>
        <family val="2"/>
        <charset val="1"/>
      </rP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</si>
  <si>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rPr>
        <b/>
        <sz val="9"/>
        <color rgb="FF000000"/>
        <rFont val="Calibri"/>
        <family val="2"/>
        <charset val="1"/>
      </rP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</si>
  <si>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rPr>
        <b/>
        <sz val="9"/>
        <color rgb="FF000000"/>
        <rFont val="Calibri"/>
        <family val="2"/>
        <charset val="1"/>
      </rP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</si>
  <si>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rPr>
        <b/>
        <sz val="9"/>
        <color rgb="FF000000"/>
        <rFont val="Calibri"/>
        <family val="2"/>
        <charset val="1"/>
      </rP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</si>
  <si>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rPr>
        <b/>
        <sz val="9"/>
        <color rgb="FF000000"/>
        <rFont val="Calibri"/>
        <family val="2"/>
        <charset val="1"/>
      </rP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</si>
  <si>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
 coleta de detritos em pátios e áreas verdes com frequência diária</t>
  </si>
  <si>
    <r>
      <rPr>
        <b/>
        <sz val="9"/>
        <color rgb="FF000000"/>
        <rFont val="Calibri"/>
        <family val="2"/>
        <charset val="1"/>
      </rP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</si>
  <si>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rPr>
        <b/>
        <sz val="10"/>
        <color rgb="FF000000"/>
        <rFont val="Calibri"/>
        <family val="2"/>
        <charset val="1"/>
      </rP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</si>
  <si>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rPr>
        <b/>
        <sz val="10"/>
        <color rgb="FF000000"/>
        <rFont val="Calibri"/>
        <family val="2"/>
        <charset val="1"/>
      </rP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</si>
  <si>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rPr>
        <b/>
        <sz val="9"/>
        <color rgb="FF000000"/>
        <rFont val="Calibri"/>
        <family val="2"/>
        <charset val="1"/>
      </rP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</si>
  <si>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Valor mensal                                   Limpeza odinária</t>
  </si>
  <si>
    <t>Valor mensal                                   Servente Covid</t>
  </si>
  <si>
    <t>Valor limite mensal - Horas eventuais Limp Ordinária</t>
  </si>
  <si>
    <t>Valor limite mensal - horas eventuais COVID</t>
  </si>
  <si>
    <t>Valor mensal item IV                       Diárias carregadores</t>
  </si>
  <si>
    <t>Área</t>
  </si>
  <si>
    <t>Preço m²</t>
  </si>
  <si>
    <t>R$</t>
  </si>
  <si>
    <t>Rua Condá, 600-D, Bairro Santa Maria, Cep 89812-200 – Chapecó/SC</t>
  </si>
  <si>
    <t>Rua Campos Novos, 211, Centro Cep 89500-000 – Caçador/SC</t>
  </si>
  <si>
    <t>Rua Rui Barbosa, 42-D, Centro, Cep 89801-040 – Chapecó/SC</t>
  </si>
  <si>
    <t>Rua Independência, 221, Centro, Cep 89700-000 – Concórdia/SC</t>
  </si>
  <si>
    <t>Rua Felipe Schimidt, 12, Centro - Cep 89600-000 - Joaçaba/SC</t>
  </si>
  <si>
    <t>APS MARAVILHA</t>
  </si>
  <si>
    <t>Rua Euclides Da Cunha, 11, Centro - Cep 89874-000 - Maravilha/SC</t>
  </si>
  <si>
    <t>Rua Gilio Rezzieri, 650, Centro - Cep 89990-000 – São Lourenço do Oeste/SC</t>
  </si>
  <si>
    <t>Rua 15 De Novembro, 1460, Centro - Cep 89900-000 – São Miguel do Oeste/SC</t>
  </si>
  <si>
    <t>Rua Saul Brandalize, 201, Centro - Cep 89560-000 - Videira/SC</t>
  </si>
  <si>
    <t>Rua Marechal Bormann, 360, Centro - Cep 89820-000 - Xanxerê/SC</t>
  </si>
  <si>
    <t>Rua São João Batista, 613, Centro - Cep 89620-000 – Campos Novos/SC</t>
  </si>
  <si>
    <t>Rua Ernesto Hachmann, 435 – Centro - Cep 89665-000 – Capinzal/SC</t>
  </si>
  <si>
    <t>Rua Olavo Bilac, 196, Bairro São José ,  Cep: 89580-000-Fraiburgo/SC</t>
  </si>
  <si>
    <t>APS PINHALZINHO</t>
  </si>
  <si>
    <t>Travessa Chapecó, 100, Centro - Cep 89870-000 - Pinhalzinho/SC</t>
  </si>
  <si>
    <t>Rua Quintino Bocaiuva, 423, Centro - Cep 89400-000 – Porto União/SC</t>
  </si>
  <si>
    <t>Av. Júlio Lunardi, 1725, Bairro Guarany, Cep: 89.825-000 -Xaxin/SC</t>
  </si>
  <si>
    <t>Avenida Adelino Mangini, 313, Bairro: Centro, Cep: 89950000 – Dionísio Cerqueira/SC</t>
  </si>
  <si>
    <t>Total Mensal GEX Chapecó</t>
  </si>
  <si>
    <t>RUA SAO JOSÉ, 170 – CEP: 88.801-520 - CENTRO – CRICIÚMA/SC</t>
  </si>
  <si>
    <t>RODOVIA LEONARDO BIALECK, 995 – CEP: 88.812-860 -  LINHA BATISTA – CRICIÚMA/SC</t>
  </si>
  <si>
    <t>RUA CAETANO LUMMERTZ, 722 – CEP: 88.900-043 - CENTRO – ARARANGUÁ/SC</t>
  </si>
  <si>
    <t>RUA ALEXANDRE SANDRINI, 64 – CEP: 88.750-000 - CENTRO – BRAÇO DO NORTE/SC</t>
  </si>
  <si>
    <t>RUA RAULINO HORN, 140 – CEP: 88.790-000 - CENTRO -  LAGUNA/SC</t>
  </si>
  <si>
    <t>RUA ALEXANDRE SANDRINI, 64 – CEP: 88.870-000 -  CENTRO – ORLEANS/SC</t>
  </si>
  <si>
    <t>RUA SAO MANOEL, 40 – CEP: 88.701-120 -  CENTRO – TUBARÃO/SC</t>
  </si>
  <si>
    <t>RUA BARAO DO RIO BRANCO, 88 – CEP: 88.840-000 - CENTRO URUSSANGA/SC</t>
  </si>
  <si>
    <t>TRV. PADRE BOLESLAU, 400 – ED. DEBORA – CEP: 88.820-000 - CENTRO – IÇARA/SC</t>
  </si>
  <si>
    <t>RUA HENRIQUE LAGE, S/N, CENTRO, CEP: 88.880-000, LAURO MULLER/SC</t>
  </si>
  <si>
    <t>RUA GENERINO TEIXEIRA DA ROSA, 283 – CEP: 88.750-000 - CENTRO – SOMBRIO/SC</t>
  </si>
  <si>
    <t>AVENIDA PROFESSOR EURICO BACK, S/N – CEP: 88.850-000 - CENTRO – FORQUILHINHA/SC</t>
  </si>
  <si>
    <t>RUA ERNANI COTRIN, 335 – CEP: 88.745-000 -  CENTRO – CAPIVARI DE BAIXO/SC</t>
  </si>
  <si>
    <t>Total Mensal GEX Criciúma</t>
  </si>
  <si>
    <t>TOTAL GERAL</t>
  </si>
  <si>
    <t>Planilha atual SEI 5865764, apostilamento 6061183</t>
  </si>
  <si>
    <r>
      <rPr>
        <b/>
        <sz val="9"/>
        <color rgb="FF000000"/>
        <rFont val="Calibri"/>
        <family val="2"/>
        <charset val="1"/>
      </rPr>
      <t>AE-2:</t>
    </r>
    <r>
      <rPr>
        <sz val="9"/>
        <color rgb="FF000000"/>
        <rFont val="Calibri"/>
        <family val="2"/>
        <charset val="1"/>
      </rPr>
      <t xml:space="preserve"> 
Áreas verdes</t>
    </r>
  </si>
  <si>
    <t>Serventes por Unidade (Calculada)</t>
  </si>
  <si>
    <t>Qtde de serventes ajustada LIMPEZA ORDINÁRIA                      e carga horária</t>
  </si>
  <si>
    <t>Qtde Ajustada Qtde postos COVID e Carga horária servente</t>
  </si>
  <si>
    <t>Qtde horas eventuais Limpeza Ordinária/Mês</t>
  </si>
  <si>
    <t xml:space="preserve"> Qtde horas eventuais COVID/Mês</t>
  </si>
  <si>
    <t>Qtde Diárias carregadores/Mês</t>
  </si>
  <si>
    <t>Qtde postos e Carga horária ENCARREGADA</t>
  </si>
  <si>
    <t>Qtde Serventes Atuais limpeza ordinária (sem postos covid)</t>
  </si>
  <si>
    <t>Postos COVID atuais</t>
  </si>
  <si>
    <t>Nº de consultórios e salas de assistentes sociais</t>
  </si>
  <si>
    <t>Horário de atendimento das perícias/assistentes sociais</t>
  </si>
  <si>
    <t>30h</t>
  </si>
  <si>
    <t>44h</t>
  </si>
  <si>
    <t>h</t>
  </si>
  <si>
    <t>diarias</t>
  </si>
  <si>
    <t>20h</t>
  </si>
  <si>
    <t xml:space="preserve">                -</t>
  </si>
  <si>
    <t xml:space="preserve">                     -</t>
  </si>
  <si>
    <t xml:space="preserve">                 -</t>
  </si>
  <si>
    <t xml:space="preserve">             -</t>
  </si>
  <si>
    <t xml:space="preserve">                             -</t>
  </si>
  <si>
    <t xml:space="preserve">Não tem perícia </t>
  </si>
  <si>
    <t xml:space="preserve">duas vezes por mês, das 7:00 às 13:00 </t>
  </si>
  <si>
    <t xml:space="preserve">7:00 às 18:00 </t>
  </si>
  <si>
    <t xml:space="preserve">                       -</t>
  </si>
  <si>
    <t xml:space="preserve">                               -</t>
  </si>
  <si>
    <t xml:space="preserve">7:00 às 13:00 </t>
  </si>
  <si>
    <t> </t>
  </si>
  <si>
    <t>Total Geral</t>
  </si>
  <si>
    <t>Produtividade adotada</t>
  </si>
  <si>
    <t>total</t>
  </si>
  <si>
    <t>Número de Serventes</t>
  </si>
  <si>
    <t>fração</t>
  </si>
  <si>
    <t>Número de Encarregados</t>
  </si>
  <si>
    <t>(1/prod) serventes</t>
  </si>
  <si>
    <t>(1/prod) encarregado</t>
  </si>
  <si>
    <t>Limite de Produtividade IN 05/2017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</si>
  <si>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</si>
  <si>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</si>
  <si>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</si>
  <si>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</si>
  <si>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</si>
  <si>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</si>
  <si>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</si>
  <si>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</si>
  <si>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SEMESTRAL</t>
  </si>
  <si>
    <t>risco</t>
  </si>
  <si>
    <t>=H68/</t>
  </si>
  <si>
    <t>ANEXO IV</t>
  </si>
  <si>
    <t>MODELO DE PROPOSTA E PLANILHA DE CUSTOS E FORMAÇÃO DE PREÇOS</t>
  </si>
  <si>
    <t>PROCESSO 35014.018642/2022-12</t>
  </si>
  <si>
    <t>Servente 44h</t>
  </si>
  <si>
    <t>Servente 30h</t>
  </si>
  <si>
    <t>Servente 44h limpeza de esquadrias com risco</t>
  </si>
  <si>
    <t>Encarregada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</si>
  <si>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</si>
  <si>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</si>
  <si>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</si>
  <si>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</si>
  <si>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</si>
  <si>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</si>
  <si>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 xml:space="preserve">Servente 44h </t>
  </si>
  <si>
    <t>Encarregada 44h</t>
  </si>
  <si>
    <t>MÓDULO 1: COMPOSIÇÃO DA REMUNERAÇÃO</t>
  </si>
  <si>
    <t>1 - Composição da Remuneração</t>
  </si>
  <si>
    <t>Percentuais</t>
  </si>
  <si>
    <t>Valor (R$)</t>
  </si>
  <si>
    <t>A – Salário Base 40 horas</t>
  </si>
  <si>
    <t>B - Adicional de Insalubridade</t>
  </si>
  <si>
    <t>D - Adicional Noturno</t>
  </si>
  <si>
    <t>E - Adicional de Hora Noturna Reduzida</t>
  </si>
  <si>
    <t>F - Adicional de Hora Extra no Feriado Trabalhado</t>
  </si>
  <si>
    <t>E - Outros -Adicional de Periculosidade</t>
  </si>
  <si>
    <t>Total</t>
  </si>
  <si>
    <t>MÓDULO 2: ENCARGOS E BENEFÍCIOS ANUAIS, MENSAIS E DIÁRIOS</t>
  </si>
  <si>
    <t>2.1 - 13º Salário, Férias e Adicional de Férias</t>
  </si>
  <si>
    <t>A - 13º salário</t>
  </si>
  <si>
    <t>B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</si>
  <si>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</si>
  <si>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</si>
  <si>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</si>
  <si>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</si>
  <si>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</si>
  <si>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</si>
  <si>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</si>
  <si>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</si>
  <si>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</si>
  <si>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</si>
  <si>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</si>
  <si>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</si>
  <si>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- Transporte</t>
  </si>
  <si>
    <t>B - Auxílio-Refeição/Alimentação ( COM DESCONTO DE 20%)</t>
  </si>
  <si>
    <t>C - Ajuda de custo (equipes limpeza vidros)</t>
  </si>
  <si>
    <t>D - Assistência ao Trabalhador (Cláusula 16º)</t>
  </si>
  <si>
    <t>E - Prêmio Assiduidade (Cláusula 11º)</t>
  </si>
  <si>
    <t>F - Outros (especificar)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</si>
  <si>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</si>
  <si>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</si>
  <si>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</si>
  <si>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</si>
  <si>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3.1 - Aviso Prévio Indenizado</t>
  </si>
  <si>
    <t>A - Aviso Prévio Indenizado</t>
  </si>
  <si>
    <t>B - Incidência do FGTS sobre Aviso Prévio Indenizado</t>
  </si>
  <si>
    <t>C - Multa do FGTS sobre Aviso Prévio Indenizado</t>
  </si>
  <si>
    <t>A - Aviso Prévio Trabalhado</t>
  </si>
  <si>
    <t>B - Incidência do submódulo 2.2 sobre o Aviso Prévio Trabalhado</t>
  </si>
  <si>
    <t>C - Multa do FGTS sobre Aviso Prévio Trabalhado</t>
  </si>
  <si>
    <t>MÓDULO 4: CUSTO DE REPOSIÇÃO DO PROFISSIONAL AUSENTE</t>
  </si>
  <si>
    <t>B – Substituto na cobertura de Ausências Legais</t>
  </si>
  <si>
    <t>C - Substituto na cobertura de Licença Paternidade</t>
  </si>
  <si>
    <t>D - Substituto na cobertura de Ausências por acidente de trabalho</t>
  </si>
  <si>
    <t>E - Outros</t>
  </si>
  <si>
    <t>Subtotal</t>
  </si>
  <si>
    <t>4.2 - Substituto na Intrajornada</t>
  </si>
  <si>
    <t>A - Substituto na cobertura de Intervalo para repouso ou alimentação</t>
  </si>
  <si>
    <t>4 - Custo de Reposição do Profissional Ausente</t>
  </si>
  <si>
    <t>MÓDULO 5: INSUMOS DE MÃO DE OBRA</t>
  </si>
  <si>
    <t>5 - Insumos Diversos</t>
  </si>
  <si>
    <t>A - Uniformes</t>
  </si>
  <si>
    <t>B - Materiais e utensílios</t>
  </si>
  <si>
    <t>C - Equipamentos</t>
  </si>
  <si>
    <t>D - EPIs</t>
  </si>
  <si>
    <t>E - Esquadrias de risco - Materiais/ Equipamentos/EPIs ( conforme MPOG)</t>
  </si>
  <si>
    <t>F -  Plano de telefone</t>
  </si>
  <si>
    <t>G - Outros</t>
  </si>
  <si>
    <t>MÓDULO 6: CUSTOS INDIRETOS, TRIBUTOS E LUCRO</t>
  </si>
  <si>
    <t>6 - Custos Indiretos, Tributos e Lucro</t>
  </si>
  <si>
    <t>C - Tributos  (ISS 2,00%)</t>
  </si>
  <si>
    <t>C.1 - Tributos Federais (PIS e COFINS)</t>
  </si>
  <si>
    <t>C.3 - Tributos Municipais (especificar)</t>
  </si>
  <si>
    <t>C - Tributos  (ISS 2,500%)</t>
  </si>
  <si>
    <t>C - Tributos  (ISS 3,00%)</t>
  </si>
  <si>
    <t>C - Tributos  (ISS 4,00%)</t>
  </si>
  <si>
    <t>C - Tributos  (ISS 5,00%)</t>
  </si>
  <si>
    <t>Total Tributos por ISS Municipal</t>
  </si>
  <si>
    <t>C.4 - Outros Tributos (especificar)</t>
  </si>
  <si>
    <t>QUADRO RESUMO DO CUSTO POR EMPREGADO</t>
  </si>
  <si>
    <t>Mão de 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</si>
  <si>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</si>
  <si>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</si>
  <si>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</si>
  <si>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</si>
  <si>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</si>
  <si>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</si>
  <si>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 (ISS 2,00%)</t>
  </si>
  <si>
    <t>F - Módulo 6 - Custos Indiretos, Tributos e Lucro (ISS 2,5%)</t>
  </si>
  <si>
    <t>F - Módulo 6 - Custos Indiretos, Tributos e Lucro (ISS 3,00%)</t>
  </si>
  <si>
    <t>F - Módulo 6 - Custos Indiretos, Tributos e Lucro (ISS 4,00%)</t>
  </si>
  <si>
    <t>F - Módulo 6 - Custos Indiretos, Tributos e Lucro (ISS 5,00%)</t>
  </si>
  <si>
    <t>TOTAL POR EMPREGADO/MÊS com ISS de 2%</t>
  </si>
  <si>
    <t>TOTAL POR EMPREGADO/MÊS com ISS de 2,5%</t>
  </si>
  <si>
    <t>TOTAL POR EMPREGADO/MÊS com ISS de 3%</t>
  </si>
  <si>
    <t>TOTAL POR EMPREGADO/MÊS com ISS de 4%</t>
  </si>
  <si>
    <t>TOTAL POR EMPREGADO/MÊS com ISS de 5%</t>
  </si>
  <si>
    <t>VALOR DA HORA com ISS de 2%</t>
  </si>
  <si>
    <t>VALOR DA HORA com ISS de 2,5%</t>
  </si>
  <si>
    <t>VALOR DA HORA com ISS de 3%</t>
  </si>
  <si>
    <t>VALOR DA HORA com ISS de 4%</t>
  </si>
  <si>
    <t>VALOR DA HORA com ISS de 5%</t>
  </si>
  <si>
    <t>AI-1 Área Interna pisos frios</t>
  </si>
  <si>
    <t>ISS de 2%</t>
  </si>
  <si>
    <t>ISS de 2,5%</t>
  </si>
  <si>
    <t>ISS de 3%</t>
  </si>
  <si>
    <t>ISS de 4%</t>
  </si>
  <si>
    <t>ISS de 5%</t>
  </si>
  <si>
    <t>MÃO DE OBRA</t>
  </si>
  <si>
    <t>(1) PRODUTIVIDADE (1/P)</t>
  </si>
  <si>
    <t>(2) PREÇO HOMEM MÊS (R$)</t>
  </si>
  <si>
    <t>(1x2) SUBTOTAL (R$/M²)</t>
  </si>
  <si>
    <t>SERVENTE</t>
  </si>
  <si>
    <t>ENCARREGADO</t>
  </si>
  <si>
    <t>Subtotal 20%</t>
  </si>
  <si>
    <t>AI-2 Área interna (Almoxarifado, Galpões, arquivos )</t>
  </si>
  <si>
    <t>(1) PRODUTIVIDADE (1/M²)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</si>
  <si>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</si>
  <si>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</si>
  <si>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</si>
  <si>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</si>
  <si>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</si>
  <si>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</si>
  <si>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AE-2: coleta de detritos em pátios e áreas verdes com frequência diária</t>
  </si>
  <si>
    <t>Subtotal AE-2</t>
  </si>
  <si>
    <t>AE-3 Área Externa arruamento, passeios</t>
  </si>
  <si>
    <t>Subtotal AE-3</t>
  </si>
  <si>
    <t>EER EE EI Esquadrias</t>
  </si>
  <si>
    <r>
      <rPr>
        <sz val="10"/>
        <color rgb="FF000000"/>
        <rFont val="Calibri"/>
        <family val="2"/>
        <charset val="1"/>
      </rP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</si>
  <si>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</si>
  <si>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rPr>
        <sz val="10"/>
        <color rgb="FF000000"/>
        <rFont val="Calibri"/>
        <family val="2"/>
        <charset val="1"/>
      </rP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</si>
  <si>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</si>
  <si>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</si>
  <si>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</si>
  <si>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Servente 44h COVID</t>
  </si>
  <si>
    <t>Servente 30h COVID</t>
  </si>
  <si>
    <t>E - Outros -Adicional de risco limpeza de vidros e fachadas ( acima de 3m)</t>
  </si>
  <si>
    <t>F - Passagens intermunicipais</t>
  </si>
  <si>
    <t>G - Plano de telefone</t>
  </si>
  <si>
    <t xml:space="preserve">7:00 às 18:30hs (5 de manhã e 6 a tarde (peritos e AS) </t>
  </si>
  <si>
    <t xml:space="preserve">- </t>
  </si>
  <si>
    <t xml:space="preserve">7:00 às 18:00hs (3 peritos de manhã e 1 a tarde + AS 07 as 17) </t>
  </si>
  <si>
    <t xml:space="preserve">7:00 às 13:00hs ( 2 peritos de manhã até às 13hs) </t>
  </si>
  <si>
    <t xml:space="preserve">07:00 às 19:00hs ( 6 peritos de manhã,  4 peritos a tarde + AS das 08:00 às 14:30hs) </t>
  </si>
  <si>
    <t xml:space="preserve">07:00 às 13:00hs (  2 peritos de manhã até às 13hs + AS das 07:00 às 16hs) </t>
  </si>
  <si>
    <t xml:space="preserve">07:00 às 18:00hs (1 perito de manhã e 1 perito a tarde)
                           </t>
  </si>
  <si>
    <t>Valor limite MPOG 2019</t>
  </si>
  <si>
    <t>https://www.gov.br/compras/pt-br/agente-publico/cadernos-tecnicos-e-valores-limites/cadernos-tecnicos-e-valores-limites-2019</t>
  </si>
  <si>
    <t>MODELO DE PROPOSTA DE PREÇOS</t>
  </si>
  <si>
    <t>PREGÃO Nº 12/2022</t>
  </si>
  <si>
    <t>PROCESSO ADMINISTRATIVO N.° 35014.018642/2022-12</t>
  </si>
  <si>
    <t>Ilmo. Sr. Pregoeiro, a Empresa ______________________________, CNPJ nº ________________, sediada ___________(endereço completo)______________, se propõe a executar os serviços discriminados, atendendo todas as condições estipuladas no Edital de Licitação, e nos valores abaixo:</t>
  </si>
  <si>
    <t xml:space="preserve">GRUPO </t>
  </si>
  <si>
    <t>ITEM</t>
  </si>
  <si>
    <t>CÓDIGO SIASG</t>
  </si>
  <si>
    <t>DESCRIÇÃO/
ESPECIFICAÇÃO</t>
  </si>
  <si>
    <t>Unidade de Medida</t>
  </si>
  <si>
    <t>Quantidade</t>
  </si>
  <si>
    <t>Valor Mensal</t>
  </si>
  <si>
    <t>Valor Anual</t>
  </si>
  <si>
    <r>
      <rPr>
        <b/>
        <sz val="12"/>
        <color rgb="FF000000"/>
        <rFont val="Calibri"/>
        <family val="2"/>
      </rPr>
      <t>Serviços de limpeza</t>
    </r>
    <r>
      <rPr>
        <sz val="12"/>
        <color rgb="FF000000"/>
        <rFont val="Calibri"/>
        <family val="2"/>
      </rPr>
      <t>, conservação e higienização, com fornecimento de materiais, insumos, equipamentos, EPIs e uniformes, a serem executados nas dependências do POLO IV de limpeza da SRIII (GEX Criciúma e Chapecó )</t>
    </r>
  </si>
  <si>
    <t>M²</t>
  </si>
  <si>
    <t>12 (meses)</t>
  </si>
  <si>
    <r>
      <rPr>
        <b/>
        <sz val="12"/>
        <color rgb="FF000000"/>
        <rFont val="Calibri"/>
        <family val="2"/>
      </rPr>
      <t>Serviço de desinfecção</t>
    </r>
    <r>
      <rPr>
        <sz val="12"/>
        <color rgb="FF000000"/>
        <rFont val="Calibri"/>
        <family val="2"/>
      </rPr>
      <t>, com fornecimento de materiais, insumos, EPIs e uniformes,a serem executados nas dependências do POLO IV de limpeza da SRIII (GEX Criciúma e Chapecó)</t>
    </r>
  </si>
  <si>
    <r>
      <rPr>
        <b/>
        <sz val="11"/>
        <color rgb="FF333333"/>
        <rFont val="Arial"/>
        <family val="2"/>
      </rPr>
      <t>Serviços de limpeza</t>
    </r>
    <r>
      <rPr>
        <sz val="11"/>
        <color rgb="FF333333"/>
        <rFont val="Arial"/>
        <family val="2"/>
      </rPr>
      <t>, conservação e higienização, com fornecimento de materiais, insumos, equipamentos, EPIs e uniformes, a serem executados nas dependências do POLO IV de limpeza da SRIII (GEX Criciúma e Chapecó)</t>
    </r>
    <r>
      <rPr>
        <b/>
        <sz val="11"/>
        <color rgb="FF333333"/>
        <rFont val="Arial"/>
        <family val="2"/>
      </rPr>
      <t xml:space="preserve"> – POR DEMANDA</t>
    </r>
  </si>
  <si>
    <r>
      <rPr>
        <b/>
        <sz val="11"/>
        <color rgb="FF333333"/>
        <rFont val="Arial"/>
        <family val="2"/>
      </rPr>
      <t>Serviço de desinfecção</t>
    </r>
    <r>
      <rPr>
        <sz val="11"/>
        <color rgb="FF333333"/>
        <rFont val="Arial"/>
        <family val="2"/>
      </rPr>
      <t xml:space="preserve">, com fornecimento de materiais, insumos, EPIs e uniformes, a serem executados nas dependências do POLO IV de limpeza da SRIII (GEX Criciúma e Chapecó) – </t>
    </r>
    <r>
      <rPr>
        <b/>
        <sz val="11"/>
        <color rgb="FF333333"/>
        <rFont val="Arial"/>
        <family val="2"/>
      </rPr>
      <t>POR DEMANDA</t>
    </r>
  </si>
  <si>
    <r>
      <rPr>
        <b/>
        <sz val="11"/>
        <color rgb="FF333333"/>
        <rFont val="Arial"/>
        <family val="2"/>
      </rPr>
      <t xml:space="preserve">Serviço de carregadores, </t>
    </r>
    <r>
      <rPr>
        <sz val="11"/>
        <color rgb="FF333333"/>
        <rFont val="Arial"/>
        <family val="2"/>
      </rPr>
      <t xml:space="preserve">a serem executados nas dependências do POLO IV de limpeza da SRIII (GEX Criciúma e Chapecó)  – </t>
    </r>
    <r>
      <rPr>
        <b/>
        <sz val="11"/>
        <color rgb="FF333333"/>
        <rFont val="Arial"/>
        <family val="2"/>
      </rPr>
      <t>POR DEMANDA</t>
    </r>
  </si>
  <si>
    <t>Valor total da Proposta Polo IV</t>
  </si>
  <si>
    <t xml:space="preserve">– Indicação dos acordos, convenções ou dissídios coletivos de trabalaho: </t>
  </si>
  <si>
    <t>– Indicação do regime tributário da licitante:</t>
  </si>
  <si>
    <t>– Validade da Proposta de Preços: 120 (cento e vinte) dias, a contar da data de apresentação.</t>
  </si>
  <si>
    <t>– Prazo de Execução dos Serviços: 12 (doze) meses.</t>
  </si>
  <si>
    <t>Dados para pagamento:</t>
  </si>
  <si>
    <t>– Banco (Nome/nº): – Agência: – Conta:</t>
  </si>
  <si>
    <t>Informações para assinatura do Contrato:</t>
  </si>
  <si>
    <t>– Nome:</t>
  </si>
  <si>
    <t>– Cargo:</t>
  </si>
  <si>
    <t>– RG:</t>
  </si>
  <si>
    <t>– CPF:</t>
  </si>
  <si>
    <t>–Telefone/Fax: E-mail:</t>
  </si>
  <si>
    <t>Local e data.</t>
  </si>
  <si>
    <t>Assinatura e Nome do Representante Legal da Empresa</t>
  </si>
  <si>
    <t>ANEXO X - POLO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</si>
</sst>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_-;\-* #,##0.00_-;_-* \-??_-;_-@_-"/>
    <numFmt numFmtId="165" formatCode="&quot;R$ &quot;#,##0.00"/>
    <numFmt numFmtId="166" formatCode="d/m/yyyy"/>
    <numFmt numFmtId="167" formatCode="_-[$R$-416]\ * #,##0.00_-;\-[$R$-416]\ * #,##0.00_-;_-[$R$-416]\ * \-??_-;_-@_-"/>
    <numFmt numFmtId="168" formatCode="0.0000"/>
    <numFmt numFmtId="169" formatCode="* #,##0.00\ ;\-* #,##0.00\ ;* \-#\ ;@\ "/>
    <numFmt numFmtId="170" formatCode="#,##0.00\ ;\(#,##0.00\);\-#\ ;@\ "/>
    <numFmt numFmtId="171" formatCode="#,##0.000000;\(#,##0.000000\)"/>
    <numFmt numFmtId="172" formatCode="&quot;R$ &quot;#,##0.00;[Red]&quot;-R$ &quot;#,##0.00"/>
    <numFmt numFmtId="173" formatCode="_-&quot;R$ &quot;* #,##0.00_-;&quot;-R$ &quot;* #,##0.00_-;_-&quot;R$ &quot;* \-??_-;_-@_-"/>
    <numFmt numFmtId="174" formatCode="* #,##0.00\ ;\-* #,##0.00\ ;* \-#\ ;@"/>
    <numFmt numFmtId="175" formatCode="0.0000000"/>
    <numFmt numFmtId="176" formatCode="0.00000000"/>
    <numFmt numFmtId="177" formatCode="#,##0.00\ ;\(#,##0.00\)"/>
    <numFmt numFmtId="178" formatCode="&quot;R$ &quot;#,##0.00\ ;[Red]&quot;(R$ &quot;#,##0.00\)"/>
    <numFmt numFmtId="179" formatCode="[$R$-416]\ #,##0.00;[Red]\-[$R$-416]\ #,##0.00"/>
    <numFmt numFmtId="180" formatCode="0.000000000"/>
    <numFmt numFmtId="181" formatCode="#,##0.00\ ;#,##0.00\ ;\-#\ ;@\ "/>
    <numFmt numFmtId="182" formatCode="0.000000000;[Red]\(0.000000000\)"/>
    <numFmt numFmtId="183" formatCode="0.0000000000"/>
  </numFmts>
  <fonts count="67" x14ac:knownFonts="1">
    <font>
      <sz val="11"/>
      <color rgb="FF333333"/>
      <name val="Arial"/>
      <family val="2"/>
      <charset val="1"/>
    </font>
    <font>
      <u/>
      <sz val="11"/>
      <color rgb="FF0563C1"/>
      <name val="Arial"/>
      <family val="2"/>
      <charset val="1"/>
    </font>
    <font>
      <sz val="11"/>
      <name val="Calibri"/>
      <family val="2"/>
      <charset val="1"/>
    </font>
    <font>
      <sz val="9"/>
      <color rgb="FF333333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9"/>
      <color rgb="FF333333"/>
      <name val="Arial"/>
      <family val="2"/>
      <charset val="1"/>
    </font>
    <font>
      <sz val="9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DDDDDD"/>
      <name val="Calibri"/>
      <family val="2"/>
      <charset val="1"/>
    </font>
    <font>
      <sz val="9"/>
      <color rgb="FFDDDDDD"/>
      <name val="Arial"/>
      <family val="2"/>
      <charset val="1"/>
    </font>
    <font>
      <sz val="9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333333"/>
      <name val="Calibri"/>
      <charset val="1"/>
    </font>
    <font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9"/>
      <color rgb="FFDDDDDD"/>
      <name val="Calibri"/>
      <family val="2"/>
      <charset val="1"/>
    </font>
    <font>
      <b/>
      <sz val="10"/>
      <color rgb="FF333333"/>
      <name val="Calibri"/>
      <charset val="1"/>
    </font>
    <font>
      <sz val="9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10"/>
      <name val="Arial"/>
      <family val="2"/>
      <charset val="1"/>
    </font>
    <font>
      <sz val="8"/>
      <color rgb="FF333333"/>
      <name val="Arial"/>
      <family val="2"/>
      <charset val="1"/>
    </font>
    <font>
      <sz val="11"/>
      <color rgb="FF444444"/>
      <name val="Calibri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1"/>
    </font>
    <font>
      <b/>
      <sz val="10"/>
      <color rgb="FF444444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444444"/>
      <name val="Calibri"/>
      <family val="2"/>
      <charset val="1"/>
    </font>
    <font>
      <sz val="10"/>
      <color rgb="FF333333"/>
      <name val="Arial"/>
      <charset val="1"/>
    </font>
    <font>
      <i/>
      <sz val="9"/>
      <color rgb="FF000000"/>
      <name val="Calibri"/>
      <family val="2"/>
      <charset val="1"/>
    </font>
    <font>
      <sz val="10"/>
      <color rgb="FF000000"/>
      <name val="Calibri"/>
      <charset val="1"/>
    </font>
    <font>
      <sz val="10"/>
      <color rgb="FFFF0000"/>
      <name val="Calibri"/>
      <charset val="1"/>
    </font>
    <font>
      <b/>
      <i/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8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charset val="1"/>
    </font>
    <font>
      <b/>
      <sz val="8"/>
      <name val="Calibri"/>
      <charset val="1"/>
    </font>
    <font>
      <b/>
      <sz val="8"/>
      <color rgb="FF000000"/>
      <name val="Calibri"/>
      <charset val="1"/>
    </font>
    <font>
      <sz val="9"/>
      <color rgb="FF000000"/>
      <name val="Calibri"/>
      <charset val="1"/>
    </font>
    <font>
      <strike/>
      <sz val="10"/>
      <color rgb="FF333333"/>
      <name val="Calibri"/>
      <charset val="1"/>
    </font>
    <font>
      <b/>
      <i/>
      <sz val="9"/>
      <color rgb="FF000000"/>
      <name val="Calibri"/>
      <family val="2"/>
      <charset val="1"/>
    </font>
    <font>
      <b/>
      <sz val="10"/>
      <color rgb="FF333333"/>
      <name val="Calibri"/>
      <family val="2"/>
      <charset val="1"/>
    </font>
    <font>
      <sz val="10"/>
      <name val="Calibri"/>
      <family val="2"/>
      <charset val="1"/>
    </font>
    <font>
      <b/>
      <sz val="12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b/>
      <sz val="10"/>
      <color rgb="FF808080"/>
      <name val="Calibri"/>
      <family val="2"/>
      <charset val="1"/>
    </font>
    <font>
      <b/>
      <i/>
      <sz val="10"/>
      <color rgb="FF333333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8"/>
      <color rgb="FF000000"/>
      <name val="Calibri"/>
      <charset val="1"/>
    </font>
    <font>
      <b/>
      <sz val="10"/>
      <color rgb="FFFF0000"/>
      <name val="Calibri"/>
      <charset val="1"/>
    </font>
    <font>
      <b/>
      <sz val="11"/>
      <color rgb="FF333333"/>
      <name val="Arial"/>
      <family val="2"/>
      <charset val="1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1B4E7E"/>
        <bgColor rgb="FF444444"/>
      </patternFill>
    </fill>
    <fill>
      <patternFill patternType="solid">
        <fgColor rgb="FFD9E1F2"/>
        <bgColor rgb="FFD6DCE4"/>
      </patternFill>
    </fill>
    <fill>
      <patternFill patternType="solid">
        <fgColor rgb="FFD6DCE4"/>
        <bgColor rgb="FFDBDBDB"/>
      </patternFill>
    </fill>
    <fill>
      <patternFill patternType="solid">
        <fgColor rgb="FFFFFFFF"/>
        <bgColor rgb="FFFFFFCC"/>
      </patternFill>
    </fill>
    <fill>
      <patternFill patternType="solid">
        <fgColor rgb="FFFFE699"/>
        <bgColor rgb="FFFFFF99"/>
      </patternFill>
    </fill>
    <fill>
      <patternFill patternType="solid">
        <fgColor rgb="FFBF819E"/>
        <bgColor rgb="FFA6A6A6"/>
      </patternFill>
    </fill>
    <fill>
      <patternFill patternType="solid">
        <fgColor rgb="FF729FCF"/>
        <bgColor rgb="FF5B9BD5"/>
      </patternFill>
    </fill>
    <fill>
      <patternFill patternType="solid">
        <fgColor rgb="FF8EA9DB"/>
        <bgColor rgb="FF8FAADC"/>
      </patternFill>
    </fill>
    <fill>
      <patternFill patternType="solid">
        <fgColor rgb="FFD0CECE"/>
        <bgColor rgb="FFCCCCCC"/>
      </patternFill>
    </fill>
    <fill>
      <patternFill patternType="solid">
        <fgColor rgb="FFF4B183"/>
        <bgColor rgb="FFFF9999"/>
      </patternFill>
    </fill>
    <fill>
      <patternFill patternType="solid">
        <fgColor rgb="FFFCE4D6"/>
        <bgColor rgb="FFFFF2CC"/>
      </patternFill>
    </fill>
    <fill>
      <patternFill patternType="solid">
        <fgColor rgb="FF39914F"/>
        <bgColor rgb="FF70AD47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729FCF"/>
      </patternFill>
    </fill>
    <fill>
      <patternFill patternType="solid">
        <fgColor rgb="FFFFFF00"/>
        <bgColor rgb="FFFFCC00"/>
      </patternFill>
    </fill>
    <fill>
      <patternFill patternType="solid">
        <fgColor rgb="FFD9D9D9"/>
        <bgColor rgb="FFDBDBDB"/>
      </patternFill>
    </fill>
    <fill>
      <patternFill patternType="solid">
        <fgColor rgb="FFA1467E"/>
        <bgColor rgb="FF824802"/>
      </patternFill>
    </fill>
    <fill>
      <patternFill patternType="solid">
        <fgColor rgb="FF5EB91E"/>
        <bgColor rgb="FF70AD47"/>
      </patternFill>
    </fill>
    <fill>
      <patternFill patternType="solid">
        <fgColor rgb="FF5983B0"/>
        <bgColor rgb="FF5B9BD5"/>
      </patternFill>
    </fill>
    <fill>
      <patternFill patternType="solid">
        <fgColor rgb="FFA6A6A6"/>
        <bgColor rgb="FFADB9CA"/>
      </patternFill>
    </fill>
    <fill>
      <patternFill patternType="solid">
        <fgColor rgb="FFBBE33D"/>
        <bgColor rgb="FFA9D08E"/>
      </patternFill>
    </fill>
    <fill>
      <patternFill patternType="solid">
        <fgColor rgb="FFB4C7DC"/>
        <bgColor rgb="FFB4C6E7"/>
      </patternFill>
    </fill>
    <fill>
      <patternFill patternType="solid">
        <fgColor rgb="FF808080"/>
        <bgColor rgb="FF8497B0"/>
      </patternFill>
    </fill>
    <fill>
      <patternFill patternType="solid">
        <fgColor rgb="FF5B9BD5"/>
        <bgColor rgb="FF729FCF"/>
      </patternFill>
    </fill>
    <fill>
      <patternFill patternType="solid">
        <fgColor rgb="FFCCCCCC"/>
        <bgColor rgb="FFD0CECE"/>
      </patternFill>
    </fill>
    <fill>
      <patternFill patternType="solid">
        <fgColor rgb="FFFE7528"/>
        <bgColor rgb="FFF76304"/>
      </patternFill>
    </fill>
    <fill>
      <patternFill patternType="solid">
        <fgColor rgb="FF9BC2E6"/>
        <bgColor rgb="FFB4C6E7"/>
      </patternFill>
    </fill>
    <fill>
      <patternFill patternType="solid">
        <fgColor rgb="FFADB9CA"/>
        <bgColor rgb="FFC0C0C0"/>
      </patternFill>
    </fill>
    <fill>
      <patternFill patternType="solid">
        <fgColor rgb="FFDBDBDB"/>
        <bgColor rgb="FFDDDDDD"/>
      </patternFill>
    </fill>
    <fill>
      <patternFill patternType="solid">
        <fgColor rgb="FFFF9999"/>
        <bgColor rgb="FFF4B183"/>
      </patternFill>
    </fill>
    <fill>
      <patternFill patternType="solid">
        <fgColor rgb="FFFFCCCC"/>
        <bgColor rgb="FFFACFD6"/>
      </patternFill>
    </fill>
    <fill>
      <patternFill patternType="solid">
        <fgColor rgb="FFC1C1C1"/>
        <bgColor rgb="FFC0C0C0"/>
      </patternFill>
    </fill>
    <fill>
      <patternFill patternType="solid">
        <fgColor rgb="FFDDDDDD"/>
        <bgColor rgb="FFDBDBDB"/>
      </patternFill>
    </fill>
    <fill>
      <patternFill patternType="solid">
        <fgColor rgb="FF70AD47"/>
        <bgColor rgb="FF5EB91E"/>
      </patternFill>
    </fill>
    <fill>
      <patternFill patternType="solid">
        <fgColor rgb="FFA9D08E"/>
        <bgColor rgb="FFC6E0B4"/>
      </patternFill>
    </fill>
    <fill>
      <patternFill patternType="solid">
        <fgColor rgb="FFE7E6E6"/>
        <bgColor rgb="FFDEEBF7"/>
      </patternFill>
    </fill>
    <fill>
      <patternFill patternType="solid">
        <fgColor rgb="FFFFFFCC"/>
        <bgColor rgb="FFFFF2CC"/>
      </patternFill>
    </fill>
    <fill>
      <patternFill patternType="solid">
        <fgColor rgb="FFCC99FF"/>
        <bgColor rgb="FFADB9CA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4C6E7"/>
      </patternFill>
    </fill>
    <fill>
      <patternFill patternType="solid">
        <fgColor rgb="FFC0C0C0"/>
        <bgColor rgb="FFC1C1C1"/>
      </patternFill>
    </fill>
    <fill>
      <patternFill patternType="solid">
        <fgColor rgb="FFDEEBF7"/>
        <bgColor rgb="FFD9E1F2"/>
      </patternFill>
    </fill>
    <fill>
      <patternFill patternType="solid">
        <fgColor rgb="FF8FAADC"/>
        <bgColor rgb="FF8EA9DB"/>
      </patternFill>
    </fill>
    <fill>
      <patternFill patternType="solid">
        <fgColor rgb="FFF76304"/>
        <bgColor rgb="FFFE7528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</fills>
  <borders count="9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9BC2E6"/>
      </left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/>
      <diagonal/>
    </border>
    <border>
      <left/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9BC2E6"/>
      </top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169" fontId="17" fillId="0" borderId="0"/>
    <xf numFmtId="9" fontId="21" fillId="0" borderId="0" applyBorder="0" applyProtection="0"/>
    <xf numFmtId="0" fontId="1" fillId="0" borderId="0" applyBorder="0" applyProtection="0"/>
    <xf numFmtId="164" fontId="2" fillId="0" borderId="0" applyBorder="0" applyProtection="0"/>
  </cellStyleXfs>
  <cellXfs count="8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65" fontId="3" fillId="3" borderId="3" xfId="0" applyNumberFormat="1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horizontal="center" vertical="center"/>
    </xf>
    <xf numFmtId="0" fontId="7" fillId="0" borderId="0" xfId="0" applyFont="1"/>
    <xf numFmtId="164" fontId="3" fillId="0" borderId="8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7" fontId="0" fillId="0" borderId="0" xfId="0" applyNumberForma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/>
    <xf numFmtId="10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/>
    <xf numFmtId="168" fontId="3" fillId="0" borderId="10" xfId="0" applyNumberFormat="1" applyFont="1" applyBorder="1"/>
    <xf numFmtId="0" fontId="6" fillId="0" borderId="12" xfId="0" applyFont="1" applyBorder="1"/>
    <xf numFmtId="0" fontId="6" fillId="3" borderId="13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0" fontId="8" fillId="0" borderId="9" xfId="0" applyNumberFormat="1" applyFont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3" borderId="11" xfId="0" applyFont="1" applyFill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10" fontId="8" fillId="0" borderId="13" xfId="0" applyNumberFormat="1" applyFont="1" applyBorder="1" applyAlignment="1">
      <alignment horizontal="left" vertical="center"/>
    </xf>
    <xf numFmtId="10" fontId="8" fillId="0" borderId="4" xfId="0" applyNumberFormat="1" applyFont="1" applyBorder="1" applyAlignment="1">
      <alignment vertical="center"/>
    </xf>
    <xf numFmtId="10" fontId="8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10" fontId="8" fillId="0" borderId="7" xfId="0" applyNumberFormat="1" applyFont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10" fillId="7" borderId="19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4" fillId="0" borderId="21" xfId="0" applyFont="1" applyBorder="1" applyAlignment="1">
      <alignment wrapText="1"/>
    </xf>
    <xf numFmtId="10" fontId="15" fillId="0" borderId="22" xfId="0" applyNumberFormat="1" applyFont="1" applyBorder="1"/>
    <xf numFmtId="167" fontId="15" fillId="0" borderId="23" xfId="0" applyNumberFormat="1" applyFont="1" applyBorder="1"/>
    <xf numFmtId="2" fontId="11" fillId="0" borderId="0" xfId="0" applyNumberFormat="1" applyFont="1" applyAlignment="1">
      <alignment horizontal="center" vertical="center" wrapText="1"/>
    </xf>
    <xf numFmtId="0" fontId="9" fillId="6" borderId="11" xfId="0" applyFont="1" applyFill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9" fillId="0" borderId="24" xfId="0" applyFont="1" applyBorder="1"/>
    <xf numFmtId="10" fontId="3" fillId="0" borderId="5" xfId="0" applyNumberFormat="1" applyFont="1" applyBorder="1" applyAlignment="1">
      <alignment horizontal="center"/>
    </xf>
    <xf numFmtId="2" fontId="15" fillId="0" borderId="23" xfId="0" applyNumberFormat="1" applyFont="1" applyBorder="1"/>
    <xf numFmtId="170" fontId="18" fillId="0" borderId="0" xfId="1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10" fontId="19" fillId="0" borderId="22" xfId="0" applyNumberFormat="1" applyFont="1" applyBorder="1"/>
    <xf numFmtId="0" fontId="20" fillId="0" borderId="25" xfId="0" applyFont="1" applyBorder="1"/>
    <xf numFmtId="10" fontId="3" fillId="0" borderId="10" xfId="0" applyNumberFormat="1" applyFont="1" applyBorder="1" applyAlignment="1">
      <alignment horizontal="center"/>
    </xf>
    <xf numFmtId="10" fontId="8" fillId="0" borderId="10" xfId="0" applyNumberFormat="1" applyFont="1" applyBorder="1" applyAlignment="1">
      <alignment horizontal="center"/>
    </xf>
    <xf numFmtId="167" fontId="19" fillId="0" borderId="23" xfId="0" applyNumberFormat="1" applyFont="1" applyBorder="1"/>
    <xf numFmtId="0" fontId="3" fillId="0" borderId="0" xfId="0" applyFont="1" applyAlignment="1">
      <alignment horizontal="center"/>
    </xf>
    <xf numFmtId="171" fontId="3" fillId="0" borderId="3" xfId="1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/>
    </xf>
    <xf numFmtId="0" fontId="0" fillId="8" borderId="5" xfId="0" applyFill="1" applyBorder="1"/>
    <xf numFmtId="171" fontId="3" fillId="8" borderId="5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9" borderId="26" xfId="0" applyFont="1" applyFill="1" applyBorder="1" applyAlignment="1">
      <alignment vertical="center"/>
    </xf>
    <xf numFmtId="0" fontId="23" fillId="10" borderId="27" xfId="0" applyFont="1" applyFill="1" applyBorder="1"/>
    <xf numFmtId="0" fontId="21" fillId="0" borderId="0" xfId="0" applyFont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0" fontId="7" fillId="10" borderId="32" xfId="0" applyFont="1" applyFill="1" applyBorder="1" applyAlignment="1">
      <alignment vertical="center"/>
    </xf>
    <xf numFmtId="0" fontId="24" fillId="0" borderId="22" xfId="0" applyFont="1" applyBorder="1"/>
    <xf numFmtId="0" fontId="24" fillId="0" borderId="7" xfId="0" applyFont="1" applyBorder="1"/>
    <xf numFmtId="0" fontId="21" fillId="5" borderId="3" xfId="0" applyFont="1" applyFill="1" applyBorder="1"/>
    <xf numFmtId="172" fontId="24" fillId="0" borderId="7" xfId="0" applyNumberFormat="1" applyFont="1" applyBorder="1" applyAlignment="1">
      <alignment wrapText="1"/>
    </xf>
    <xf numFmtId="165" fontId="21" fillId="0" borderId="9" xfId="0" applyNumberFormat="1" applyFont="1" applyBorder="1" applyAlignment="1">
      <alignment vertical="center"/>
    </xf>
    <xf numFmtId="165" fontId="21" fillId="0" borderId="25" xfId="0" applyNumberFormat="1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10" borderId="35" xfId="0" applyFont="1" applyFill="1" applyBorder="1" applyAlignment="1">
      <alignment vertical="center"/>
    </xf>
    <xf numFmtId="0" fontId="7" fillId="10" borderId="0" xfId="0" applyFont="1" applyFill="1" applyAlignment="1">
      <alignment vertical="center"/>
    </xf>
    <xf numFmtId="0" fontId="25" fillId="10" borderId="36" xfId="0" applyFont="1" applyFill="1" applyBorder="1" applyAlignment="1">
      <alignment vertical="center"/>
    </xf>
    <xf numFmtId="0" fontId="24" fillId="0" borderId="37" xfId="0" applyFont="1" applyBorder="1"/>
    <xf numFmtId="0" fontId="24" fillId="0" borderId="8" xfId="0" applyFont="1" applyBorder="1"/>
    <xf numFmtId="0" fontId="21" fillId="5" borderId="11" xfId="0" applyFont="1" applyFill="1" applyBorder="1"/>
    <xf numFmtId="172" fontId="24" fillId="0" borderId="8" xfId="0" applyNumberFormat="1" applyFont="1" applyBorder="1" applyAlignment="1">
      <alignment wrapText="1"/>
    </xf>
    <xf numFmtId="165" fontId="21" fillId="0" borderId="17" xfId="0" applyNumberFormat="1" applyFont="1" applyBorder="1" applyAlignment="1">
      <alignment vertical="center"/>
    </xf>
    <xf numFmtId="165" fontId="21" fillId="0" borderId="32" xfId="0" applyNumberFormat="1" applyFont="1" applyBorder="1" applyAlignment="1">
      <alignment vertical="center"/>
    </xf>
    <xf numFmtId="0" fontId="21" fillId="0" borderId="38" xfId="0" applyFont="1" applyBorder="1" applyAlignment="1">
      <alignment vertical="center"/>
    </xf>
    <xf numFmtId="0" fontId="22" fillId="9" borderId="39" xfId="0" applyFont="1" applyFill="1" applyBorder="1" applyAlignment="1">
      <alignment vertical="center"/>
    </xf>
    <xf numFmtId="0" fontId="22" fillId="9" borderId="40" xfId="0" applyFont="1" applyFill="1" applyBorder="1" applyAlignment="1">
      <alignment vertical="center"/>
    </xf>
    <xf numFmtId="165" fontId="22" fillId="9" borderId="40" xfId="0" applyNumberFormat="1" applyFont="1" applyFill="1" applyBorder="1" applyAlignment="1">
      <alignment vertical="center"/>
    </xf>
    <xf numFmtId="0" fontId="22" fillId="9" borderId="41" xfId="0" applyFont="1" applyFill="1" applyBorder="1" applyAlignment="1">
      <alignment vertical="center"/>
    </xf>
    <xf numFmtId="0" fontId="23" fillId="3" borderId="36" xfId="0" applyFont="1" applyFill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172" fontId="21" fillId="0" borderId="7" xfId="0" applyNumberFormat="1" applyFont="1" applyBorder="1" applyAlignment="1">
      <alignment wrapText="1"/>
    </xf>
    <xf numFmtId="173" fontId="21" fillId="0" borderId="21" xfId="0" applyNumberFormat="1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21" fillId="0" borderId="43" xfId="0" applyFont="1" applyBorder="1"/>
    <xf numFmtId="0" fontId="21" fillId="0" borderId="5" xfId="0" applyFont="1" applyBorder="1"/>
    <xf numFmtId="0" fontId="26" fillId="0" borderId="32" xfId="0" applyFont="1" applyBorder="1"/>
    <xf numFmtId="0" fontId="21" fillId="0" borderId="45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172" fontId="21" fillId="0" borderId="8" xfId="0" applyNumberFormat="1" applyFont="1" applyBorder="1" applyAlignment="1">
      <alignment wrapText="1"/>
    </xf>
    <xf numFmtId="173" fontId="21" fillId="0" borderId="35" xfId="0" applyNumberFormat="1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172" fontId="22" fillId="3" borderId="47" xfId="0" applyNumberFormat="1" applyFont="1" applyFill="1" applyBorder="1" applyAlignment="1">
      <alignment horizontal="center" vertical="center"/>
    </xf>
    <xf numFmtId="172" fontId="22" fillId="3" borderId="48" xfId="0" applyNumberFormat="1" applyFont="1" applyFill="1" applyBorder="1" applyAlignment="1">
      <alignment horizontal="center" vertical="center"/>
    </xf>
    <xf numFmtId="172" fontId="22" fillId="3" borderId="39" xfId="0" applyNumberFormat="1" applyFont="1" applyFill="1" applyBorder="1" applyAlignment="1">
      <alignment horizontal="center" vertical="center"/>
    </xf>
    <xf numFmtId="172" fontId="22" fillId="3" borderId="41" xfId="0" applyNumberFormat="1" applyFont="1" applyFill="1" applyBorder="1" applyAlignment="1">
      <alignment horizontal="center" vertical="center"/>
    </xf>
    <xf numFmtId="0" fontId="21" fillId="5" borderId="35" xfId="0" applyFont="1" applyFill="1" applyBorder="1" applyAlignment="1">
      <alignment vertical="center"/>
    </xf>
    <xf numFmtId="0" fontId="21" fillId="5" borderId="0" xfId="0" applyFont="1" applyFill="1" applyAlignment="1">
      <alignment vertical="center"/>
    </xf>
    <xf numFmtId="172" fontId="21" fillId="5" borderId="0" xfId="0" applyNumberFormat="1" applyFont="1" applyFill="1" applyAlignment="1">
      <alignment vertical="center"/>
    </xf>
    <xf numFmtId="0" fontId="23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41" xfId="0" applyFont="1" applyFill="1" applyBorder="1" applyAlignment="1">
      <alignment horizontal="center" vertical="center" wrapText="1"/>
    </xf>
    <xf numFmtId="2" fontId="21" fillId="5" borderId="3" xfId="0" applyNumberFormat="1" applyFont="1" applyFill="1" applyBorder="1" applyAlignment="1">
      <alignment vertical="center"/>
    </xf>
    <xf numFmtId="0" fontId="21" fillId="0" borderId="22" xfId="0" applyFont="1" applyBorder="1"/>
    <xf numFmtId="0" fontId="21" fillId="0" borderId="37" xfId="0" applyFont="1" applyBorder="1"/>
    <xf numFmtId="0" fontId="21" fillId="0" borderId="45" xfId="0" applyFont="1" applyBorder="1"/>
    <xf numFmtId="0" fontId="23" fillId="3" borderId="49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vertical="center"/>
    </xf>
    <xf numFmtId="172" fontId="22" fillId="3" borderId="26" xfId="0" applyNumberFormat="1" applyFont="1" applyFill="1" applyBorder="1" applyAlignment="1">
      <alignment horizontal="right" vertical="center"/>
    </xf>
    <xf numFmtId="165" fontId="21" fillId="5" borderId="0" xfId="0" applyNumberFormat="1" applyFont="1" applyFill="1" applyAlignment="1">
      <alignment vertical="center"/>
    </xf>
    <xf numFmtId="173" fontId="21" fillId="5" borderId="0" xfId="0" applyNumberFormat="1" applyFont="1" applyFill="1" applyAlignment="1">
      <alignment vertical="center"/>
    </xf>
    <xf numFmtId="0" fontId="22" fillId="11" borderId="39" xfId="0" applyFont="1" applyFill="1" applyBorder="1" applyAlignment="1">
      <alignment vertical="center"/>
    </xf>
    <xf numFmtId="0" fontId="22" fillId="11" borderId="40" xfId="0" applyFont="1" applyFill="1" applyBorder="1" applyAlignment="1">
      <alignment vertical="center"/>
    </xf>
    <xf numFmtId="0" fontId="22" fillId="11" borderId="4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12" borderId="28" xfId="0" applyFont="1" applyFill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center" vertical="center" wrapText="1"/>
    </xf>
    <xf numFmtId="0" fontId="23" fillId="12" borderId="30" xfId="0" applyFont="1" applyFill="1" applyBorder="1" applyAlignment="1">
      <alignment horizontal="center" vertical="center" wrapText="1"/>
    </xf>
    <xf numFmtId="0" fontId="23" fillId="12" borderId="3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72" fontId="21" fillId="0" borderId="2" xfId="0" applyNumberFormat="1" applyFont="1" applyBorder="1" applyAlignment="1">
      <alignment wrapText="1"/>
    </xf>
    <xf numFmtId="0" fontId="21" fillId="0" borderId="51" xfId="0" applyFont="1" applyBorder="1"/>
    <xf numFmtId="172" fontId="21" fillId="0" borderId="7" xfId="0" applyNumberFormat="1" applyFont="1" applyBorder="1"/>
    <xf numFmtId="172" fontId="21" fillId="0" borderId="9" xfId="0" applyNumberFormat="1" applyFont="1" applyBorder="1"/>
    <xf numFmtId="172" fontId="22" fillId="12" borderId="39" xfId="0" applyNumberFormat="1" applyFont="1" applyFill="1" applyBorder="1" applyAlignment="1">
      <alignment vertical="center"/>
    </xf>
    <xf numFmtId="172" fontId="22" fillId="12" borderId="26" xfId="0" applyNumberFormat="1" applyFont="1" applyFill="1" applyBorder="1" applyAlignment="1">
      <alignment vertical="center"/>
    </xf>
    <xf numFmtId="172" fontId="22" fillId="0" borderId="0" xfId="0" applyNumberFormat="1" applyFont="1" applyAlignment="1">
      <alignment vertical="center"/>
    </xf>
    <xf numFmtId="9" fontId="22" fillId="12" borderId="52" xfId="0" applyNumberFormat="1" applyFont="1" applyFill="1" applyBorder="1" applyAlignment="1">
      <alignment horizontal="left" vertical="center"/>
    </xf>
    <xf numFmtId="0" fontId="22" fillId="12" borderId="52" xfId="0" applyFont="1" applyFill="1" applyBorder="1" applyAlignment="1">
      <alignment horizontal="center" vertical="center"/>
    </xf>
    <xf numFmtId="172" fontId="22" fillId="12" borderId="35" xfId="0" applyNumberFormat="1" applyFont="1" applyFill="1" applyBorder="1" applyAlignment="1">
      <alignment vertical="center"/>
    </xf>
    <xf numFmtId="172" fontId="22" fillId="12" borderId="32" xfId="0" applyNumberFormat="1" applyFont="1" applyFill="1" applyBorder="1" applyAlignment="1">
      <alignment vertical="center"/>
    </xf>
    <xf numFmtId="0" fontId="23" fillId="14" borderId="37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horizontal="center" vertical="center" wrapText="1"/>
    </xf>
    <xf numFmtId="0" fontId="23" fillId="14" borderId="17" xfId="0" applyFont="1" applyFill="1" applyBorder="1" applyAlignment="1">
      <alignment horizontal="center" vertical="center" wrapText="1"/>
    </xf>
    <xf numFmtId="0" fontId="23" fillId="14" borderId="3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165" fontId="22" fillId="15" borderId="26" xfId="0" applyNumberFormat="1" applyFont="1" applyFill="1" applyBorder="1" applyAlignment="1">
      <alignment vertical="center"/>
    </xf>
    <xf numFmtId="172" fontId="21" fillId="0" borderId="9" xfId="0" applyNumberFormat="1" applyFont="1" applyBorder="1" applyAlignment="1">
      <alignment wrapText="1"/>
    </xf>
    <xf numFmtId="172" fontId="21" fillId="0" borderId="8" xfId="0" applyNumberFormat="1" applyFont="1" applyBorder="1"/>
    <xf numFmtId="172" fontId="21" fillId="0" borderId="17" xfId="0" applyNumberFormat="1" applyFont="1" applyBorder="1" applyAlignment="1">
      <alignment wrapText="1"/>
    </xf>
    <xf numFmtId="0" fontId="21" fillId="0" borderId="53" xfId="0" applyFont="1" applyBorder="1" applyAlignment="1">
      <alignment vertical="center"/>
    </xf>
    <xf numFmtId="0" fontId="21" fillId="0" borderId="54" xfId="0" applyFont="1" applyBorder="1" applyAlignment="1">
      <alignment vertical="center"/>
    </xf>
    <xf numFmtId="172" fontId="21" fillId="0" borderId="54" xfId="0" applyNumberFormat="1" applyFont="1" applyBorder="1"/>
    <xf numFmtId="172" fontId="21" fillId="0" borderId="54" xfId="0" applyNumberFormat="1" applyFont="1" applyBorder="1" applyAlignment="1">
      <alignment wrapText="1"/>
    </xf>
    <xf numFmtId="165" fontId="21" fillId="0" borderId="55" xfId="0" applyNumberFormat="1" applyFont="1" applyBorder="1" applyAlignment="1">
      <alignment vertical="center"/>
    </xf>
    <xf numFmtId="165" fontId="22" fillId="14" borderId="39" xfId="0" applyNumberFormat="1" applyFont="1" applyFill="1" applyBorder="1" applyAlignment="1">
      <alignment vertical="center"/>
    </xf>
    <xf numFmtId="165" fontId="22" fillId="14" borderId="26" xfId="0" applyNumberFormat="1" applyFont="1" applyFill="1" applyBorder="1" applyAlignment="1">
      <alignment vertical="center"/>
    </xf>
    <xf numFmtId="0" fontId="23" fillId="4" borderId="37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172" fontId="22" fillId="16" borderId="26" xfId="0" applyNumberFormat="1" applyFont="1" applyFill="1" applyBorder="1" applyAlignment="1">
      <alignment vertical="center"/>
    </xf>
    <xf numFmtId="0" fontId="21" fillId="0" borderId="9" xfId="0" applyFont="1" applyBorder="1" applyAlignment="1">
      <alignment vertical="center"/>
    </xf>
    <xf numFmtId="172" fontId="21" fillId="0" borderId="25" xfId="0" applyNumberFormat="1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2" fontId="21" fillId="0" borderId="3" xfId="0" applyNumberFormat="1" applyFont="1" applyBorder="1" applyAlignment="1">
      <alignment vertical="center"/>
    </xf>
    <xf numFmtId="2" fontId="21" fillId="0" borderId="7" xfId="0" applyNumberFormat="1" applyFont="1" applyBorder="1" applyAlignment="1">
      <alignment vertical="center"/>
    </xf>
    <xf numFmtId="165" fontId="21" fillId="0" borderId="6" xfId="0" applyNumberFormat="1" applyFont="1" applyBorder="1" applyAlignment="1">
      <alignment vertical="center"/>
    </xf>
    <xf numFmtId="172" fontId="21" fillId="0" borderId="44" xfId="0" applyNumberFormat="1" applyFont="1" applyBorder="1" applyAlignment="1">
      <alignment vertical="center"/>
    </xf>
    <xf numFmtId="172" fontId="21" fillId="0" borderId="24" xfId="0" applyNumberFormat="1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172" fontId="21" fillId="0" borderId="11" xfId="0" applyNumberFormat="1" applyFont="1" applyBorder="1"/>
    <xf numFmtId="165" fontId="21" fillId="0" borderId="13" xfId="0" applyNumberFormat="1" applyFont="1" applyBorder="1" applyAlignment="1">
      <alignment vertical="center"/>
    </xf>
    <xf numFmtId="172" fontId="21" fillId="0" borderId="46" xfId="0" applyNumberFormat="1" applyFont="1" applyBorder="1" applyAlignment="1">
      <alignment vertical="center"/>
    </xf>
    <xf numFmtId="172" fontId="21" fillId="0" borderId="27" xfId="0" applyNumberFormat="1" applyFont="1" applyBorder="1" applyAlignment="1">
      <alignment vertic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49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172" fontId="22" fillId="16" borderId="36" xfId="0" applyNumberFormat="1" applyFont="1" applyFill="1" applyBorder="1" applyAlignment="1">
      <alignment vertical="center"/>
    </xf>
    <xf numFmtId="0" fontId="16" fillId="5" borderId="43" xfId="0" applyFont="1" applyFill="1" applyBorder="1" applyAlignment="1">
      <alignment wrapText="1"/>
    </xf>
    <xf numFmtId="165" fontId="22" fillId="17" borderId="41" xfId="0" applyNumberFormat="1" applyFont="1" applyFill="1" applyBorder="1" applyAlignment="1">
      <alignment vertical="center"/>
    </xf>
    <xf numFmtId="165" fontId="22" fillId="5" borderId="0" xfId="0" applyNumberFormat="1" applyFont="1" applyFill="1" applyAlignment="1">
      <alignment vertic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165" fontId="21" fillId="0" borderId="36" xfId="0" applyNumberFormat="1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4" fillId="18" borderId="52" xfId="4" applyNumberFormat="1" applyFont="1" applyFill="1" applyBorder="1" applyAlignment="1" applyProtection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22" borderId="52" xfId="0" applyFont="1" applyFill="1" applyBorder="1" applyAlignment="1" applyProtection="1">
      <alignment horizontal="center" vertical="center"/>
      <protection locked="0"/>
    </xf>
    <xf numFmtId="0" fontId="9" fillId="7" borderId="41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23" borderId="26" xfId="0" applyFont="1" applyFill="1" applyBorder="1" applyAlignment="1">
      <alignment horizontal="center" vertical="center" wrapText="1"/>
    </xf>
    <xf numFmtId="0" fontId="14" fillId="24" borderId="26" xfId="0" applyFont="1" applyFill="1" applyBorder="1" applyAlignment="1">
      <alignment horizontal="center" vertical="center" wrapText="1"/>
    </xf>
    <xf numFmtId="0" fontId="31" fillId="28" borderId="3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4" fillId="22" borderId="0" xfId="0" applyFont="1" applyFill="1" applyAlignment="1" applyProtection="1">
      <alignment horizontal="center" vertical="center"/>
      <protection locked="0"/>
    </xf>
    <xf numFmtId="0" fontId="14" fillId="22" borderId="1" xfId="0" applyFont="1" applyFill="1" applyBorder="1" applyAlignment="1" applyProtection="1">
      <alignment horizontal="center" vertical="center"/>
      <protection locked="0"/>
    </xf>
    <xf numFmtId="0" fontId="9" fillId="7" borderId="48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14" fillId="24" borderId="39" xfId="0" applyFont="1" applyFill="1" applyBorder="1" applyAlignment="1">
      <alignment horizontal="center" vertical="center" wrapText="1"/>
    </xf>
    <xf numFmtId="0" fontId="32" fillId="22" borderId="39" xfId="0" applyFont="1" applyFill="1" applyBorder="1" applyAlignment="1">
      <alignment horizontal="center" vertical="center" wrapText="1"/>
    </xf>
    <xf numFmtId="0" fontId="32" fillId="29" borderId="56" xfId="0" applyFont="1" applyFill="1" applyBorder="1" applyAlignment="1">
      <alignment horizontal="center" vertical="center" wrapText="1"/>
    </xf>
    <xf numFmtId="0" fontId="32" fillId="30" borderId="48" xfId="0" applyFont="1" applyFill="1" applyBorder="1" applyAlignment="1">
      <alignment horizontal="center" vertical="center" wrapText="1"/>
    </xf>
    <xf numFmtId="0" fontId="32" fillId="31" borderId="47" xfId="0" applyFont="1" applyFill="1" applyBorder="1" applyAlignment="1">
      <alignment horizontal="center" vertical="center" wrapText="1"/>
    </xf>
    <xf numFmtId="0" fontId="33" fillId="11" borderId="39" xfId="0" applyFont="1" applyFill="1" applyBorder="1" applyAlignment="1">
      <alignment horizontal="center" vertical="center" wrapText="1"/>
    </xf>
    <xf numFmtId="2" fontId="34" fillId="0" borderId="0" xfId="0" applyNumberFormat="1" applyFont="1"/>
    <xf numFmtId="0" fontId="16" fillId="32" borderId="2" xfId="0" applyFont="1" applyFill="1" applyBorder="1" applyAlignment="1" applyProtection="1">
      <alignment horizontal="left" vertical="center" wrapText="1"/>
      <protection locked="0"/>
    </xf>
    <xf numFmtId="10" fontId="16" fillId="32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22" xfId="0" applyNumberFormat="1" applyFont="1" applyBorder="1"/>
    <xf numFmtId="165" fontId="35" fillId="0" borderId="57" xfId="1" applyNumberFormat="1" applyFont="1" applyBorder="1" applyAlignment="1">
      <alignment horizontal="center" vertical="center"/>
    </xf>
    <xf numFmtId="2" fontId="9" fillId="0" borderId="7" xfId="0" applyNumberFormat="1" applyFont="1" applyBorder="1"/>
    <xf numFmtId="165" fontId="35" fillId="0" borderId="10" xfId="1" applyNumberFormat="1" applyFont="1" applyBorder="1" applyAlignment="1">
      <alignment horizontal="center" vertical="center"/>
    </xf>
    <xf numFmtId="2" fontId="9" fillId="0" borderId="23" xfId="0" applyNumberFormat="1" applyFont="1" applyBorder="1"/>
    <xf numFmtId="167" fontId="32" fillId="22" borderId="21" xfId="0" applyNumberFormat="1" applyFont="1" applyFill="1" applyBorder="1" applyAlignment="1">
      <alignment horizontal="center" vertical="center" wrapText="1"/>
    </xf>
    <xf numFmtId="167" fontId="16" fillId="29" borderId="58" xfId="1" applyNumberFormat="1" applyFont="1" applyFill="1" applyBorder="1" applyAlignment="1">
      <alignment horizontal="center" vertical="center"/>
    </xf>
    <xf numFmtId="169" fontId="16" fillId="30" borderId="59" xfId="1" applyFont="1" applyFill="1" applyBorder="1" applyAlignment="1">
      <alignment horizontal="center" vertical="center"/>
    </xf>
    <xf numFmtId="167" fontId="16" fillId="31" borderId="56" xfId="1" applyNumberFormat="1" applyFont="1" applyFill="1" applyBorder="1" applyAlignment="1">
      <alignment horizontal="center" vertical="center"/>
    </xf>
    <xf numFmtId="167" fontId="16" fillId="11" borderId="60" xfId="1" applyNumberFormat="1" applyFont="1" applyFill="1" applyBorder="1" applyAlignment="1">
      <alignment horizontal="center" vertical="center"/>
    </xf>
    <xf numFmtId="0" fontId="16" fillId="33" borderId="14" xfId="0" applyFont="1" applyFill="1" applyBorder="1" applyAlignment="1" applyProtection="1">
      <alignment horizontal="left" vertical="center"/>
      <protection locked="0"/>
    </xf>
    <xf numFmtId="10" fontId="16" fillId="33" borderId="14" xfId="0" applyNumberFormat="1" applyFont="1" applyFill="1" applyBorder="1" applyAlignment="1" applyProtection="1">
      <alignment horizontal="center" vertical="center"/>
      <protection locked="0"/>
    </xf>
    <xf numFmtId="165" fontId="35" fillId="0" borderId="34" xfId="1" applyNumberFormat="1" applyFont="1" applyBorder="1" applyAlignment="1">
      <alignment horizontal="center" vertical="center"/>
    </xf>
    <xf numFmtId="165" fontId="35" fillId="0" borderId="5" xfId="1" applyNumberFormat="1" applyFont="1" applyBorder="1" applyAlignment="1">
      <alignment horizontal="center" vertical="center"/>
    </xf>
    <xf numFmtId="169" fontId="16" fillId="30" borderId="14" xfId="1" applyFont="1" applyFill="1" applyBorder="1" applyAlignment="1">
      <alignment horizontal="center" vertical="center"/>
    </xf>
    <xf numFmtId="167" fontId="16" fillId="31" borderId="58" xfId="1" applyNumberFormat="1" applyFont="1" applyFill="1" applyBorder="1" applyAlignment="1">
      <alignment horizontal="center" vertical="center"/>
    </xf>
    <xf numFmtId="167" fontId="16" fillId="11" borderId="6" xfId="1" applyNumberFormat="1" applyFont="1" applyFill="1" applyBorder="1" applyAlignment="1">
      <alignment horizontal="center" vertical="center"/>
    </xf>
    <xf numFmtId="2" fontId="36" fillId="0" borderId="0" xfId="0" applyNumberFormat="1" applyFont="1"/>
    <xf numFmtId="2" fontId="37" fillId="0" borderId="0" xfId="0" applyNumberFormat="1" applyFont="1"/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16" fillId="33" borderId="4" xfId="0" applyFont="1" applyFill="1" applyBorder="1" applyAlignment="1" applyProtection="1">
      <alignment horizontal="left" vertical="center"/>
      <protection locked="0"/>
    </xf>
    <xf numFmtId="165" fontId="35" fillId="0" borderId="38" xfId="1" applyNumberFormat="1" applyFont="1" applyBorder="1" applyAlignment="1">
      <alignment horizontal="center" vertical="center"/>
    </xf>
    <xf numFmtId="165" fontId="35" fillId="0" borderId="15" xfId="1" applyNumberFormat="1" applyFont="1" applyBorder="1" applyAlignment="1">
      <alignment horizontal="center" vertical="center"/>
    </xf>
    <xf numFmtId="167" fontId="16" fillId="29" borderId="61" xfId="1" applyNumberFormat="1" applyFont="1" applyFill="1" applyBorder="1" applyAlignment="1">
      <alignment horizontal="center" vertical="center"/>
    </xf>
    <xf numFmtId="169" fontId="16" fillId="30" borderId="4" xfId="1" applyFont="1" applyFill="1" applyBorder="1" applyAlignment="1">
      <alignment horizontal="center" vertical="center"/>
    </xf>
    <xf numFmtId="167" fontId="16" fillId="31" borderId="61" xfId="1" applyNumberFormat="1" applyFont="1" applyFill="1" applyBorder="1" applyAlignment="1">
      <alignment horizontal="center" vertical="center"/>
    </xf>
    <xf numFmtId="167" fontId="16" fillId="11" borderId="13" xfId="1" applyNumberFormat="1" applyFont="1" applyFill="1" applyBorder="1" applyAlignment="1">
      <alignment horizontal="center" vertical="center"/>
    </xf>
    <xf numFmtId="2" fontId="9" fillId="0" borderId="37" xfId="0" applyNumberFormat="1" applyFont="1" applyBorder="1"/>
    <xf numFmtId="165" fontId="35" fillId="0" borderId="62" xfId="1" applyNumberFormat="1" applyFont="1" applyBorder="1" applyAlignment="1">
      <alignment horizontal="center" vertical="center"/>
    </xf>
    <xf numFmtId="2" fontId="9" fillId="0" borderId="8" xfId="0" applyNumberFormat="1" applyFont="1" applyBorder="1"/>
    <xf numFmtId="2" fontId="9" fillId="0" borderId="45" xfId="1" applyNumberFormat="1" applyFont="1" applyBorder="1" applyAlignment="1">
      <alignment horizontal="center" vertical="center"/>
    </xf>
    <xf numFmtId="2" fontId="9" fillId="0" borderId="63" xfId="0" applyNumberFormat="1" applyFont="1" applyBorder="1"/>
    <xf numFmtId="167" fontId="16" fillId="29" borderId="64" xfId="1" applyNumberFormat="1" applyFont="1" applyFill="1" applyBorder="1" applyAlignment="1">
      <alignment horizontal="center" vertical="center"/>
    </xf>
    <xf numFmtId="169" fontId="16" fillId="30" borderId="16" xfId="1" applyFont="1" applyFill="1" applyBorder="1" applyAlignment="1">
      <alignment horizontal="center" vertical="center"/>
    </xf>
    <xf numFmtId="167" fontId="16" fillId="31" borderId="64" xfId="1" applyNumberFormat="1" applyFont="1" applyFill="1" applyBorder="1" applyAlignment="1">
      <alignment horizontal="center" vertical="center"/>
    </xf>
    <xf numFmtId="167" fontId="16" fillId="11" borderId="64" xfId="1" applyNumberFormat="1" applyFont="1" applyFill="1" applyBorder="1" applyAlignment="1">
      <alignment horizontal="center" vertical="center"/>
    </xf>
    <xf numFmtId="165" fontId="39" fillId="21" borderId="65" xfId="1" applyNumberFormat="1" applyFont="1" applyFill="1" applyBorder="1" applyAlignment="1">
      <alignment horizontal="center" vertical="center"/>
    </xf>
    <xf numFmtId="169" fontId="39" fillId="21" borderId="19" xfId="1" applyFont="1" applyFill="1" applyBorder="1" applyAlignment="1">
      <alignment horizontal="center" vertical="center"/>
    </xf>
    <xf numFmtId="167" fontId="39" fillId="21" borderId="49" xfId="1" applyNumberFormat="1" applyFont="1" applyFill="1" applyBorder="1" applyAlignment="1">
      <alignment horizontal="center" vertical="center"/>
    </xf>
    <xf numFmtId="167" fontId="40" fillId="21" borderId="49" xfId="1" applyNumberFormat="1" applyFont="1" applyFill="1" applyBorder="1" applyAlignment="1">
      <alignment horizontal="center" vertical="center"/>
    </xf>
    <xf numFmtId="169" fontId="39" fillId="21" borderId="20" xfId="1" applyFont="1" applyFill="1" applyBorder="1" applyAlignment="1">
      <alignment horizontal="center" vertical="center"/>
    </xf>
    <xf numFmtId="167" fontId="39" fillId="21" borderId="66" xfId="1" applyNumberFormat="1" applyFont="1" applyFill="1" applyBorder="1" applyAlignment="1">
      <alignment horizontal="center" vertical="center"/>
    </xf>
    <xf numFmtId="167" fontId="39" fillId="21" borderId="20" xfId="1" applyNumberFormat="1" applyFont="1" applyFill="1" applyBorder="1" applyAlignment="1">
      <alignment horizontal="center" vertical="center"/>
    </xf>
    <xf numFmtId="2" fontId="9" fillId="0" borderId="67" xfId="0" applyNumberFormat="1" applyFont="1" applyBorder="1"/>
    <xf numFmtId="165" fontId="20" fillId="0" borderId="10" xfId="1" applyNumberFormat="1" applyFont="1" applyBorder="1" applyAlignment="1">
      <alignment horizontal="center" vertical="center"/>
    </xf>
    <xf numFmtId="2" fontId="9" fillId="0" borderId="68" xfId="0" applyNumberFormat="1" applyFont="1" applyBorder="1"/>
    <xf numFmtId="167" fontId="20" fillId="0" borderId="9" xfId="0" applyNumberFormat="1" applyFont="1" applyBorder="1" applyAlignment="1">
      <alignment horizontal="center" vertical="center"/>
    </xf>
    <xf numFmtId="169" fontId="20" fillId="0" borderId="68" xfId="1" applyFont="1" applyBorder="1" applyAlignment="1">
      <alignment horizontal="center" vertical="center"/>
    </xf>
    <xf numFmtId="174" fontId="20" fillId="0" borderId="7" xfId="0" applyNumberFormat="1" applyFont="1" applyBorder="1" applyAlignment="1">
      <alignment horizontal="center" vertical="center"/>
    </xf>
    <xf numFmtId="2" fontId="9" fillId="0" borderId="60" xfId="0" applyNumberFormat="1" applyFont="1" applyBorder="1"/>
    <xf numFmtId="169" fontId="16" fillId="30" borderId="69" xfId="1" applyFont="1" applyFill="1" applyBorder="1" applyAlignment="1">
      <alignment horizontal="center" vertical="center"/>
    </xf>
    <xf numFmtId="167" fontId="16" fillId="11" borderId="56" xfId="1" applyNumberFormat="1" applyFont="1" applyFill="1" applyBorder="1" applyAlignment="1">
      <alignment horizontal="center" vertical="center"/>
    </xf>
    <xf numFmtId="2" fontId="9" fillId="0" borderId="10" xfId="0" applyNumberFormat="1" applyFont="1" applyBorder="1"/>
    <xf numFmtId="165" fontId="20" fillId="0" borderId="5" xfId="1" applyNumberFormat="1" applyFont="1" applyBorder="1" applyAlignment="1">
      <alignment horizontal="center" vertical="center"/>
    </xf>
    <xf numFmtId="167" fontId="20" fillId="0" borderId="6" xfId="0" applyNumberFormat="1" applyFont="1" applyBorder="1" applyAlignment="1">
      <alignment horizontal="center" vertical="center"/>
    </xf>
    <xf numFmtId="169" fontId="20" fillId="0" borderId="3" xfId="1" applyFont="1" applyBorder="1" applyAlignment="1">
      <alignment horizontal="center" vertical="center"/>
    </xf>
    <xf numFmtId="174" fontId="20" fillId="0" borderId="3" xfId="0" applyNumberFormat="1" applyFont="1" applyBorder="1" applyAlignment="1">
      <alignment horizontal="center" vertical="center"/>
    </xf>
    <xf numFmtId="2" fontId="9" fillId="0" borderId="9" xfId="0" applyNumberFormat="1" applyFont="1" applyBorder="1"/>
    <xf numFmtId="169" fontId="16" fillId="30" borderId="70" xfId="1" applyFont="1" applyFill="1" applyBorder="1" applyAlignment="1">
      <alignment horizontal="center" vertical="center"/>
    </xf>
    <xf numFmtId="167" fontId="16" fillId="11" borderId="58" xfId="1" applyNumberFormat="1" applyFont="1" applyFill="1" applyBorder="1" applyAlignment="1">
      <alignment horizontal="center" vertical="center"/>
    </xf>
    <xf numFmtId="2" fontId="9" fillId="0" borderId="12" xfId="0" applyNumberFormat="1" applyFont="1" applyBorder="1"/>
    <xf numFmtId="2" fontId="9" fillId="0" borderId="17" xfId="0" applyNumberFormat="1" applyFont="1" applyBorder="1"/>
    <xf numFmtId="169" fontId="39" fillId="21" borderId="71" xfId="1" applyFont="1" applyFill="1" applyBorder="1" applyAlignment="1">
      <alignment horizontal="center" vertical="center"/>
    </xf>
    <xf numFmtId="165" fontId="39" fillId="21" borderId="71" xfId="1" applyNumberFormat="1" applyFont="1" applyFill="1" applyBorder="1" applyAlignment="1">
      <alignment horizontal="center" vertical="center"/>
    </xf>
    <xf numFmtId="4" fontId="39" fillId="21" borderId="19" xfId="1" applyNumberFormat="1" applyFont="1" applyFill="1" applyBorder="1" applyAlignment="1">
      <alignment horizontal="center" vertical="center"/>
    </xf>
    <xf numFmtId="4" fontId="39" fillId="21" borderId="49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30" fillId="0" borderId="0" xfId="0" applyNumberFormat="1" applyFont="1" applyAlignment="1">
      <alignment horizontal="center"/>
    </xf>
    <xf numFmtId="0" fontId="41" fillId="0" borderId="0" xfId="0" applyFont="1"/>
    <xf numFmtId="0" fontId="0" fillId="2" borderId="72" xfId="0" applyFill="1" applyBorder="1" applyAlignment="1">
      <alignment horizontal="center" vertical="center"/>
    </xf>
    <xf numFmtId="4" fontId="43" fillId="2" borderId="74" xfId="0" applyNumberFormat="1" applyFont="1" applyFill="1" applyBorder="1" applyAlignment="1">
      <alignment horizontal="center" vertical="center"/>
    </xf>
    <xf numFmtId="164" fontId="43" fillId="2" borderId="74" xfId="0" applyNumberFormat="1" applyFont="1" applyFill="1" applyBorder="1" applyAlignment="1">
      <alignment horizontal="center" vertical="center"/>
    </xf>
    <xf numFmtId="0" fontId="42" fillId="2" borderId="74" xfId="0" applyFont="1" applyFill="1" applyBorder="1" applyAlignment="1">
      <alignment vertical="center"/>
    </xf>
    <xf numFmtId="0" fontId="43" fillId="2" borderId="74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left" vertical="center"/>
    </xf>
    <xf numFmtId="4" fontId="13" fillId="2" borderId="75" xfId="0" applyNumberFormat="1" applyFont="1" applyFill="1" applyBorder="1" applyAlignment="1">
      <alignment horizontal="center" vertical="center"/>
    </xf>
    <xf numFmtId="4" fontId="44" fillId="2" borderId="7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43" fillId="2" borderId="0" xfId="0" applyFont="1" applyFill="1" applyAlignment="1">
      <alignment horizontal="center" vertical="center"/>
    </xf>
    <xf numFmtId="4" fontId="43" fillId="2" borderId="0" xfId="0" applyNumberFormat="1" applyFont="1" applyFill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7" xfId="0" applyFill="1" applyBorder="1" applyAlignment="1">
      <alignment vertical="center"/>
    </xf>
    <xf numFmtId="0" fontId="43" fillId="2" borderId="77" xfId="0" applyFont="1" applyFill="1" applyBorder="1" applyAlignment="1">
      <alignment horizontal="center" vertical="center"/>
    </xf>
    <xf numFmtId="4" fontId="43" fillId="2" borderId="77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35" borderId="27" xfId="0" applyFont="1" applyFill="1" applyBorder="1" applyAlignment="1">
      <alignment horizontal="center" vertical="center" wrapText="1"/>
    </xf>
    <xf numFmtId="0" fontId="32" fillId="16" borderId="39" xfId="0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center" vertical="center" wrapText="1"/>
    </xf>
    <xf numFmtId="0" fontId="33" fillId="28" borderId="47" xfId="0" applyFont="1" applyFill="1" applyBorder="1" applyAlignment="1">
      <alignment horizontal="center" vertical="center" wrapText="1"/>
    </xf>
    <xf numFmtId="0" fontId="33" fillId="36" borderId="26" xfId="0" applyFont="1" applyFill="1" applyBorder="1" applyAlignment="1">
      <alignment horizontal="center" wrapText="1"/>
    </xf>
    <xf numFmtId="0" fontId="32" fillId="35" borderId="47" xfId="0" applyFont="1" applyFill="1" applyBorder="1" applyAlignment="1">
      <alignment horizontal="center" vertical="center" wrapText="1"/>
    </xf>
    <xf numFmtId="0" fontId="32" fillId="29" borderId="52" xfId="0" applyFont="1" applyFill="1" applyBorder="1" applyAlignment="1">
      <alignment horizontal="center" vertical="center" wrapText="1"/>
    </xf>
    <xf numFmtId="0" fontId="32" fillId="29" borderId="27" xfId="0" applyFont="1" applyFill="1" applyBorder="1" applyAlignment="1">
      <alignment horizontal="center" vertical="center" wrapText="1"/>
    </xf>
    <xf numFmtId="0" fontId="30" fillId="16" borderId="80" xfId="0" applyFont="1" applyFill="1" applyBorder="1" applyAlignment="1">
      <alignment horizontal="center" vertical="center" wrapText="1"/>
    </xf>
    <xf numFmtId="0" fontId="30" fillId="27" borderId="80" xfId="0" applyFont="1" applyFill="1" applyBorder="1" applyAlignment="1">
      <alignment horizontal="center" vertical="center" wrapText="1"/>
    </xf>
    <xf numFmtId="0" fontId="32" fillId="35" borderId="1" xfId="0" applyFont="1" applyFill="1" applyBorder="1" applyAlignment="1">
      <alignment wrapText="1"/>
    </xf>
    <xf numFmtId="0" fontId="46" fillId="35" borderId="1" xfId="0" applyFont="1" applyFill="1" applyBorder="1" applyAlignment="1">
      <alignment wrapText="1"/>
    </xf>
    <xf numFmtId="0" fontId="46" fillId="35" borderId="80" xfId="0" applyFont="1" applyFill="1" applyBorder="1" applyAlignment="1">
      <alignment wrapText="1"/>
    </xf>
    <xf numFmtId="0" fontId="32" fillId="35" borderId="31" xfId="0" applyFont="1" applyFill="1" applyBorder="1" applyAlignment="1">
      <alignment wrapText="1"/>
    </xf>
    <xf numFmtId="10" fontId="14" fillId="0" borderId="21" xfId="0" applyNumberFormat="1" applyFont="1" applyBorder="1" applyAlignment="1">
      <alignment wrapText="1"/>
    </xf>
    <xf numFmtId="2" fontId="20" fillId="0" borderId="22" xfId="0" applyNumberFormat="1" applyFont="1" applyBorder="1"/>
    <xf numFmtId="2" fontId="20" fillId="0" borderId="10" xfId="0" applyNumberFormat="1" applyFont="1" applyBorder="1"/>
    <xf numFmtId="2" fontId="20" fillId="0" borderId="33" xfId="0" applyNumberFormat="1" applyFont="1" applyBorder="1"/>
    <xf numFmtId="169" fontId="16" fillId="35" borderId="2" xfId="1" applyFont="1" applyFill="1" applyBorder="1" applyAlignment="1">
      <alignment horizontal="center" vertical="center"/>
    </xf>
    <xf numFmtId="2" fontId="36" fillId="35" borderId="81" xfId="0" applyNumberFormat="1" applyFont="1" applyFill="1" applyBorder="1"/>
    <xf numFmtId="2" fontId="36" fillId="35" borderId="82" xfId="0" applyNumberFormat="1" applyFont="1" applyFill="1" applyBorder="1"/>
    <xf numFmtId="2" fontId="34" fillId="29" borderId="82" xfId="0" applyNumberFormat="1" applyFont="1" applyFill="1" applyBorder="1"/>
    <xf numFmtId="169" fontId="16" fillId="30" borderId="24" xfId="1" applyFont="1" applyFill="1" applyBorder="1" applyAlignment="1">
      <alignment horizontal="center" vertical="center"/>
    </xf>
    <xf numFmtId="2" fontId="16" fillId="31" borderId="59" xfId="1" applyNumberFormat="1" applyFont="1" applyFill="1" applyBorder="1" applyAlignment="1">
      <alignment horizontal="center" vertical="center"/>
    </xf>
    <xf numFmtId="2" fontId="16" fillId="11" borderId="21" xfId="1" applyNumberFormat="1" applyFont="1" applyFill="1" applyBorder="1" applyAlignment="1">
      <alignment horizontal="center" vertical="center"/>
    </xf>
    <xf numFmtId="169" fontId="16" fillId="37" borderId="25" xfId="1" applyFont="1" applyFill="1" applyBorder="1" applyAlignment="1">
      <alignment vertical="center"/>
    </xf>
    <xf numFmtId="2" fontId="36" fillId="35" borderId="21" xfId="0" applyNumberFormat="1" applyFont="1" applyFill="1" applyBorder="1" applyAlignment="1">
      <alignment horizontal="left"/>
    </xf>
    <xf numFmtId="2" fontId="36" fillId="35" borderId="2" xfId="0" applyNumberFormat="1" applyFont="1" applyFill="1" applyBorder="1" applyAlignment="1">
      <alignment horizontal="left"/>
    </xf>
    <xf numFmtId="2" fontId="36" fillId="35" borderId="33" xfId="0" applyNumberFormat="1" applyFont="1" applyFill="1" applyBorder="1" applyAlignment="1">
      <alignment horizontal="left"/>
    </xf>
    <xf numFmtId="2" fontId="36" fillId="35" borderId="33" xfId="0" applyNumberFormat="1" applyFont="1" applyFill="1" applyBorder="1"/>
    <xf numFmtId="2" fontId="48" fillId="0" borderId="2" xfId="0" applyNumberFormat="1" applyFont="1" applyBorder="1"/>
    <xf numFmtId="0" fontId="48" fillId="0" borderId="25" xfId="0" applyFont="1" applyBorder="1"/>
    <xf numFmtId="2" fontId="15" fillId="0" borderId="10" xfId="0" applyNumberFormat="1" applyFont="1" applyBorder="1"/>
    <xf numFmtId="2" fontId="15" fillId="0" borderId="33" xfId="0" applyNumberFormat="1" applyFont="1" applyBorder="1"/>
    <xf numFmtId="2" fontId="34" fillId="35" borderId="83" xfId="0" applyNumberFormat="1" applyFont="1" applyFill="1" applyBorder="1"/>
    <xf numFmtId="2" fontId="36" fillId="35" borderId="84" xfId="0" applyNumberFormat="1" applyFont="1" applyFill="1" applyBorder="1"/>
    <xf numFmtId="2" fontId="37" fillId="29" borderId="84" xfId="0" applyNumberFormat="1" applyFont="1" applyFill="1" applyBorder="1"/>
    <xf numFmtId="2" fontId="34" fillId="29" borderId="84" xfId="0" applyNumberFormat="1" applyFont="1" applyFill="1" applyBorder="1"/>
    <xf numFmtId="169" fontId="16" fillId="30" borderId="44" xfId="1" applyFont="1" applyFill="1" applyBorder="1" applyAlignment="1">
      <alignment horizontal="center" vertical="center"/>
    </xf>
    <xf numFmtId="2" fontId="16" fillId="31" borderId="14" xfId="1" applyNumberFormat="1" applyFont="1" applyFill="1" applyBorder="1" applyAlignment="1">
      <alignment horizontal="center" vertical="center"/>
    </xf>
    <xf numFmtId="167" fontId="16" fillId="11" borderId="21" xfId="1" applyNumberFormat="1" applyFont="1" applyFill="1" applyBorder="1" applyAlignment="1">
      <alignment horizontal="center" vertical="center"/>
    </xf>
    <xf numFmtId="169" fontId="16" fillId="37" borderId="44" xfId="1" applyFont="1" applyFill="1" applyBorder="1" applyAlignment="1">
      <alignment vertical="center"/>
    </xf>
    <xf numFmtId="2" fontId="36" fillId="35" borderId="83" xfId="0" applyNumberFormat="1" applyFont="1" applyFill="1" applyBorder="1"/>
    <xf numFmtId="2" fontId="36" fillId="29" borderId="84" xfId="0" applyNumberFormat="1" applyFont="1" applyFill="1" applyBorder="1"/>
    <xf numFmtId="167" fontId="16" fillId="11" borderId="70" xfId="1" applyNumberFormat="1" applyFont="1" applyFill="1" applyBorder="1" applyAlignment="1">
      <alignment horizontal="center" vertical="center"/>
    </xf>
    <xf numFmtId="2" fontId="19" fillId="0" borderId="10" xfId="0" applyNumberFormat="1" applyFont="1" applyBorder="1"/>
    <xf numFmtId="9" fontId="20" fillId="0" borderId="0" xfId="0" applyNumberFormat="1" applyFont="1" applyAlignment="1">
      <alignment horizontal="center" vertical="center"/>
    </xf>
    <xf numFmtId="2" fontId="34" fillId="35" borderId="84" xfId="0" applyNumberFormat="1" applyFont="1" applyFill="1" applyBorder="1"/>
    <xf numFmtId="2" fontId="49" fillId="17" borderId="33" xfId="0" applyNumberFormat="1" applyFont="1" applyFill="1" applyBorder="1"/>
    <xf numFmtId="2" fontId="19" fillId="0" borderId="33" xfId="0" applyNumberFormat="1" applyFont="1" applyBorder="1"/>
    <xf numFmtId="169" fontId="16" fillId="30" borderId="46" xfId="1" applyFont="1" applyFill="1" applyBorder="1" applyAlignment="1">
      <alignment horizontal="center" vertical="center"/>
    </xf>
    <xf numFmtId="2" fontId="16" fillId="31" borderId="4" xfId="1" applyNumberFormat="1" applyFont="1" applyFill="1" applyBorder="1" applyAlignment="1">
      <alignment horizontal="center" vertical="center"/>
    </xf>
    <xf numFmtId="167" fontId="16" fillId="11" borderId="85" xfId="1" applyNumberFormat="1" applyFont="1" applyFill="1" applyBorder="1" applyAlignment="1">
      <alignment horizontal="center" vertical="center"/>
    </xf>
    <xf numFmtId="0" fontId="16" fillId="0" borderId="35" xfId="0" applyFont="1" applyBorder="1"/>
    <xf numFmtId="2" fontId="20" fillId="0" borderId="37" xfId="0" applyNumberFormat="1" applyFont="1" applyBorder="1"/>
    <xf numFmtId="2" fontId="20" fillId="0" borderId="12" xfId="0" applyNumberFormat="1" applyFont="1" applyBorder="1"/>
    <xf numFmtId="2" fontId="20" fillId="0" borderId="42" xfId="0" applyNumberFormat="1" applyFont="1" applyBorder="1"/>
    <xf numFmtId="2" fontId="34" fillId="29" borderId="86" xfId="0" applyNumberFormat="1" applyFont="1" applyFill="1" applyBorder="1"/>
    <xf numFmtId="0" fontId="50" fillId="21" borderId="39" xfId="0" applyFont="1" applyFill="1" applyBorder="1" applyAlignment="1">
      <alignment horizontal="center" vertical="center"/>
    </xf>
    <xf numFmtId="169" fontId="9" fillId="21" borderId="18" xfId="1" applyFont="1" applyFill="1" applyBorder="1" applyAlignment="1">
      <alignment horizontal="center" vertical="center"/>
    </xf>
    <xf numFmtId="169" fontId="9" fillId="21" borderId="19" xfId="1" applyFont="1" applyFill="1" applyBorder="1" applyAlignment="1">
      <alignment horizontal="center" vertical="center"/>
    </xf>
    <xf numFmtId="169" fontId="9" fillId="21" borderId="20" xfId="1" applyFont="1" applyFill="1" applyBorder="1" applyAlignment="1">
      <alignment horizontal="center" vertical="center"/>
    </xf>
    <xf numFmtId="169" fontId="14" fillId="35" borderId="40" xfId="1" applyFont="1" applyFill="1" applyBorder="1" applyAlignment="1">
      <alignment horizontal="center" vertical="center"/>
    </xf>
    <xf numFmtId="169" fontId="14" fillId="35" borderId="47" xfId="1" applyFont="1" applyFill="1" applyBorder="1" applyAlignment="1">
      <alignment vertical="center"/>
    </xf>
    <xf numFmtId="169" fontId="14" fillId="35" borderId="39" xfId="1" applyFont="1" applyFill="1" applyBorder="1" applyAlignment="1">
      <alignment vertical="center"/>
    </xf>
    <xf numFmtId="169" fontId="14" fillId="26" borderId="26" xfId="1" applyFont="1" applyFill="1" applyBorder="1" applyAlignment="1">
      <alignment vertical="center"/>
    </xf>
    <xf numFmtId="169" fontId="14" fillId="26" borderId="41" xfId="1" applyFont="1" applyFill="1" applyBorder="1" applyAlignment="1">
      <alignment vertical="center"/>
    </xf>
    <xf numFmtId="169" fontId="30" fillId="16" borderId="39" xfId="0" applyNumberFormat="1" applyFont="1" applyFill="1" applyBorder="1" applyAlignment="1">
      <alignment horizontal="center" vertical="center" wrapText="1"/>
    </xf>
    <xf numFmtId="169" fontId="30" fillId="27" borderId="26" xfId="0" applyNumberFormat="1" applyFont="1" applyFill="1" applyBorder="1" applyAlignment="1">
      <alignment horizontal="center" vertical="center" wrapText="1"/>
    </xf>
    <xf numFmtId="169" fontId="31" fillId="28" borderId="1" xfId="0" applyNumberFormat="1" applyFont="1" applyFill="1" applyBorder="1" applyAlignment="1">
      <alignment horizontal="center" vertical="center" wrapText="1"/>
    </xf>
    <xf numFmtId="169" fontId="14" fillId="36" borderId="26" xfId="1" applyFont="1" applyFill="1" applyBorder="1" applyAlignment="1">
      <alignment vertical="center"/>
    </xf>
    <xf numFmtId="169" fontId="14" fillId="35" borderId="39" xfId="1" applyFont="1" applyFill="1" applyBorder="1" applyAlignment="1">
      <alignment horizontal="left" vertical="center"/>
    </xf>
    <xf numFmtId="169" fontId="14" fillId="35" borderId="40" xfId="1" applyFont="1" applyFill="1" applyBorder="1" applyAlignment="1">
      <alignment horizontal="left" vertical="center"/>
    </xf>
    <xf numFmtId="169" fontId="14" fillId="35" borderId="41" xfId="1" applyFont="1" applyFill="1" applyBorder="1" applyAlignment="1">
      <alignment horizontal="left" vertical="center"/>
    </xf>
    <xf numFmtId="2" fontId="30" fillId="27" borderId="26" xfId="0" applyNumberFormat="1" applyFont="1" applyFill="1" applyBorder="1" applyAlignment="1">
      <alignment horizontal="center"/>
    </xf>
    <xf numFmtId="2" fontId="30" fillId="27" borderId="40" xfId="0" applyNumberFormat="1" applyFont="1" applyFill="1" applyBorder="1" applyAlignment="1">
      <alignment horizontal="center"/>
    </xf>
    <xf numFmtId="170" fontId="51" fillId="21" borderId="18" xfId="1" applyNumberFormat="1" applyFont="1" applyFill="1" applyBorder="1" applyAlignment="1">
      <alignment horizontal="center" vertical="center"/>
    </xf>
    <xf numFmtId="170" fontId="51" fillId="21" borderId="20" xfId="1" applyNumberFormat="1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2" fontId="30" fillId="27" borderId="14" xfId="0" applyNumberFormat="1" applyFont="1" applyFill="1" applyBorder="1" applyAlignment="1">
      <alignment horizontal="center"/>
    </xf>
    <xf numFmtId="0" fontId="26" fillId="38" borderId="39" xfId="0" applyFont="1" applyFill="1" applyBorder="1" applyAlignment="1">
      <alignment horizontal="right"/>
    </xf>
    <xf numFmtId="2" fontId="30" fillId="38" borderId="0" xfId="0" applyNumberFormat="1" applyFont="1" applyFill="1" applyAlignment="1">
      <alignment horizontal="left"/>
    </xf>
    <xf numFmtId="0" fontId="26" fillId="26" borderId="80" xfId="0" applyFont="1" applyFill="1" applyBorder="1" applyAlignment="1">
      <alignment horizontal="right"/>
    </xf>
    <xf numFmtId="2" fontId="30" fillId="26" borderId="41" xfId="0" applyNumberFormat="1" applyFont="1" applyFill="1" applyBorder="1" applyAlignment="1">
      <alignment horizontal="left"/>
    </xf>
    <xf numFmtId="2" fontId="30" fillId="0" borderId="0" xfId="0" applyNumberFormat="1" applyFont="1" applyAlignment="1">
      <alignment horizontal="left"/>
    </xf>
    <xf numFmtId="2" fontId="30" fillId="27" borderId="70" xfId="0" applyNumberFormat="1" applyFont="1" applyFill="1" applyBorder="1" applyAlignment="1">
      <alignment horizontal="center"/>
    </xf>
    <xf numFmtId="2" fontId="30" fillId="27" borderId="43" xfId="0" applyNumberFormat="1" applyFont="1" applyFill="1" applyBorder="1" applyAlignment="1">
      <alignment horizontal="center"/>
    </xf>
    <xf numFmtId="2" fontId="30" fillId="27" borderId="3" xfId="0" applyNumberFormat="1" applyFont="1" applyFill="1" applyBorder="1" applyAlignment="1">
      <alignment horizontal="center"/>
    </xf>
    <xf numFmtId="2" fontId="30" fillId="27" borderId="58" xfId="0" applyNumberFormat="1" applyFont="1" applyFill="1" applyBorder="1" applyAlignment="1">
      <alignment horizontal="center"/>
    </xf>
    <xf numFmtId="2" fontId="30" fillId="27" borderId="34" xfId="0" applyNumberFormat="1" applyFont="1" applyFill="1" applyBorder="1" applyAlignment="1">
      <alignment horizontal="center"/>
    </xf>
    <xf numFmtId="2" fontId="52" fillId="0" borderId="39" xfId="0" applyNumberFormat="1" applyFont="1" applyBorder="1" applyAlignment="1">
      <alignment horizontal="right"/>
    </xf>
    <xf numFmtId="2" fontId="30" fillId="0" borderId="41" xfId="0" applyNumberFormat="1" applyFont="1" applyBorder="1" applyAlignment="1">
      <alignment horizontal="left"/>
    </xf>
    <xf numFmtId="0" fontId="26" fillId="0" borderId="0" xfId="0" applyFont="1"/>
    <xf numFmtId="2" fontId="30" fillId="27" borderId="87" xfId="0" applyNumberFormat="1" applyFont="1" applyFill="1" applyBorder="1" applyAlignment="1">
      <alignment horizontal="center"/>
    </xf>
    <xf numFmtId="2" fontId="30" fillId="27" borderId="53" xfId="0" applyNumberFormat="1" applyFont="1" applyFill="1" applyBorder="1" applyAlignment="1">
      <alignment horizontal="center"/>
    </xf>
    <xf numFmtId="2" fontId="30" fillId="27" borderId="54" xfId="0" applyNumberFormat="1" applyFont="1" applyFill="1" applyBorder="1" applyAlignment="1">
      <alignment horizontal="center"/>
    </xf>
    <xf numFmtId="2" fontId="30" fillId="27" borderId="64" xfId="0" applyNumberFormat="1" applyFont="1" applyFill="1" applyBorder="1" applyAlignment="1">
      <alignment horizontal="center"/>
    </xf>
    <xf numFmtId="2" fontId="30" fillId="27" borderId="62" xfId="0" applyNumberFormat="1" applyFont="1" applyFill="1" applyBorder="1" applyAlignment="1">
      <alignment horizontal="center"/>
    </xf>
    <xf numFmtId="2" fontId="30" fillId="14" borderId="22" xfId="0" applyNumberFormat="1" applyFont="1" applyFill="1" applyBorder="1" applyAlignment="1">
      <alignment horizontal="center"/>
    </xf>
    <xf numFmtId="175" fontId="30" fillId="14" borderId="22" xfId="0" applyNumberFormat="1" applyFont="1" applyFill="1" applyBorder="1" applyAlignment="1">
      <alignment horizontal="center"/>
    </xf>
    <xf numFmtId="175" fontId="30" fillId="14" borderId="7" xfId="0" applyNumberFormat="1" applyFont="1" applyFill="1" applyBorder="1" applyAlignment="1">
      <alignment horizontal="center"/>
    </xf>
    <xf numFmtId="176" fontId="30" fillId="14" borderId="7" xfId="0" applyNumberFormat="1" applyFont="1" applyFill="1" applyBorder="1" applyAlignment="1">
      <alignment horizontal="center"/>
    </xf>
    <xf numFmtId="176" fontId="30" fillId="14" borderId="23" xfId="0" applyNumberFormat="1" applyFont="1" applyFill="1" applyBorder="1" applyAlignment="1">
      <alignment horizontal="center"/>
    </xf>
    <xf numFmtId="2" fontId="30" fillId="14" borderId="43" xfId="0" applyNumberFormat="1" applyFont="1" applyFill="1" applyBorder="1" applyAlignment="1">
      <alignment horizontal="center"/>
    </xf>
    <xf numFmtId="175" fontId="30" fillId="14" borderId="43" xfId="0" applyNumberFormat="1" applyFont="1" applyFill="1" applyBorder="1" applyAlignment="1">
      <alignment horizontal="center"/>
    </xf>
    <xf numFmtId="175" fontId="30" fillId="14" borderId="3" xfId="0" applyNumberFormat="1" applyFont="1" applyFill="1" applyBorder="1" applyAlignment="1">
      <alignment horizontal="center"/>
    </xf>
    <xf numFmtId="176" fontId="30" fillId="14" borderId="3" xfId="0" applyNumberFormat="1" applyFont="1" applyFill="1" applyBorder="1" applyAlignment="1">
      <alignment horizontal="center"/>
    </xf>
    <xf numFmtId="176" fontId="30" fillId="14" borderId="58" xfId="0" applyNumberFormat="1" applyFont="1" applyFill="1" applyBorder="1" applyAlignment="1">
      <alignment horizontal="center"/>
    </xf>
    <xf numFmtId="0" fontId="9" fillId="34" borderId="53" xfId="0" applyFont="1" applyFill="1" applyBorder="1" applyAlignment="1" applyProtection="1">
      <alignment horizontal="center" vertical="center"/>
      <protection locked="0"/>
    </xf>
    <xf numFmtId="0" fontId="20" fillId="7" borderId="53" xfId="0" applyFont="1" applyFill="1" applyBorder="1" applyAlignment="1">
      <alignment horizontal="center" vertical="center" wrapText="1"/>
    </xf>
    <xf numFmtId="0" fontId="20" fillId="7" borderId="54" xfId="0" applyFont="1" applyFill="1" applyBorder="1" applyAlignment="1">
      <alignment horizontal="center" vertical="center" wrapText="1"/>
    </xf>
    <xf numFmtId="0" fontId="20" fillId="23" borderId="54" xfId="0" applyFont="1" applyFill="1" applyBorder="1" applyAlignment="1">
      <alignment horizontal="center" vertical="center" wrapText="1"/>
    </xf>
    <xf numFmtId="3" fontId="20" fillId="23" borderId="54" xfId="0" applyNumberFormat="1" applyFont="1" applyFill="1" applyBorder="1" applyAlignment="1">
      <alignment horizontal="center" vertical="center" wrapText="1"/>
    </xf>
    <xf numFmtId="0" fontId="16" fillId="24" borderId="54" xfId="0" applyFont="1" applyFill="1" applyBorder="1" applyAlignment="1">
      <alignment horizontal="center" vertical="center" wrapText="1"/>
    </xf>
    <xf numFmtId="0" fontId="20" fillId="24" borderId="64" xfId="0" applyFont="1" applyFill="1" applyBorder="1" applyAlignment="1">
      <alignment horizontal="center" vertical="center" wrapText="1"/>
    </xf>
    <xf numFmtId="0" fontId="10" fillId="0" borderId="0" xfId="0" applyFont="1"/>
    <xf numFmtId="0" fontId="20" fillId="7" borderId="54" xfId="0" applyFont="1" applyFill="1" applyBorder="1" applyAlignment="1">
      <alignment horizontal="center" wrapText="1"/>
    </xf>
    <xf numFmtId="0" fontId="20" fillId="7" borderId="88" xfId="0" applyFont="1" applyFill="1" applyBorder="1" applyAlignment="1">
      <alignment horizontal="center" wrapText="1"/>
    </xf>
    <xf numFmtId="0" fontId="20" fillId="23" borderId="88" xfId="0" applyFont="1" applyFill="1" applyBorder="1" applyAlignment="1">
      <alignment horizontal="center" wrapText="1"/>
    </xf>
    <xf numFmtId="3" fontId="20" fillId="23" borderId="88" xfId="0" applyNumberFormat="1" applyFont="1" applyFill="1" applyBorder="1" applyAlignment="1">
      <alignment horizontal="center" wrapText="1"/>
    </xf>
    <xf numFmtId="0" fontId="16" fillId="24" borderId="88" xfId="0" applyFont="1" applyFill="1" applyBorder="1" applyAlignment="1">
      <alignment horizontal="center" wrapText="1"/>
    </xf>
    <xf numFmtId="0" fontId="20" fillId="24" borderId="62" xfId="0" applyFont="1" applyFill="1" applyBorder="1" applyAlignment="1">
      <alignment horizontal="center" wrapText="1"/>
    </xf>
    <xf numFmtId="0" fontId="53" fillId="5" borderId="35" xfId="0" applyFont="1" applyFill="1" applyBorder="1" applyAlignment="1">
      <alignment vertical="center"/>
    </xf>
    <xf numFmtId="0" fontId="53" fillId="5" borderId="0" xfId="0" applyFont="1" applyFill="1" applyAlignment="1">
      <alignment vertical="center"/>
    </xf>
    <xf numFmtId="0" fontId="6" fillId="39" borderId="89" xfId="0" applyFont="1" applyFill="1" applyBorder="1" applyAlignment="1">
      <alignment horizontal="center"/>
    </xf>
    <xf numFmtId="0" fontId="6" fillId="39" borderId="69" xfId="0" applyFont="1" applyFill="1" applyBorder="1" applyAlignment="1">
      <alignment horizontal="center"/>
    </xf>
    <xf numFmtId="166" fontId="6" fillId="39" borderId="24" xfId="0" applyNumberFormat="1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vertical="center"/>
    </xf>
    <xf numFmtId="0" fontId="6" fillId="5" borderId="0" xfId="0" applyFont="1" applyFill="1" applyAlignment="1">
      <alignment horizontal="right" vertical="center"/>
    </xf>
    <xf numFmtId="4" fontId="3" fillId="39" borderId="22" xfId="0" applyNumberFormat="1" applyFont="1" applyFill="1" applyBorder="1" applyAlignment="1">
      <alignment horizontal="center"/>
    </xf>
    <xf numFmtId="4" fontId="3" fillId="39" borderId="21" xfId="0" applyNumberFormat="1" applyFont="1" applyFill="1" applyBorder="1" applyAlignment="1">
      <alignment horizontal="center"/>
    </xf>
    <xf numFmtId="4" fontId="3" fillId="39" borderId="25" xfId="0" applyNumberFormat="1" applyFont="1" applyFill="1" applyBorder="1" applyAlignment="1">
      <alignment horizontal="center"/>
    </xf>
    <xf numFmtId="177" fontId="3" fillId="39" borderId="44" xfId="1" applyNumberFormat="1" applyFont="1" applyFill="1" applyBorder="1" applyAlignment="1">
      <alignment horizontal="center" vertical="center"/>
    </xf>
    <xf numFmtId="166" fontId="3" fillId="39" borderId="22" xfId="0" applyNumberFormat="1" applyFont="1" applyFill="1" applyBorder="1" applyAlignment="1">
      <alignment horizontal="center"/>
    </xf>
    <xf numFmtId="166" fontId="3" fillId="39" borderId="21" xfId="0" applyNumberFormat="1" applyFont="1" applyFill="1" applyBorder="1" applyAlignment="1">
      <alignment horizontal="center"/>
    </xf>
    <xf numFmtId="166" fontId="3" fillId="39" borderId="25" xfId="0" applyNumberFormat="1" applyFont="1" applyFill="1" applyBorder="1" applyAlignment="1">
      <alignment horizontal="center"/>
    </xf>
    <xf numFmtId="166" fontId="3" fillId="39" borderId="44" xfId="0" applyNumberFormat="1" applyFont="1" applyFill="1" applyBorder="1" applyAlignment="1">
      <alignment horizontal="center" vertical="center"/>
    </xf>
    <xf numFmtId="0" fontId="3" fillId="39" borderId="22" xfId="0" applyFont="1" applyFill="1" applyBorder="1" applyAlignment="1">
      <alignment horizontal="center"/>
    </xf>
    <xf numFmtId="0" fontId="3" fillId="39" borderId="21" xfId="0" applyFont="1" applyFill="1" applyBorder="1" applyAlignment="1">
      <alignment horizontal="center"/>
    </xf>
    <xf numFmtId="0" fontId="3" fillId="39" borderId="25" xfId="0" applyFont="1" applyFill="1" applyBorder="1" applyAlignment="1">
      <alignment horizontal="center"/>
    </xf>
    <xf numFmtId="0" fontId="3" fillId="39" borderId="28" xfId="0" applyFont="1" applyFill="1" applyBorder="1" applyAlignment="1">
      <alignment horizontal="center"/>
    </xf>
    <xf numFmtId="0" fontId="3" fillId="39" borderId="80" xfId="0" applyFont="1" applyFill="1" applyBorder="1" applyAlignment="1">
      <alignment horizontal="center"/>
    </xf>
    <xf numFmtId="0" fontId="3" fillId="39" borderId="36" xfId="0" applyFont="1" applyFill="1" applyBorder="1" applyAlignment="1">
      <alignment horizontal="center"/>
    </xf>
    <xf numFmtId="166" fontId="3" fillId="39" borderId="50" xfId="0" applyNumberFormat="1" applyFont="1" applyFill="1" applyBorder="1" applyAlignment="1">
      <alignment horizontal="center" vertical="center"/>
    </xf>
    <xf numFmtId="0" fontId="51" fillId="5" borderId="89" xfId="0" applyFont="1" applyFill="1" applyBorder="1" applyAlignment="1">
      <alignment horizontal="center" vertical="center"/>
    </xf>
    <xf numFmtId="0" fontId="51" fillId="40" borderId="68" xfId="0" applyFont="1" applyFill="1" applyBorder="1" applyAlignment="1">
      <alignment horizontal="center" vertical="center" wrapText="1"/>
    </xf>
    <xf numFmtId="0" fontId="51" fillId="40" borderId="56" xfId="0" applyFont="1" applyFill="1" applyBorder="1" applyAlignment="1">
      <alignment horizontal="center" vertical="center" wrapText="1"/>
    </xf>
    <xf numFmtId="0" fontId="51" fillId="41" borderId="44" xfId="0" applyFont="1" applyFill="1" applyBorder="1" applyAlignment="1">
      <alignment vertical="center" wrapText="1"/>
    </xf>
    <xf numFmtId="0" fontId="51" fillId="42" borderId="43" xfId="0" applyFont="1" applyFill="1" applyBorder="1" applyAlignment="1">
      <alignment vertical="center" wrapText="1"/>
    </xf>
    <xf numFmtId="170" fontId="51" fillId="42" borderId="3" xfId="1" applyNumberFormat="1" applyFont="1" applyFill="1" applyBorder="1" applyAlignment="1">
      <alignment horizontal="center" vertical="center"/>
    </xf>
    <xf numFmtId="170" fontId="51" fillId="42" borderId="6" xfId="1" applyNumberFormat="1" applyFont="1" applyFill="1" applyBorder="1" applyAlignment="1">
      <alignment horizontal="center" vertical="center"/>
    </xf>
    <xf numFmtId="170" fontId="51" fillId="42" borderId="58" xfId="1" applyNumberFormat="1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vertical="center" wrapText="1"/>
    </xf>
    <xf numFmtId="165" fontId="54" fillId="5" borderId="3" xfId="2" applyNumberFormat="1" applyFont="1" applyFill="1" applyBorder="1" applyAlignment="1" applyProtection="1">
      <alignment vertical="center"/>
    </xf>
    <xf numFmtId="170" fontId="51" fillId="5" borderId="3" xfId="1" applyNumberFormat="1" applyFont="1" applyFill="1" applyBorder="1"/>
    <xf numFmtId="170" fontId="51" fillId="5" borderId="6" xfId="1" applyNumberFormat="1" applyFont="1" applyFill="1" applyBorder="1"/>
    <xf numFmtId="170" fontId="51" fillId="5" borderId="58" xfId="1" applyNumberFormat="1" applyFont="1" applyFill="1" applyBorder="1"/>
    <xf numFmtId="10" fontId="54" fillId="5" borderId="3" xfId="2" applyNumberFormat="1" applyFont="1" applyFill="1" applyBorder="1" applyAlignment="1" applyProtection="1">
      <alignment vertical="center"/>
    </xf>
    <xf numFmtId="170" fontId="55" fillId="5" borderId="3" xfId="2" applyNumberFormat="1" applyFont="1" applyFill="1" applyBorder="1" applyAlignment="1" applyProtection="1">
      <alignment vertical="center"/>
    </xf>
    <xf numFmtId="0" fontId="14" fillId="9" borderId="43" xfId="0" applyFont="1" applyFill="1" applyBorder="1" applyAlignment="1">
      <alignment horizontal="right" vertical="center"/>
    </xf>
    <xf numFmtId="9" fontId="14" fillId="9" borderId="3" xfId="0" applyNumberFormat="1" applyFont="1" applyFill="1" applyBorder="1" applyAlignment="1">
      <alignment horizontal="center" vertical="center"/>
    </xf>
    <xf numFmtId="2" fontId="14" fillId="9" borderId="3" xfId="0" applyNumberFormat="1" applyFont="1" applyFill="1" applyBorder="1" applyAlignment="1">
      <alignment horizontal="right" vertical="center"/>
    </xf>
    <xf numFmtId="2" fontId="14" fillId="9" borderId="6" xfId="0" applyNumberFormat="1" applyFont="1" applyFill="1" applyBorder="1" applyAlignment="1">
      <alignment horizontal="right" vertical="center"/>
    </xf>
    <xf numFmtId="2" fontId="14" fillId="9" borderId="58" xfId="0" applyNumberFormat="1" applyFont="1" applyFill="1" applyBorder="1" applyAlignment="1">
      <alignment horizontal="right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vertical="center"/>
    </xf>
    <xf numFmtId="170" fontId="51" fillId="43" borderId="3" xfId="1" applyNumberFormat="1" applyFont="1" applyFill="1" applyBorder="1" applyAlignment="1">
      <alignment horizontal="center" vertical="center"/>
    </xf>
    <xf numFmtId="170" fontId="51" fillId="43" borderId="58" xfId="1" applyNumberFormat="1" applyFont="1" applyFill="1" applyBorder="1" applyAlignment="1">
      <alignment horizontal="center" vertical="center"/>
    </xf>
    <xf numFmtId="0" fontId="16" fillId="0" borderId="43" xfId="0" applyFont="1" applyBorder="1" applyAlignment="1">
      <alignment vertical="center"/>
    </xf>
    <xf numFmtId="10" fontId="14" fillId="9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3" borderId="58" xfId="0" applyFont="1" applyFill="1" applyBorder="1" applyAlignment="1">
      <alignment vertical="center"/>
    </xf>
    <xf numFmtId="170" fontId="51" fillId="5" borderId="3" xfId="1" applyNumberFormat="1" applyFont="1" applyFill="1" applyBorder="1" applyAlignment="1">
      <alignment vertical="center"/>
    </xf>
    <xf numFmtId="170" fontId="51" fillId="5" borderId="58" xfId="1" applyNumberFormat="1" applyFont="1" applyFill="1" applyBorder="1" applyAlignment="1">
      <alignment vertical="center"/>
    </xf>
    <xf numFmtId="178" fontId="54" fillId="5" borderId="3" xfId="2" applyNumberFormat="1" applyFont="1" applyFill="1" applyBorder="1" applyAlignment="1" applyProtection="1">
      <alignment horizontal="right" vertical="center"/>
    </xf>
    <xf numFmtId="178" fontId="54" fillId="5" borderId="3" xfId="2" applyNumberFormat="1" applyFont="1" applyFill="1" applyBorder="1" applyAlignment="1" applyProtection="1">
      <alignment vertical="center"/>
    </xf>
    <xf numFmtId="164" fontId="54" fillId="5" borderId="3" xfId="2" applyNumberFormat="1" applyFont="1" applyFill="1" applyBorder="1" applyAlignment="1" applyProtection="1">
      <alignment vertical="center"/>
    </xf>
    <xf numFmtId="170" fontId="51" fillId="5" borderId="6" xfId="1" applyNumberFormat="1" applyFont="1" applyFill="1" applyBorder="1" applyAlignment="1">
      <alignment vertical="center"/>
    </xf>
    <xf numFmtId="10" fontId="16" fillId="0" borderId="3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vertical="center"/>
    </xf>
    <xf numFmtId="4" fontId="16" fillId="0" borderId="58" xfId="0" applyNumberFormat="1" applyFont="1" applyBorder="1" applyAlignment="1">
      <alignment vertical="center"/>
    </xf>
    <xf numFmtId="0" fontId="10" fillId="0" borderId="0" xfId="0" applyFont="1" applyAlignment="1">
      <alignment horizontal="left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2" fontId="16" fillId="0" borderId="3" xfId="0" applyNumberFormat="1" applyFont="1" applyBorder="1" applyAlignment="1">
      <alignment horizontal="right" vertical="center"/>
    </xf>
    <xf numFmtId="4" fontId="14" fillId="9" borderId="3" xfId="0" applyNumberFormat="1" applyFont="1" applyFill="1" applyBorder="1" applyAlignment="1">
      <alignment horizontal="right" vertical="center"/>
    </xf>
    <xf numFmtId="4" fontId="14" fillId="9" borderId="6" xfId="0" applyNumberFormat="1" applyFont="1" applyFill="1" applyBorder="1" applyAlignment="1">
      <alignment horizontal="right" vertical="center"/>
    </xf>
    <xf numFmtId="4" fontId="14" fillId="9" borderId="58" xfId="0" applyNumberFormat="1" applyFont="1" applyFill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4" fontId="14" fillId="0" borderId="58" xfId="0" applyNumberFormat="1" applyFont="1" applyBorder="1" applyAlignment="1">
      <alignment horizontal="right" vertical="center"/>
    </xf>
    <xf numFmtId="170" fontId="51" fillId="43" borderId="6" xfId="1" applyNumberFormat="1" applyFont="1" applyFill="1" applyBorder="1" applyAlignment="1">
      <alignment horizontal="center" vertical="center"/>
    </xf>
    <xf numFmtId="10" fontId="54" fillId="5" borderId="3" xfId="2" applyNumberFormat="1" applyFont="1" applyFill="1" applyBorder="1" applyAlignment="1" applyProtection="1">
      <alignment vertical="center"/>
      <protection locked="0"/>
    </xf>
    <xf numFmtId="0" fontId="51" fillId="44" borderId="43" xfId="0" applyFont="1" applyFill="1" applyBorder="1" applyAlignment="1">
      <alignment horizontal="right" vertical="center" wrapText="1"/>
    </xf>
    <xf numFmtId="10" fontId="51" fillId="44" borderId="3" xfId="0" applyNumberFormat="1" applyFont="1" applyFill="1" applyBorder="1" applyAlignment="1">
      <alignment horizontal="right" vertical="center" wrapText="1"/>
    </xf>
    <xf numFmtId="170" fontId="51" fillId="44" borderId="3" xfId="0" applyNumberFormat="1" applyFont="1" applyFill="1" applyBorder="1" applyAlignment="1">
      <alignment vertical="center"/>
    </xf>
    <xf numFmtId="170" fontId="51" fillId="44" borderId="6" xfId="0" applyNumberFormat="1" applyFont="1" applyFill="1" applyBorder="1" applyAlignment="1">
      <alignment vertical="center"/>
    </xf>
    <xf numFmtId="170" fontId="51" fillId="44" borderId="58" xfId="0" applyNumberFormat="1" applyFont="1" applyFill="1" applyBorder="1" applyAlignment="1">
      <alignment vertical="center"/>
    </xf>
    <xf numFmtId="0" fontId="51" fillId="41" borderId="85" xfId="0" applyFont="1" applyFill="1" applyBorder="1" applyAlignment="1">
      <alignment vertical="center" wrapText="1"/>
    </xf>
    <xf numFmtId="0" fontId="51" fillId="41" borderId="4" xfId="0" applyFont="1" applyFill="1" applyBorder="1" applyAlignment="1">
      <alignment vertical="center" wrapText="1"/>
    </xf>
    <xf numFmtId="0" fontId="51" fillId="41" borderId="38" xfId="0" applyFont="1" applyFill="1" applyBorder="1" applyAlignment="1">
      <alignment vertical="center" wrapText="1"/>
    </xf>
    <xf numFmtId="172" fontId="54" fillId="5" borderId="3" xfId="2" applyNumberFormat="1" applyFont="1" applyFill="1" applyBorder="1" applyProtection="1"/>
    <xf numFmtId="0" fontId="16" fillId="0" borderId="43" xfId="0" applyFont="1" applyBorder="1" applyAlignment="1">
      <alignment wrapText="1"/>
    </xf>
    <xf numFmtId="172" fontId="54" fillId="5" borderId="3" xfId="2" applyNumberFormat="1" applyFont="1" applyFill="1" applyBorder="1" applyAlignment="1" applyProtection="1">
      <alignment vertical="center"/>
    </xf>
    <xf numFmtId="0" fontId="55" fillId="44" borderId="3" xfId="0" applyFont="1" applyFill="1" applyBorder="1" applyAlignment="1">
      <alignment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61" xfId="0" applyFont="1" applyFill="1" applyBorder="1" applyAlignment="1">
      <alignment horizontal="center" vertical="center"/>
    </xf>
    <xf numFmtId="0" fontId="51" fillId="45" borderId="43" xfId="0" applyFont="1" applyFill="1" applyBorder="1" applyAlignment="1">
      <alignment vertical="center" wrapText="1"/>
    </xf>
    <xf numFmtId="10" fontId="54" fillId="45" borderId="3" xfId="2" applyNumberFormat="1" applyFont="1" applyFill="1" applyBorder="1" applyAlignment="1" applyProtection="1">
      <alignment vertical="center"/>
    </xf>
    <xf numFmtId="170" fontId="51" fillId="45" borderId="3" xfId="1" applyNumberFormat="1" applyFont="1" applyFill="1" applyBorder="1" applyAlignment="1">
      <alignment horizontal="left" vertical="center"/>
    </xf>
    <xf numFmtId="170" fontId="10" fillId="0" borderId="3" xfId="1" applyNumberFormat="1" applyFont="1" applyBorder="1" applyAlignment="1">
      <alignment vertical="center"/>
    </xf>
    <xf numFmtId="170" fontId="10" fillId="0" borderId="11" xfId="1" applyNumberFormat="1" applyFont="1" applyBorder="1" applyAlignment="1">
      <alignment vertical="center"/>
    </xf>
    <xf numFmtId="4" fontId="10" fillId="0" borderId="0" xfId="0" applyNumberFormat="1" applyFont="1"/>
    <xf numFmtId="10" fontId="54" fillId="5" borderId="11" xfId="2" applyNumberFormat="1" applyFont="1" applyFill="1" applyBorder="1" applyAlignment="1" applyProtection="1">
      <alignment vertical="center"/>
    </xf>
    <xf numFmtId="10" fontId="54" fillId="46" borderId="69" xfId="2" applyNumberFormat="1" applyFont="1" applyFill="1" applyBorder="1" applyAlignment="1" applyProtection="1">
      <alignment vertical="center"/>
    </xf>
    <xf numFmtId="170" fontId="51" fillId="46" borderId="68" xfId="1" applyNumberFormat="1" applyFont="1" applyFill="1" applyBorder="1" applyAlignment="1">
      <alignment vertical="center"/>
    </xf>
    <xf numFmtId="10" fontId="54" fillId="46" borderId="70" xfId="2" applyNumberFormat="1" applyFont="1" applyFill="1" applyBorder="1" applyAlignment="1" applyProtection="1">
      <alignment vertical="center"/>
    </xf>
    <xf numFmtId="170" fontId="51" fillId="46" borderId="3" xfId="1" applyNumberFormat="1" applyFont="1" applyFill="1" applyBorder="1" applyAlignment="1">
      <alignment vertical="center"/>
    </xf>
    <xf numFmtId="10" fontId="54" fillId="46" borderId="87" xfId="2" applyNumberFormat="1" applyFont="1" applyFill="1" applyBorder="1" applyAlignment="1" applyProtection="1">
      <alignment vertical="center"/>
    </xf>
    <xf numFmtId="170" fontId="51" fillId="46" borderId="54" xfId="1" applyNumberFormat="1" applyFont="1" applyFill="1" applyBorder="1" applyAlignment="1">
      <alignment vertical="center"/>
    </xf>
    <xf numFmtId="0" fontId="54" fillId="5" borderId="7" xfId="2" applyNumberFormat="1" applyFont="1" applyFill="1" applyBorder="1" applyAlignment="1" applyProtection="1">
      <alignment vertical="center"/>
    </xf>
    <xf numFmtId="170" fontId="10" fillId="5" borderId="7" xfId="1" applyNumberFormat="1" applyFont="1" applyFill="1" applyBorder="1" applyAlignment="1">
      <alignment vertical="center"/>
    </xf>
    <xf numFmtId="170" fontId="10" fillId="5" borderId="9" xfId="1" applyNumberFormat="1" applyFont="1" applyFill="1" applyBorder="1" applyAlignment="1">
      <alignment vertical="center"/>
    </xf>
    <xf numFmtId="170" fontId="10" fillId="5" borderId="23" xfId="1" applyNumberFormat="1" applyFont="1" applyFill="1" applyBorder="1" applyAlignment="1">
      <alignment vertical="center"/>
    </xf>
    <xf numFmtId="0" fontId="51" fillId="44" borderId="53" xfId="0" applyFont="1" applyFill="1" applyBorder="1" applyAlignment="1">
      <alignment horizontal="right" vertical="center" wrapText="1"/>
    </xf>
    <xf numFmtId="10" fontId="51" fillId="44" borderId="54" xfId="0" applyNumberFormat="1" applyFont="1" applyFill="1" applyBorder="1" applyAlignment="1">
      <alignment horizontal="right" vertical="center" wrapText="1"/>
    </xf>
    <xf numFmtId="170" fontId="51" fillId="44" borderId="54" xfId="0" applyNumberFormat="1" applyFont="1" applyFill="1" applyBorder="1" applyAlignment="1">
      <alignment vertical="center"/>
    </xf>
    <xf numFmtId="170" fontId="51" fillId="44" borderId="55" xfId="0" applyNumberFormat="1" applyFont="1" applyFill="1" applyBorder="1" applyAlignment="1">
      <alignment vertical="center"/>
    </xf>
    <xf numFmtId="170" fontId="51" fillId="44" borderId="64" xfId="0" applyNumberFormat="1" applyFont="1" applyFill="1" applyBorder="1" applyAlignment="1">
      <alignment vertical="center"/>
    </xf>
    <xf numFmtId="0" fontId="51" fillId="47" borderId="68" xfId="0" applyFont="1" applyFill="1" applyBorder="1" applyAlignment="1">
      <alignment horizontal="center" vertical="center" wrapText="1"/>
    </xf>
    <xf numFmtId="0" fontId="51" fillId="47" borderId="60" xfId="0" applyFont="1" applyFill="1" applyBorder="1" applyAlignment="1">
      <alignment horizontal="center" vertical="center" wrapText="1"/>
    </xf>
    <xf numFmtId="0" fontId="51" fillId="47" borderId="56" xfId="0" applyFont="1" applyFill="1" applyBorder="1" applyAlignment="1">
      <alignment horizontal="center" vertical="center" wrapText="1"/>
    </xf>
    <xf numFmtId="170" fontId="51" fillId="48" borderId="11" xfId="1" applyNumberFormat="1" applyFont="1" applyFill="1" applyBorder="1" applyAlignment="1">
      <alignment horizontal="center" vertical="center"/>
    </xf>
    <xf numFmtId="170" fontId="51" fillId="48" borderId="61" xfId="1" applyNumberFormat="1" applyFont="1" applyFill="1" applyBorder="1" applyAlignment="1">
      <alignment horizontal="center" vertical="center"/>
    </xf>
    <xf numFmtId="170" fontId="51" fillId="5" borderId="68" xfId="0" applyNumberFormat="1" applyFont="1" applyFill="1" applyBorder="1" applyAlignment="1">
      <alignment vertical="center"/>
    </xf>
    <xf numFmtId="170" fontId="51" fillId="5" borderId="56" xfId="0" applyNumberFormat="1" applyFont="1" applyFill="1" applyBorder="1" applyAlignment="1">
      <alignment vertical="center"/>
    </xf>
    <xf numFmtId="170" fontId="51" fillId="5" borderId="3" xfId="0" applyNumberFormat="1" applyFont="1" applyFill="1" applyBorder="1" applyAlignment="1">
      <alignment vertical="center"/>
    </xf>
    <xf numFmtId="170" fontId="51" fillId="5" borderId="58" xfId="0" applyNumberFormat="1" applyFont="1" applyFill="1" applyBorder="1" applyAlignment="1">
      <alignment vertical="center"/>
    </xf>
    <xf numFmtId="170" fontId="56" fillId="5" borderId="3" xfId="0" applyNumberFormat="1" applyFont="1" applyFill="1" applyBorder="1" applyAlignment="1">
      <alignment vertical="center"/>
    </xf>
    <xf numFmtId="170" fontId="56" fillId="5" borderId="6" xfId="0" applyNumberFormat="1" applyFont="1" applyFill="1" applyBorder="1" applyAlignment="1">
      <alignment vertical="center"/>
    </xf>
    <xf numFmtId="170" fontId="56" fillId="5" borderId="58" xfId="0" applyNumberFormat="1" applyFont="1" applyFill="1" applyBorder="1" applyAlignment="1">
      <alignment vertical="center"/>
    </xf>
    <xf numFmtId="170" fontId="56" fillId="5" borderId="11" xfId="0" applyNumberFormat="1" applyFont="1" applyFill="1" applyBorder="1" applyAlignment="1">
      <alignment vertical="center"/>
    </xf>
    <xf numFmtId="170" fontId="56" fillId="5" borderId="61" xfId="0" applyNumberFormat="1" applyFont="1" applyFill="1" applyBorder="1" applyAlignment="1">
      <alignment vertical="center"/>
    </xf>
    <xf numFmtId="170" fontId="56" fillId="5" borderId="15" xfId="0" applyNumberFormat="1" applyFont="1" applyFill="1" applyBorder="1" applyAlignment="1">
      <alignment vertical="center"/>
    </xf>
    <xf numFmtId="170" fontId="56" fillId="5" borderId="38" xfId="0" applyNumberFormat="1" applyFont="1" applyFill="1" applyBorder="1" applyAlignment="1">
      <alignment vertical="center"/>
    </xf>
    <xf numFmtId="0" fontId="51" fillId="18" borderId="47" xfId="0" applyFont="1" applyFill="1" applyBorder="1" applyAlignment="1">
      <alignment vertical="center" wrapText="1"/>
    </xf>
    <xf numFmtId="0" fontId="51" fillId="18" borderId="52" xfId="0" applyFont="1" applyFill="1" applyBorder="1" applyAlignment="1">
      <alignment vertical="center" wrapText="1"/>
    </xf>
    <xf numFmtId="179" fontId="51" fillId="18" borderId="52" xfId="0" applyNumberFormat="1" applyFont="1" applyFill="1" applyBorder="1" applyAlignment="1">
      <alignment horizontal="right" vertical="center" wrapText="1"/>
    </xf>
    <xf numFmtId="179" fontId="51" fillId="18" borderId="48" xfId="0" applyNumberFormat="1" applyFont="1" applyFill="1" applyBorder="1" applyAlignment="1">
      <alignment horizontal="right" vertical="center" wrapText="1"/>
    </xf>
    <xf numFmtId="0" fontId="51" fillId="18" borderId="35" xfId="0" applyFont="1" applyFill="1" applyBorder="1" applyAlignment="1">
      <alignment vertical="center" wrapText="1"/>
    </xf>
    <xf numFmtId="0" fontId="51" fillId="18" borderId="0" xfId="0" applyFont="1" applyFill="1" applyAlignment="1">
      <alignment vertical="center" wrapText="1"/>
    </xf>
    <xf numFmtId="179" fontId="51" fillId="18" borderId="0" xfId="0" applyNumberFormat="1" applyFont="1" applyFill="1" applyAlignment="1">
      <alignment horizontal="right" vertical="center" wrapText="1"/>
    </xf>
    <xf numFmtId="179" fontId="51" fillId="18" borderId="42" xfId="0" applyNumberFormat="1" applyFont="1" applyFill="1" applyBorder="1" applyAlignment="1">
      <alignment horizontal="right" vertical="center" wrapText="1"/>
    </xf>
    <xf numFmtId="0" fontId="51" fillId="22" borderId="47" xfId="0" applyFont="1" applyFill="1" applyBorder="1" applyAlignment="1">
      <alignment vertical="center" wrapText="1"/>
    </xf>
    <xf numFmtId="0" fontId="51" fillId="22" borderId="52" xfId="0" applyFont="1" applyFill="1" applyBorder="1" applyAlignment="1">
      <alignment vertical="center" wrapText="1"/>
    </xf>
    <xf numFmtId="179" fontId="30" fillId="22" borderId="52" xfId="0" applyNumberFormat="1" applyFont="1" applyFill="1" applyBorder="1" applyAlignment="1">
      <alignment horizontal="right" vertical="center" wrapText="1"/>
    </xf>
    <xf numFmtId="179" fontId="51" fillId="22" borderId="52" xfId="0" applyNumberFormat="1" applyFont="1" applyFill="1" applyBorder="1" applyAlignment="1">
      <alignment horizontal="right" vertical="center" wrapText="1"/>
    </xf>
    <xf numFmtId="179" fontId="51" fillId="22" borderId="48" xfId="0" applyNumberFormat="1" applyFont="1" applyFill="1" applyBorder="1" applyAlignment="1">
      <alignment horizontal="right" vertical="center" wrapText="1"/>
    </xf>
    <xf numFmtId="0" fontId="51" fillId="22" borderId="35" xfId="0" applyFont="1" applyFill="1" applyBorder="1" applyAlignment="1">
      <alignment vertical="center" wrapText="1"/>
    </xf>
    <xf numFmtId="0" fontId="51" fillId="22" borderId="0" xfId="0" applyFont="1" applyFill="1" applyAlignment="1">
      <alignment vertical="center" wrapText="1"/>
    </xf>
    <xf numFmtId="179" fontId="30" fillId="22" borderId="0" xfId="0" applyNumberFormat="1" applyFont="1" applyFill="1" applyAlignment="1">
      <alignment horizontal="right" vertical="center" wrapText="1"/>
    </xf>
    <xf numFmtId="179" fontId="51" fillId="22" borderId="0" xfId="0" applyNumberFormat="1" applyFont="1" applyFill="1" applyAlignment="1">
      <alignment horizontal="right" vertical="center" wrapText="1"/>
    </xf>
    <xf numFmtId="179" fontId="51" fillId="22" borderId="42" xfId="0" applyNumberFormat="1" applyFont="1" applyFill="1" applyBorder="1" applyAlignment="1">
      <alignment horizontal="right" vertical="center" wrapText="1"/>
    </xf>
    <xf numFmtId="0" fontId="51" fillId="22" borderId="80" xfId="0" applyFont="1" applyFill="1" applyBorder="1" applyAlignment="1">
      <alignment vertical="center" wrapText="1"/>
    </xf>
    <xf numFmtId="0" fontId="51" fillId="22" borderId="1" xfId="0" applyFont="1" applyFill="1" applyBorder="1" applyAlignment="1">
      <alignment vertical="center" wrapText="1"/>
    </xf>
    <xf numFmtId="179" fontId="30" fillId="22" borderId="1" xfId="0" applyNumberFormat="1" applyFont="1" applyFill="1" applyBorder="1" applyAlignment="1">
      <alignment horizontal="right" vertical="center" wrapText="1"/>
    </xf>
    <xf numFmtId="179" fontId="51" fillId="22" borderId="1" xfId="0" applyNumberFormat="1" applyFont="1" applyFill="1" applyBorder="1" applyAlignment="1">
      <alignment horizontal="right" vertical="center" wrapText="1"/>
    </xf>
    <xf numFmtId="179" fontId="51" fillId="22" borderId="31" xfId="0" applyNumberFormat="1" applyFont="1" applyFill="1" applyBorder="1" applyAlignment="1">
      <alignment horizontal="right" vertical="center" wrapText="1"/>
    </xf>
    <xf numFmtId="0" fontId="10" fillId="0" borderId="35" xfId="0" applyFont="1" applyBorder="1"/>
    <xf numFmtId="0" fontId="51" fillId="49" borderId="3" xfId="0" applyFont="1" applyFill="1" applyBorder="1" applyAlignment="1">
      <alignment horizontal="center" vertical="center"/>
    </xf>
    <xf numFmtId="0" fontId="51" fillId="49" borderId="3" xfId="0" applyFont="1" applyFill="1" applyBorder="1" applyAlignment="1">
      <alignment horizontal="center" vertical="center" wrapText="1"/>
    </xf>
    <xf numFmtId="0" fontId="10" fillId="49" borderId="3" xfId="0" applyFont="1" applyFill="1" applyBorder="1"/>
    <xf numFmtId="180" fontId="10" fillId="49" borderId="3" xfId="0" applyNumberFormat="1" applyFont="1" applyFill="1" applyBorder="1"/>
    <xf numFmtId="170" fontId="10" fillId="49" borderId="3" xfId="0" applyNumberFormat="1" applyFont="1" applyFill="1" applyBorder="1"/>
    <xf numFmtId="0" fontId="51" fillId="49" borderId="3" xfId="0" applyFont="1" applyFill="1" applyBorder="1"/>
    <xf numFmtId="0" fontId="1" fillId="0" borderId="0" xfId="3" applyBorder="1" applyAlignment="1" applyProtection="1"/>
    <xf numFmtId="0" fontId="57" fillId="7" borderId="3" xfId="0" applyFont="1" applyFill="1" applyBorder="1" applyAlignment="1">
      <alignment horizontal="right"/>
    </xf>
    <xf numFmtId="180" fontId="57" fillId="7" borderId="3" xfId="0" applyNumberFormat="1" applyFont="1" applyFill="1" applyBorder="1"/>
    <xf numFmtId="170" fontId="57" fillId="7" borderId="3" xfId="0" applyNumberFormat="1" applyFont="1" applyFill="1" applyBorder="1"/>
    <xf numFmtId="172" fontId="10" fillId="0" borderId="35" xfId="0" applyNumberFormat="1" applyFont="1" applyBorder="1"/>
    <xf numFmtId="172" fontId="10" fillId="0" borderId="0" xfId="0" applyNumberFormat="1" applyFont="1"/>
    <xf numFmtId="0" fontId="10" fillId="5" borderId="35" xfId="0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/>
    </xf>
    <xf numFmtId="181" fontId="10" fillId="5" borderId="0" xfId="0" applyNumberFormat="1" applyFont="1" applyFill="1" applyAlignment="1">
      <alignment vertical="center"/>
    </xf>
    <xf numFmtId="182" fontId="10" fillId="49" borderId="3" xfId="0" applyNumberFormat="1" applyFont="1" applyFill="1" applyBorder="1"/>
    <xf numFmtId="4" fontId="10" fillId="49" borderId="3" xfId="0" applyNumberFormat="1" applyFont="1" applyFill="1" applyBorder="1"/>
    <xf numFmtId="0" fontId="10" fillId="5" borderId="0" xfId="0" applyFont="1" applyFill="1"/>
    <xf numFmtId="0" fontId="0" fillId="5" borderId="0" xfId="0" applyFill="1"/>
    <xf numFmtId="0" fontId="57" fillId="23" borderId="3" xfId="0" applyFont="1" applyFill="1" applyBorder="1" applyAlignment="1">
      <alignment horizontal="right"/>
    </xf>
    <xf numFmtId="180" fontId="10" fillId="23" borderId="3" xfId="0" applyNumberFormat="1" applyFont="1" applyFill="1" applyBorder="1"/>
    <xf numFmtId="4" fontId="10" fillId="23" borderId="3" xfId="0" applyNumberFormat="1" applyFont="1" applyFill="1" applyBorder="1"/>
    <xf numFmtId="170" fontId="57" fillId="23" borderId="3" xfId="0" applyNumberFormat="1" applyFont="1" applyFill="1" applyBorder="1"/>
    <xf numFmtId="182" fontId="10" fillId="23" borderId="3" xfId="0" applyNumberFormat="1" applyFont="1" applyFill="1" applyBorder="1"/>
    <xf numFmtId="0" fontId="16" fillId="49" borderId="3" xfId="0" applyFont="1" applyFill="1" applyBorder="1"/>
    <xf numFmtId="0" fontId="58" fillId="24" borderId="3" xfId="0" applyFont="1" applyFill="1" applyBorder="1" applyAlignment="1">
      <alignment horizontal="right" vertical="center" wrapText="1"/>
    </xf>
    <xf numFmtId="183" fontId="10" fillId="24" borderId="3" xfId="0" applyNumberFormat="1" applyFont="1" applyFill="1" applyBorder="1"/>
    <xf numFmtId="4" fontId="10" fillId="24" borderId="3" xfId="0" applyNumberFormat="1" applyFont="1" applyFill="1" applyBorder="1"/>
    <xf numFmtId="170" fontId="57" fillId="24" borderId="3" xfId="0" applyNumberFormat="1" applyFont="1" applyFill="1" applyBorder="1"/>
    <xf numFmtId="166" fontId="6" fillId="39" borderId="89" xfId="0" applyNumberFormat="1" applyFont="1" applyFill="1" applyBorder="1" applyAlignment="1">
      <alignment horizontal="center" vertical="center"/>
    </xf>
    <xf numFmtId="177" fontId="3" fillId="39" borderId="43" xfId="1" applyNumberFormat="1" applyFont="1" applyFill="1" applyBorder="1" applyAlignment="1">
      <alignment horizontal="center" vertical="center"/>
    </xf>
    <xf numFmtId="166" fontId="3" fillId="39" borderId="43" xfId="0" applyNumberFormat="1" applyFont="1" applyFill="1" applyBorder="1" applyAlignment="1">
      <alignment horizontal="center" vertical="center"/>
    </xf>
    <xf numFmtId="166" fontId="3" fillId="39" borderId="53" xfId="0" applyNumberFormat="1" applyFont="1" applyFill="1" applyBorder="1" applyAlignment="1">
      <alignment horizontal="center" vertical="center"/>
    </xf>
    <xf numFmtId="10" fontId="55" fillId="5" borderId="3" xfId="0" applyNumberFormat="1" applyFont="1" applyFill="1" applyBorder="1" applyAlignment="1">
      <alignment vertical="center"/>
    </xf>
    <xf numFmtId="2" fontId="16" fillId="0" borderId="58" xfId="0" applyNumberFormat="1" applyFont="1" applyBorder="1" applyAlignment="1">
      <alignment horizontal="right" vertical="center"/>
    </xf>
    <xf numFmtId="172" fontId="54" fillId="5" borderId="3" xfId="2" applyNumberFormat="1" applyFont="1" applyFill="1" applyBorder="1" applyAlignment="1" applyProtection="1">
      <alignment wrapText="1"/>
    </xf>
    <xf numFmtId="172" fontId="54" fillId="5" borderId="3" xfId="2" applyNumberFormat="1" applyFont="1" applyFill="1" applyBorder="1" applyAlignment="1" applyProtection="1">
      <alignment vertical="center" wrapText="1"/>
    </xf>
    <xf numFmtId="164" fontId="54" fillId="5" borderId="3" xfId="2" applyNumberFormat="1" applyFont="1" applyFill="1" applyBorder="1" applyAlignment="1" applyProtection="1">
      <alignment vertical="center" wrapText="1"/>
    </xf>
    <xf numFmtId="10" fontId="54" fillId="5" borderId="3" xfId="2" applyNumberFormat="1" applyFont="1" applyFill="1" applyBorder="1" applyAlignment="1" applyProtection="1">
      <alignment vertical="center" wrapText="1"/>
    </xf>
    <xf numFmtId="170" fontId="51" fillId="45" borderId="58" xfId="1" applyNumberFormat="1" applyFont="1" applyFill="1" applyBorder="1" applyAlignment="1">
      <alignment horizontal="left" vertical="center"/>
    </xf>
    <xf numFmtId="170" fontId="10" fillId="0" borderId="58" xfId="1" applyNumberFormat="1" applyFont="1" applyBorder="1" applyAlignment="1">
      <alignment vertical="center"/>
    </xf>
    <xf numFmtId="170" fontId="10" fillId="0" borderId="61" xfId="1" applyNumberFormat="1" applyFont="1" applyBorder="1" applyAlignment="1">
      <alignment vertical="center"/>
    </xf>
    <xf numFmtId="170" fontId="51" fillId="46" borderId="56" xfId="1" applyNumberFormat="1" applyFont="1" applyFill="1" applyBorder="1" applyAlignment="1">
      <alignment vertical="center"/>
    </xf>
    <xf numFmtId="170" fontId="51" fillId="46" borderId="58" xfId="1" applyNumberFormat="1" applyFont="1" applyFill="1" applyBorder="1" applyAlignment="1">
      <alignment vertical="center"/>
    </xf>
    <xf numFmtId="170" fontId="51" fillId="46" borderId="64" xfId="1" applyNumberFormat="1" applyFont="1" applyFill="1" applyBorder="1" applyAlignment="1">
      <alignment vertical="center"/>
    </xf>
    <xf numFmtId="179" fontId="30" fillId="22" borderId="48" xfId="0" applyNumberFormat="1" applyFont="1" applyFill="1" applyBorder="1" applyAlignment="1">
      <alignment horizontal="right" vertical="center" wrapText="1"/>
    </xf>
    <xf numFmtId="179" fontId="30" fillId="22" borderId="42" xfId="0" applyNumberFormat="1" applyFont="1" applyFill="1" applyBorder="1" applyAlignment="1">
      <alignment horizontal="right" vertical="center" wrapText="1"/>
    </xf>
    <xf numFmtId="179" fontId="30" fillId="22" borderId="31" xfId="0" applyNumberFormat="1" applyFont="1" applyFill="1" applyBorder="1" applyAlignment="1">
      <alignment horizontal="right" vertical="center" wrapText="1"/>
    </xf>
    <xf numFmtId="0" fontId="33" fillId="28" borderId="27" xfId="0" applyFont="1" applyFill="1" applyBorder="1" applyAlignment="1">
      <alignment horizontal="center" vertical="center" wrapText="1"/>
    </xf>
    <xf numFmtId="0" fontId="31" fillId="28" borderId="26" xfId="0" applyFont="1" applyFill="1" applyBorder="1" applyAlignment="1">
      <alignment horizontal="center" vertical="center" wrapText="1"/>
    </xf>
    <xf numFmtId="0" fontId="33" fillId="36" borderId="41" xfId="0" applyFont="1" applyFill="1" applyBorder="1" applyAlignment="1">
      <alignment horizontal="center" wrapText="1"/>
    </xf>
    <xf numFmtId="0" fontId="9" fillId="0" borderId="69" xfId="0" applyFont="1" applyBorder="1"/>
    <xf numFmtId="10" fontId="9" fillId="0" borderId="24" xfId="0" applyNumberFormat="1" applyFont="1" applyBorder="1"/>
    <xf numFmtId="4" fontId="20" fillId="0" borderId="67" xfId="0" applyNumberFormat="1" applyFont="1" applyBorder="1"/>
    <xf numFmtId="0" fontId="20" fillId="0" borderId="68" xfId="0" applyFont="1" applyBorder="1"/>
    <xf numFmtId="4" fontId="20" fillId="0" borderId="60" xfId="0" applyNumberFormat="1" applyFont="1" applyBorder="1"/>
    <xf numFmtId="169" fontId="16" fillId="35" borderId="24" xfId="1" applyFont="1" applyFill="1" applyBorder="1" applyAlignment="1">
      <alignment horizontal="center" vertical="center"/>
    </xf>
    <xf numFmtId="2" fontId="36" fillId="35" borderId="59" xfId="0" applyNumberFormat="1" applyFont="1" applyFill="1" applyBorder="1"/>
    <xf numFmtId="2" fontId="36" fillId="35" borderId="24" xfId="0" applyNumberFormat="1" applyFont="1" applyFill="1" applyBorder="1"/>
    <xf numFmtId="2" fontId="36" fillId="29" borderId="57" xfId="0" applyNumberFormat="1" applyFont="1" applyFill="1" applyBorder="1"/>
    <xf numFmtId="2" fontId="16" fillId="11" borderId="25" xfId="1" applyNumberFormat="1" applyFont="1" applyFill="1" applyBorder="1" applyAlignment="1">
      <alignment horizontal="center" vertical="center"/>
    </xf>
    <xf numFmtId="169" fontId="16" fillId="37" borderId="2" xfId="1" applyFont="1" applyFill="1" applyBorder="1" applyAlignment="1">
      <alignment vertical="center"/>
    </xf>
    <xf numFmtId="2" fontId="36" fillId="35" borderId="21" xfId="0" applyNumberFormat="1" applyFont="1" applyFill="1" applyBorder="1" applyAlignment="1">
      <alignment horizontal="center" wrapText="1"/>
    </xf>
    <xf numFmtId="2" fontId="36" fillId="35" borderId="2" xfId="0" applyNumberFormat="1" applyFont="1" applyFill="1" applyBorder="1" applyAlignment="1">
      <alignment horizontal="center"/>
    </xf>
    <xf numFmtId="2" fontId="36" fillId="35" borderId="33" xfId="0" applyNumberFormat="1" applyFont="1" applyFill="1" applyBorder="1" applyAlignment="1">
      <alignment horizontal="center"/>
    </xf>
    <xf numFmtId="2" fontId="48" fillId="0" borderId="2" xfId="0" applyNumberFormat="1" applyFont="1" applyBorder="1" applyAlignment="1">
      <alignment horizontal="center"/>
    </xf>
    <xf numFmtId="2" fontId="59" fillId="0" borderId="25" xfId="0" applyNumberFormat="1" applyFont="1" applyBorder="1" applyAlignment="1">
      <alignment horizontal="center" wrapText="1"/>
    </xf>
    <xf numFmtId="2" fontId="15" fillId="0" borderId="10" xfId="0" applyNumberFormat="1" applyFont="1" applyBorder="1" applyAlignment="1">
      <alignment horizontal="center"/>
    </xf>
    <xf numFmtId="2" fontId="15" fillId="0" borderId="33" xfId="0" applyNumberFormat="1" applyFont="1" applyBorder="1" applyAlignment="1">
      <alignment horizontal="center"/>
    </xf>
    <xf numFmtId="0" fontId="20" fillId="0" borderId="21" xfId="0" applyFont="1" applyBorder="1"/>
    <xf numFmtId="10" fontId="9" fillId="0" borderId="44" xfId="0" applyNumberFormat="1" applyFont="1" applyBorder="1"/>
    <xf numFmtId="0" fontId="20" fillId="0" borderId="10" xfId="0" applyFont="1" applyBorder="1"/>
    <xf numFmtId="4" fontId="20" fillId="0" borderId="7" xfId="0" applyNumberFormat="1" applyFont="1" applyBorder="1"/>
    <xf numFmtId="0" fontId="20" fillId="0" borderId="7" xfId="0" applyFont="1" applyBorder="1"/>
    <xf numFmtId="0" fontId="20" fillId="0" borderId="9" xfId="0" applyFont="1" applyBorder="1"/>
    <xf numFmtId="169" fontId="16" fillId="35" borderId="44" xfId="1" applyFont="1" applyFill="1" applyBorder="1" applyAlignment="1">
      <alignment horizontal="center" vertical="center"/>
    </xf>
    <xf numFmtId="2" fontId="36" fillId="35" borderId="2" xfId="0" applyNumberFormat="1" applyFont="1" applyFill="1" applyBorder="1"/>
    <xf numFmtId="2" fontId="36" fillId="35" borderId="25" xfId="0" applyNumberFormat="1" applyFont="1" applyFill="1" applyBorder="1"/>
    <xf numFmtId="2" fontId="36" fillId="29" borderId="33" xfId="0" applyNumberFormat="1" applyFont="1" applyFill="1" applyBorder="1"/>
    <xf numFmtId="167" fontId="16" fillId="11" borderId="25" xfId="1" applyNumberFormat="1" applyFont="1" applyFill="1" applyBorder="1" applyAlignment="1">
      <alignment horizontal="center" vertical="center"/>
    </xf>
    <xf numFmtId="169" fontId="16" fillId="37" borderId="14" xfId="1" applyFont="1" applyFill="1" applyBorder="1" applyAlignment="1">
      <alignment vertical="center"/>
    </xf>
    <xf numFmtId="2" fontId="48" fillId="0" borderId="25" xfId="0" applyNumberFormat="1" applyFont="1" applyBorder="1" applyAlignment="1">
      <alignment horizontal="center"/>
    </xf>
    <xf numFmtId="4" fontId="20" fillId="0" borderId="10" xfId="0" applyNumberFormat="1" applyFont="1" applyBorder="1"/>
    <xf numFmtId="167" fontId="16" fillId="11" borderId="44" xfId="1" applyNumberFormat="1" applyFont="1" applyFill="1" applyBorder="1" applyAlignment="1">
      <alignment horizontal="center" vertical="center"/>
    </xf>
    <xf numFmtId="2" fontId="59" fillId="0" borderId="25" xfId="0" applyNumberFormat="1" applyFont="1" applyBorder="1" applyAlignment="1">
      <alignment horizontal="center"/>
    </xf>
    <xf numFmtId="2" fontId="60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48" fillId="0" borderId="25" xfId="0" applyNumberFormat="1" applyFont="1" applyBorder="1" applyAlignment="1">
      <alignment horizontal="center" wrapText="1"/>
    </xf>
    <xf numFmtId="0" fontId="20" fillId="0" borderId="35" xfId="0" applyFont="1" applyBorder="1"/>
    <xf numFmtId="10" fontId="9" fillId="0" borderId="50" xfId="0" applyNumberFormat="1" applyFont="1" applyBorder="1"/>
    <xf numFmtId="0" fontId="20" fillId="0" borderId="12" xfId="0" applyFont="1" applyBorder="1"/>
    <xf numFmtId="0" fontId="20" fillId="0" borderId="8" xfId="0" applyFont="1" applyBorder="1"/>
    <xf numFmtId="0" fontId="20" fillId="0" borderId="17" xfId="0" applyFont="1" applyBorder="1"/>
    <xf numFmtId="169" fontId="16" fillId="35" borderId="50" xfId="1" applyFont="1" applyFill="1" applyBorder="1" applyAlignment="1">
      <alignment horizontal="center" vertical="center"/>
    </xf>
    <xf numFmtId="0" fontId="50" fillId="21" borderId="80" xfId="0" applyFont="1" applyFill="1" applyBorder="1" applyAlignment="1">
      <alignment horizontal="center" vertical="center"/>
    </xf>
    <xf numFmtId="169" fontId="14" fillId="35" borderId="1" xfId="1" applyFont="1" applyFill="1" applyBorder="1" applyAlignment="1">
      <alignment horizontal="center" vertical="center"/>
    </xf>
    <xf numFmtId="169" fontId="14" fillId="26" borderId="80" xfId="1" applyFont="1" applyFill="1" applyBorder="1" applyAlignment="1">
      <alignment vertical="center"/>
    </xf>
    <xf numFmtId="169" fontId="31" fillId="28" borderId="31" xfId="0" applyNumberFormat="1" applyFont="1" applyFill="1" applyBorder="1" applyAlignment="1">
      <alignment horizontal="center" vertical="center" wrapText="1"/>
    </xf>
    <xf numFmtId="169" fontId="14" fillId="36" borderId="40" xfId="1" applyFont="1" applyFill="1" applyBorder="1" applyAlignment="1">
      <alignment vertical="center"/>
    </xf>
    <xf numFmtId="0" fontId="16" fillId="0" borderId="22" xfId="0" applyFont="1" applyBorder="1"/>
    <xf numFmtId="0" fontId="16" fillId="0" borderId="10" xfId="0" applyFont="1" applyBorder="1"/>
    <xf numFmtId="0" fontId="16" fillId="0" borderId="33" xfId="0" applyFont="1" applyBorder="1"/>
    <xf numFmtId="2" fontId="30" fillId="38" borderId="52" xfId="0" applyNumberFormat="1" applyFont="1" applyFill="1" applyBorder="1" applyAlignment="1">
      <alignment horizontal="left"/>
    </xf>
    <xf numFmtId="0" fontId="26" fillId="26" borderId="39" xfId="0" applyFont="1" applyFill="1" applyBorder="1" applyAlignment="1">
      <alignment horizontal="right"/>
    </xf>
    <xf numFmtId="0" fontId="62" fillId="0" borderId="3" xfId="0" applyFont="1" applyBorder="1"/>
    <xf numFmtId="0" fontId="61" fillId="0" borderId="3" xfId="0" applyFont="1" applyBorder="1" applyAlignment="1">
      <alignment horizontal="center" wrapText="1"/>
    </xf>
    <xf numFmtId="0" fontId="63" fillId="0" borderId="3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5" fillId="0" borderId="3" xfId="0" applyFont="1" applyBorder="1" applyAlignment="1">
      <alignment horizontal="left" vertical="center" wrapText="1"/>
    </xf>
    <xf numFmtId="179" fontId="63" fillId="0" borderId="3" xfId="0" applyNumberFormat="1" applyFont="1" applyBorder="1" applyAlignment="1">
      <alignment horizontal="center" vertical="center"/>
    </xf>
    <xf numFmtId="0" fontId="63" fillId="0" borderId="3" xfId="0" applyFont="1" applyBorder="1" applyAlignment="1">
      <alignment vertical="center" wrapText="1"/>
    </xf>
    <xf numFmtId="0" fontId="61" fillId="0" borderId="6" xfId="0" applyFont="1" applyBorder="1" applyAlignment="1">
      <alignment vertical="center"/>
    </xf>
    <xf numFmtId="0" fontId="61" fillId="0" borderId="14" xfId="0" applyFont="1" applyBorder="1" applyAlignment="1">
      <alignment vertical="center"/>
    </xf>
    <xf numFmtId="179" fontId="61" fillId="0" borderId="3" xfId="0" applyNumberFormat="1" applyFont="1" applyBorder="1" applyAlignment="1">
      <alignment vertical="center"/>
    </xf>
    <xf numFmtId="179" fontId="62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61" fillId="0" borderId="0" xfId="0" applyFont="1" applyBorder="1" applyAlignment="1">
      <alignment horizontal="left" vertical="center"/>
    </xf>
    <xf numFmtId="4" fontId="61" fillId="0" borderId="0" xfId="0" applyNumberFormat="1" applyFont="1" applyBorder="1" applyAlignment="1">
      <alignment horizontal="left" vertical="center"/>
    </xf>
    <xf numFmtId="179" fontId="61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/>
    </xf>
    <xf numFmtId="0" fontId="62" fillId="0" borderId="1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22" fillId="3" borderId="39" xfId="0" applyFont="1" applyFill="1" applyBorder="1" applyAlignment="1">
      <alignment horizontal="center" vertical="center"/>
    </xf>
    <xf numFmtId="0" fontId="22" fillId="9" borderId="26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12" borderId="39" xfId="0" applyFont="1" applyFill="1" applyBorder="1" applyAlignment="1">
      <alignment horizontal="center" vertical="center"/>
    </xf>
    <xf numFmtId="0" fontId="22" fillId="12" borderId="39" xfId="0" applyFont="1" applyFill="1" applyBorder="1" applyAlignment="1">
      <alignment horizontal="right" vertical="center"/>
    </xf>
    <xf numFmtId="0" fontId="22" fillId="12" borderId="26" xfId="0" applyFont="1" applyFill="1" applyBorder="1" applyAlignment="1">
      <alignment horizontal="center" vertical="center"/>
    </xf>
    <xf numFmtId="0" fontId="22" fillId="13" borderId="26" xfId="0" applyFont="1" applyFill="1" applyBorder="1" applyAlignment="1">
      <alignment horizontal="center" vertical="center"/>
    </xf>
    <xf numFmtId="0" fontId="22" fillId="15" borderId="26" xfId="0" applyFont="1" applyFill="1" applyBorder="1" applyAlignment="1">
      <alignment horizontal="center" vertical="center"/>
    </xf>
    <xf numFmtId="0" fontId="22" fillId="14" borderId="26" xfId="0" applyFont="1" applyFill="1" applyBorder="1" applyAlignment="1">
      <alignment horizontal="center" vertical="center"/>
    </xf>
    <xf numFmtId="0" fontId="22" fillId="16" borderId="27" xfId="0" applyFont="1" applyFill="1" applyBorder="1" applyAlignment="1">
      <alignment horizontal="center" vertical="center"/>
    </xf>
    <xf numFmtId="0" fontId="22" fillId="16" borderId="26" xfId="0" applyFont="1" applyFill="1" applyBorder="1" applyAlignment="1">
      <alignment horizontal="center" vertical="center"/>
    </xf>
    <xf numFmtId="0" fontId="22" fillId="16" borderId="36" xfId="0" applyFont="1" applyFill="1" applyBorder="1" applyAlignment="1">
      <alignment horizontal="center" vertical="center"/>
    </xf>
    <xf numFmtId="0" fontId="23" fillId="5" borderId="43" xfId="0" applyFont="1" applyFill="1" applyBorder="1" applyAlignment="1">
      <alignment horizontal="left" vertical="top"/>
    </xf>
    <xf numFmtId="0" fontId="16" fillId="5" borderId="3" xfId="0" applyFont="1" applyFill="1" applyBorder="1" applyAlignment="1">
      <alignment horizontal="left" vertical="center" wrapText="1"/>
    </xf>
    <xf numFmtId="172" fontId="21" fillId="0" borderId="30" xfId="0" applyNumberFormat="1" applyFont="1" applyBorder="1" applyAlignment="1">
      <alignment horizontal="center" vertical="center"/>
    </xf>
    <xf numFmtId="0" fontId="22" fillId="17" borderId="39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14" fillId="18" borderId="47" xfId="4" applyNumberFormat="1" applyFont="1" applyFill="1" applyBorder="1" applyAlignment="1" applyProtection="1">
      <alignment horizontal="center" vertical="center"/>
    </xf>
    <xf numFmtId="0" fontId="14" fillId="19" borderId="40" xfId="0" applyFont="1" applyFill="1" applyBorder="1" applyAlignment="1">
      <alignment horizontal="center" vertical="center"/>
    </xf>
    <xf numFmtId="0" fontId="14" fillId="20" borderId="40" xfId="0" applyFont="1" applyFill="1" applyBorder="1" applyAlignment="1">
      <alignment horizontal="center" vertical="center"/>
    </xf>
    <xf numFmtId="0" fontId="14" fillId="21" borderId="40" xfId="0" applyFont="1" applyFill="1" applyBorder="1" applyAlignment="1">
      <alignment horizontal="center" vertical="center"/>
    </xf>
    <xf numFmtId="0" fontId="9" fillId="23" borderId="26" xfId="0" applyFont="1" applyFill="1" applyBorder="1" applyAlignment="1">
      <alignment horizontal="center" vertical="center" wrapText="1"/>
    </xf>
    <xf numFmtId="0" fontId="14" fillId="22" borderId="39" xfId="0" applyFont="1" applyFill="1" applyBorder="1" applyAlignment="1" applyProtection="1">
      <alignment horizontal="center" vertical="center"/>
      <protection locked="0"/>
    </xf>
    <xf numFmtId="0" fontId="14" fillId="22" borderId="40" xfId="0" applyFont="1" applyFill="1" applyBorder="1" applyAlignment="1" applyProtection="1">
      <alignment horizontal="center" vertical="center"/>
      <protection locked="0"/>
    </xf>
    <xf numFmtId="0" fontId="14" fillId="22" borderId="41" xfId="0" applyFont="1" applyFill="1" applyBorder="1" applyAlignment="1" applyProtection="1">
      <alignment horizontal="center" vertical="center"/>
      <protection locked="0"/>
    </xf>
    <xf numFmtId="0" fontId="9" fillId="7" borderId="41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42" fillId="2" borderId="73" xfId="0" applyFont="1" applyFill="1" applyBorder="1" applyAlignment="1">
      <alignment horizontal="center" vertical="center"/>
    </xf>
    <xf numFmtId="4" fontId="39" fillId="2" borderId="76" xfId="0" applyNumberFormat="1" applyFont="1" applyFill="1" applyBorder="1" applyAlignment="1">
      <alignment horizontal="center" vertical="center"/>
    </xf>
    <xf numFmtId="0" fontId="30" fillId="16" borderId="26" xfId="0" applyFont="1" applyFill="1" applyBorder="1" applyAlignment="1">
      <alignment horizontal="center" vertical="center" wrapText="1"/>
    </xf>
    <xf numFmtId="0" fontId="30" fillId="27" borderId="26" xfId="0" applyFont="1" applyFill="1" applyBorder="1" applyAlignment="1">
      <alignment horizontal="center" vertical="center" wrapText="1"/>
    </xf>
    <xf numFmtId="0" fontId="31" fillId="28" borderId="39" xfId="0" applyFont="1" applyFill="1" applyBorder="1" applyAlignment="1">
      <alignment horizontal="center" vertical="center" wrapText="1"/>
    </xf>
    <xf numFmtId="0" fontId="38" fillId="21" borderId="50" xfId="0" applyFont="1" applyFill="1" applyBorder="1" applyAlignment="1">
      <alignment horizontal="center" vertical="center"/>
    </xf>
    <xf numFmtId="0" fontId="14" fillId="24" borderId="26" xfId="0" applyFont="1" applyFill="1" applyBorder="1" applyAlignment="1">
      <alignment horizontal="center" vertical="center" wrapText="1"/>
    </xf>
    <xf numFmtId="0" fontId="9" fillId="24" borderId="26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6" borderId="48" xfId="0" applyFont="1" applyFill="1" applyBorder="1" applyAlignment="1">
      <alignment horizontal="center" vertical="center" wrapText="1"/>
    </xf>
    <xf numFmtId="0" fontId="20" fillId="23" borderId="26" xfId="0" applyFont="1" applyFill="1" applyBorder="1" applyAlignment="1">
      <alignment horizontal="center" vertical="center" wrapText="1"/>
    </xf>
    <xf numFmtId="0" fontId="9" fillId="19" borderId="78" xfId="0" applyFont="1" applyFill="1" applyBorder="1" applyAlignment="1">
      <alignment horizontal="center" vertical="center"/>
    </xf>
    <xf numFmtId="0" fontId="9" fillId="20" borderId="79" xfId="0" applyFont="1" applyFill="1" applyBorder="1" applyAlignment="1">
      <alignment horizontal="center" vertical="center"/>
    </xf>
    <xf numFmtId="0" fontId="9" fillId="21" borderId="48" xfId="0" applyFont="1" applyFill="1" applyBorder="1" applyAlignment="1">
      <alignment horizontal="center" vertical="center"/>
    </xf>
    <xf numFmtId="0" fontId="45" fillId="6" borderId="26" xfId="0" applyFont="1" applyFill="1" applyBorder="1" applyAlignment="1"/>
    <xf numFmtId="0" fontId="14" fillId="34" borderId="39" xfId="0" applyFont="1" applyFill="1" applyBorder="1" applyAlignment="1" applyProtection="1">
      <alignment horizontal="center" vertical="center"/>
      <protection locked="0"/>
    </xf>
    <xf numFmtId="0" fontId="14" fillId="34" borderId="26" xfId="0" applyFont="1" applyFill="1" applyBorder="1" applyAlignment="1" applyProtection="1">
      <alignment horizontal="center" vertical="center"/>
      <protection locked="0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9" fillId="23" borderId="39" xfId="0" applyFont="1" applyFill="1" applyBorder="1" applyAlignment="1">
      <alignment horizontal="center" vertical="center" wrapText="1"/>
    </xf>
    <xf numFmtId="0" fontId="9" fillId="23" borderId="40" xfId="0" applyFont="1" applyFill="1" applyBorder="1" applyAlignment="1">
      <alignment horizontal="center" vertical="center" wrapText="1"/>
    </xf>
    <xf numFmtId="0" fontId="14" fillId="24" borderId="39" xfId="0" applyFont="1" applyFill="1" applyBorder="1" applyAlignment="1">
      <alignment horizontal="center" vertical="center" wrapText="1"/>
    </xf>
    <xf numFmtId="0" fontId="9" fillId="24" borderId="41" xfId="0" applyFont="1" applyFill="1" applyBorder="1" applyAlignment="1">
      <alignment horizontal="center" vertical="center" wrapText="1"/>
    </xf>
    <xf numFmtId="0" fontId="47" fillId="0" borderId="39" xfId="0" applyFont="1" applyBorder="1" applyAlignment="1">
      <alignment wrapText="1"/>
    </xf>
    <xf numFmtId="0" fontId="47" fillId="0" borderId="26" xfId="0" applyFont="1" applyBorder="1" applyAlignment="1">
      <alignment wrapText="1"/>
    </xf>
    <xf numFmtId="0" fontId="19" fillId="7" borderId="18" xfId="0" applyFont="1" applyFill="1" applyBorder="1" applyAlignment="1">
      <alignment wrapText="1"/>
    </xf>
    <xf numFmtId="0" fontId="19" fillId="7" borderId="20" xfId="0" applyFont="1" applyFill="1" applyBorder="1" applyAlignment="1">
      <alignment wrapText="1"/>
    </xf>
    <xf numFmtId="0" fontId="32" fillId="35" borderId="40" xfId="0" applyFont="1" applyFill="1" applyBorder="1" applyAlignment="1">
      <alignment horizontal="center" vertical="center" wrapText="1"/>
    </xf>
    <xf numFmtId="0" fontId="32" fillId="35" borderId="27" xfId="0" applyFont="1" applyFill="1" applyBorder="1" applyAlignment="1">
      <alignment horizontal="center" vertical="center" wrapText="1"/>
    </xf>
    <xf numFmtId="0" fontId="32" fillId="26" borderId="52" xfId="0" applyFont="1" applyFill="1" applyBorder="1" applyAlignment="1">
      <alignment horizontal="center" vertical="center" wrapText="1"/>
    </xf>
    <xf numFmtId="0" fontId="46" fillId="35" borderId="27" xfId="0" applyFont="1" applyFill="1" applyBorder="1" applyAlignment="1">
      <alignment wrapText="1"/>
    </xf>
    <xf numFmtId="0" fontId="46" fillId="35" borderId="48" xfId="0" applyFont="1" applyFill="1" applyBorder="1" applyAlignment="1">
      <alignment wrapText="1"/>
    </xf>
    <xf numFmtId="0" fontId="53" fillId="0" borderId="27" xfId="0" applyFont="1" applyBorder="1" applyAlignment="1">
      <alignment horizontal="center" vertical="center"/>
    </xf>
    <xf numFmtId="0" fontId="53" fillId="5" borderId="32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51" fillId="41" borderId="44" xfId="0" applyFont="1" applyFill="1" applyBorder="1" applyAlignment="1">
      <alignment horizontal="left" vertical="center" wrapText="1"/>
    </xf>
    <xf numFmtId="0" fontId="14" fillId="9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1" fillId="47" borderId="89" xfId="0" applyFont="1" applyFill="1" applyBorder="1" applyAlignment="1">
      <alignment horizontal="center" vertical="center" wrapText="1"/>
    </xf>
    <xf numFmtId="0" fontId="51" fillId="48" borderId="53" xfId="0" applyFont="1" applyFill="1" applyBorder="1" applyAlignment="1">
      <alignment horizontal="left" vertical="center" wrapText="1"/>
    </xf>
    <xf numFmtId="0" fontId="51" fillId="5" borderId="89" xfId="0" applyFont="1" applyFill="1" applyBorder="1" applyAlignment="1">
      <alignment horizontal="left" vertical="center" wrapText="1"/>
    </xf>
    <xf numFmtId="0" fontId="51" fillId="5" borderId="43" xfId="0" applyFont="1" applyFill="1" applyBorder="1" applyAlignment="1">
      <alignment horizontal="left" vertical="center" wrapText="1"/>
    </xf>
    <xf numFmtId="0" fontId="51" fillId="5" borderId="43" xfId="0" applyFont="1" applyFill="1" applyBorder="1" applyAlignment="1">
      <alignment horizontal="center" vertical="center" wrapText="1"/>
    </xf>
    <xf numFmtId="0" fontId="51" fillId="5" borderId="45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4" fillId="23" borderId="3" xfId="0" applyFont="1" applyFill="1" applyBorder="1" applyAlignment="1">
      <alignment horizontal="center" vertical="center" wrapText="1"/>
    </xf>
    <xf numFmtId="0" fontId="14" fillId="24" borderId="3" xfId="0" applyFont="1" applyFill="1" applyBorder="1" applyAlignment="1">
      <alignment horizontal="center" vertical="center" wrapText="1"/>
    </xf>
    <xf numFmtId="0" fontId="14" fillId="34" borderId="27" xfId="0" applyFont="1" applyFill="1" applyBorder="1" applyAlignment="1" applyProtection="1">
      <alignment horizontal="center" vertical="center"/>
      <protection locked="0"/>
    </xf>
    <xf numFmtId="0" fontId="32" fillId="35" borderId="52" xfId="0" applyFont="1" applyFill="1" applyBorder="1" applyAlignment="1">
      <alignment horizontal="center" vertical="center" wrapText="1"/>
    </xf>
  </cellXfs>
  <cellStyles count="5">
    <cellStyle name="Hyperlink 1" xfId="3"/>
    <cellStyle name="Normal" xfId="0" builtinId="0"/>
    <cellStyle name="Porcentagem" xfId="2" builtinId="5"/>
    <cellStyle name="TableStyleLight1" xfId="4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DDDDDD"/>
      <rgbColor rgb="FFFFFF00"/>
      <rgbColor rgb="FFF4B183"/>
      <rgbColor rgb="FFA9D08E"/>
      <rgbColor rgb="FFFACFD6"/>
      <rgbColor rgb="FF5EB91E"/>
      <rgbColor rgb="FFFCE4D6"/>
      <rgbColor rgb="FF70AD47"/>
      <rgbColor rgb="FFCCCCCC"/>
      <rgbColor rgb="FF8FAADC"/>
      <rgbColor rgb="FFC0C0C0"/>
      <rgbColor rgb="FF808080"/>
      <rgbColor rgb="FF8EA9DB"/>
      <rgbColor rgb="FFA1467E"/>
      <rgbColor rgb="FFFFFFCC"/>
      <rgbColor rgb="FFDEEBF7"/>
      <rgbColor rgb="FFD9D9D9"/>
      <rgbColor rgb="FFFA7070"/>
      <rgbColor rgb="FFADB9CA"/>
      <rgbColor rgb="FFCCCCFF"/>
      <rgbColor rgb="FFFFF2CC"/>
      <rgbColor rgb="FFC1C1C1"/>
      <rgbColor rgb="FFFFE699"/>
      <rgbColor rgb="FFB4C6E7"/>
      <rgbColor rgb="FFD0CECE"/>
      <rgbColor rgb="FFDBDBDB"/>
      <rgbColor rgb="FFA6A6A6"/>
      <rgbColor rgb="FFE7E6E6"/>
      <rgbColor rgb="FF00CCFF"/>
      <rgbColor rgb="FFD9E1F2"/>
      <rgbColor rgb="FFC6E0B4"/>
      <rgbColor rgb="FFFFFF99"/>
      <rgbColor rgb="FF9BC2E6"/>
      <rgbColor rgb="FFFF9999"/>
      <rgbColor rgb="FFCC99FF"/>
      <rgbColor rgb="FFFFCCCC"/>
      <rgbColor rgb="FF729FCF"/>
      <rgbColor rgb="FF5B9BD5"/>
      <rgbColor rgb="FFBBE33D"/>
      <rgbColor rgb="FFFFCC00"/>
      <rgbColor rgb="FFFE7528"/>
      <rgbColor rgb="FFF76304"/>
      <rgbColor rgb="FF5983B0"/>
      <rgbColor rgb="FF8497B0"/>
      <rgbColor rgb="FFB4C7DC"/>
      <rgbColor rgb="FF39914F"/>
      <rgbColor rgb="FFD6DCE4"/>
      <rgbColor rgb="FF444444"/>
      <rgbColor rgb="FF824802"/>
      <rgbColor rgb="FFBF819E"/>
      <rgbColor rgb="FF1B4E7E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compras/pt-br/agente-publico/cadernos-tecnicos-e-valores-limites/cadernos-tecnicos-e-valores-limites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="88" zoomScaleNormal="88" workbookViewId="0">
      <selection sqref="A1:H1"/>
    </sheetView>
  </sheetViews>
  <sheetFormatPr defaultRowHeight="14.25" x14ac:dyDescent="0.2"/>
  <cols>
    <col min="2" max="2" width="15.125" customWidth="1"/>
    <col min="4" max="4" width="75.625" customWidth="1"/>
    <col min="5" max="5" width="12.375" customWidth="1"/>
    <col min="6" max="6" width="11.25" customWidth="1"/>
    <col min="7" max="7" width="13" bestFit="1" customWidth="1"/>
    <col min="8" max="8" width="18.875" customWidth="1"/>
    <col min="9" max="9" width="11.625" bestFit="1" customWidth="1"/>
  </cols>
  <sheetData>
    <row r="1" spans="1:9" ht="15" x14ac:dyDescent="0.2">
      <c r="A1" s="739" t="s">
        <v>618</v>
      </c>
      <c r="B1" s="739"/>
      <c r="C1" s="739"/>
      <c r="D1" s="739"/>
      <c r="E1" s="739"/>
      <c r="F1" s="739"/>
      <c r="G1" s="739"/>
      <c r="H1" s="739"/>
    </row>
    <row r="2" spans="1:9" ht="15" x14ac:dyDescent="0.2">
      <c r="A2" s="739" t="s">
        <v>584</v>
      </c>
      <c r="B2" s="739"/>
      <c r="C2" s="739"/>
      <c r="D2" s="739"/>
      <c r="E2" s="739"/>
      <c r="F2" s="739"/>
      <c r="G2" s="739"/>
      <c r="H2" s="739"/>
    </row>
    <row r="3" spans="1:9" ht="15" x14ac:dyDescent="0.2">
      <c r="A3" s="739" t="s">
        <v>585</v>
      </c>
      <c r="B3" s="739"/>
      <c r="C3" s="739"/>
      <c r="D3" s="739"/>
      <c r="E3" s="739"/>
      <c r="F3" s="739"/>
      <c r="G3" s="739"/>
      <c r="H3" s="739"/>
    </row>
    <row r="4" spans="1:9" ht="15" x14ac:dyDescent="0.2">
      <c r="A4" s="740" t="s">
        <v>586</v>
      </c>
      <c r="B4" s="740"/>
      <c r="C4" s="740"/>
      <c r="D4" s="740"/>
      <c r="E4" s="740"/>
      <c r="F4" s="740"/>
      <c r="G4" s="740"/>
      <c r="H4" s="740"/>
    </row>
    <row r="5" spans="1:9" ht="44.85" customHeight="1" x14ac:dyDescent="0.2">
      <c r="A5" s="741" t="s">
        <v>587</v>
      </c>
      <c r="B5" s="742"/>
      <c r="C5" s="742"/>
      <c r="D5" s="742"/>
      <c r="E5" s="742"/>
      <c r="F5" s="742"/>
      <c r="G5" s="742"/>
      <c r="H5" s="743"/>
    </row>
    <row r="7" spans="1:9" ht="30" x14ac:dyDescent="0.25">
      <c r="A7" s="722" t="s">
        <v>588</v>
      </c>
      <c r="B7" s="723" t="s">
        <v>589</v>
      </c>
      <c r="C7" s="723" t="s">
        <v>590</v>
      </c>
      <c r="D7" s="723" t="s">
        <v>591</v>
      </c>
      <c r="E7" s="723" t="s">
        <v>592</v>
      </c>
      <c r="F7" s="723" t="s">
        <v>593</v>
      </c>
      <c r="G7" s="723" t="s">
        <v>594</v>
      </c>
      <c r="H7" s="723" t="s">
        <v>595</v>
      </c>
    </row>
    <row r="8" spans="1:9" ht="73.5" customHeight="1" x14ac:dyDescent="0.2">
      <c r="A8" s="744">
        <v>4</v>
      </c>
      <c r="B8" s="724">
        <v>16</v>
      </c>
      <c r="C8" s="725">
        <v>24023</v>
      </c>
      <c r="D8" s="726" t="s">
        <v>596</v>
      </c>
      <c r="E8" s="724" t="s">
        <v>597</v>
      </c>
      <c r="F8" s="724" t="s">
        <v>598</v>
      </c>
      <c r="G8" s="727">
        <f>'Resumo Proposta'!Y39</f>
        <v>0</v>
      </c>
      <c r="H8" s="727">
        <f>G8*12</f>
        <v>0</v>
      </c>
    </row>
    <row r="9" spans="1:9" ht="73.5" customHeight="1" x14ac:dyDescent="0.2">
      <c r="A9" s="745"/>
      <c r="B9" s="724">
        <v>17</v>
      </c>
      <c r="C9" s="725">
        <v>25194</v>
      </c>
      <c r="D9" s="726" t="s">
        <v>599</v>
      </c>
      <c r="E9" s="724" t="s">
        <v>146</v>
      </c>
      <c r="F9" s="724" t="s">
        <v>598</v>
      </c>
      <c r="G9" s="727">
        <f>'Resumo Proposta'!Z39</f>
        <v>0</v>
      </c>
      <c r="H9" s="727">
        <f t="shared" ref="H9:H12" si="0">G9*12</f>
        <v>0</v>
      </c>
    </row>
    <row r="10" spans="1:9" ht="73.5" customHeight="1" x14ac:dyDescent="0.2">
      <c r="A10" s="745"/>
      <c r="B10" s="724">
        <v>18</v>
      </c>
      <c r="C10" s="725">
        <v>25194</v>
      </c>
      <c r="D10" s="728" t="s">
        <v>600</v>
      </c>
      <c r="E10" s="724" t="s">
        <v>146</v>
      </c>
      <c r="F10" s="724" t="s">
        <v>598</v>
      </c>
      <c r="G10" s="727">
        <f>'Resumo Proposta'!AA39</f>
        <v>0</v>
      </c>
      <c r="H10" s="727">
        <f t="shared" si="0"/>
        <v>0</v>
      </c>
    </row>
    <row r="11" spans="1:9" ht="73.5" customHeight="1" x14ac:dyDescent="0.2">
      <c r="A11" s="745"/>
      <c r="B11" s="724">
        <v>19</v>
      </c>
      <c r="C11" s="725">
        <v>25194</v>
      </c>
      <c r="D11" s="728" t="s">
        <v>601</v>
      </c>
      <c r="E11" s="724" t="s">
        <v>146</v>
      </c>
      <c r="F11" s="724" t="s">
        <v>598</v>
      </c>
      <c r="G11" s="727">
        <f>'Resumo Proposta'!AB39</f>
        <v>0</v>
      </c>
      <c r="H11" s="727">
        <f t="shared" si="0"/>
        <v>0</v>
      </c>
    </row>
    <row r="12" spans="1:9" ht="73.5" customHeight="1" x14ac:dyDescent="0.2">
      <c r="A12" s="745"/>
      <c r="B12" s="724">
        <v>20</v>
      </c>
      <c r="C12" s="725">
        <v>15890</v>
      </c>
      <c r="D12" s="728" t="s">
        <v>602</v>
      </c>
      <c r="E12" s="724" t="s">
        <v>146</v>
      </c>
      <c r="F12" s="724" t="s">
        <v>598</v>
      </c>
      <c r="G12" s="727">
        <f>'Resumo Proposta'!AC39</f>
        <v>0</v>
      </c>
      <c r="H12" s="727">
        <f t="shared" si="0"/>
        <v>0</v>
      </c>
    </row>
    <row r="13" spans="1:9" ht="17.25" customHeight="1" x14ac:dyDescent="0.2">
      <c r="A13" s="729" t="s">
        <v>603</v>
      </c>
      <c r="B13" s="730"/>
      <c r="C13" s="730"/>
      <c r="D13" s="730"/>
      <c r="E13" s="730"/>
      <c r="F13" s="730"/>
      <c r="G13" s="731">
        <f>SUM(G8:G12)</f>
        <v>0</v>
      </c>
      <c r="H13" s="732">
        <f>SUM(H8:H12)</f>
        <v>0</v>
      </c>
      <c r="I13" s="733"/>
    </row>
    <row r="14" spans="1:9" ht="15" x14ac:dyDescent="0.2">
      <c r="A14" s="734"/>
      <c r="B14" s="734"/>
      <c r="C14" s="734"/>
      <c r="D14" s="734"/>
      <c r="E14" s="734"/>
      <c r="F14" s="734"/>
      <c r="G14" s="735"/>
      <c r="H14" s="736"/>
    </row>
    <row r="15" spans="1:9" x14ac:dyDescent="0.2">
      <c r="A15" t="s">
        <v>604</v>
      </c>
    </row>
    <row r="16" spans="1:9" x14ac:dyDescent="0.2">
      <c r="A16" t="s">
        <v>605</v>
      </c>
    </row>
    <row r="17" spans="1:8" x14ac:dyDescent="0.2">
      <c r="A17" s="737" t="s">
        <v>606</v>
      </c>
    </row>
    <row r="18" spans="1:8" x14ac:dyDescent="0.2">
      <c r="A18" s="737" t="s">
        <v>607</v>
      </c>
    </row>
    <row r="19" spans="1:8" x14ac:dyDescent="0.2">
      <c r="A19" s="737" t="s">
        <v>608</v>
      </c>
    </row>
    <row r="20" spans="1:8" x14ac:dyDescent="0.2">
      <c r="A20" s="737" t="s">
        <v>609</v>
      </c>
    </row>
    <row r="21" spans="1:8" x14ac:dyDescent="0.2">
      <c r="A21" s="737" t="s">
        <v>610</v>
      </c>
    </row>
    <row r="22" spans="1:8" x14ac:dyDescent="0.2">
      <c r="A22" s="737" t="s">
        <v>611</v>
      </c>
    </row>
    <row r="23" spans="1:8" x14ac:dyDescent="0.2">
      <c r="A23" s="737" t="s">
        <v>612</v>
      </c>
    </row>
    <row r="24" spans="1:8" x14ac:dyDescent="0.2">
      <c r="A24" s="737" t="s">
        <v>613</v>
      </c>
    </row>
    <row r="25" spans="1:8" x14ac:dyDescent="0.2">
      <c r="A25" s="737" t="s">
        <v>614</v>
      </c>
    </row>
    <row r="26" spans="1:8" x14ac:dyDescent="0.2">
      <c r="A26" s="737" t="s">
        <v>615</v>
      </c>
    </row>
    <row r="27" spans="1:8" x14ac:dyDescent="0.2">
      <c r="A27" s="737" t="s">
        <v>616</v>
      </c>
    </row>
    <row r="28" spans="1:8" x14ac:dyDescent="0.2">
      <c r="A28" s="737"/>
      <c r="B28" s="737"/>
    </row>
    <row r="29" spans="1:8" x14ac:dyDescent="0.2">
      <c r="B29" s="738" t="s">
        <v>617</v>
      </c>
      <c r="C29" s="738"/>
      <c r="D29" s="738"/>
      <c r="E29" s="738"/>
      <c r="F29" s="738"/>
      <c r="G29" s="738"/>
      <c r="H29" s="738"/>
    </row>
  </sheetData>
  <mergeCells count="7">
    <mergeCell ref="B29:H29"/>
    <mergeCell ref="A1:H1"/>
    <mergeCell ref="A2:H2"/>
    <mergeCell ref="A3:H3"/>
    <mergeCell ref="A4:H4"/>
    <mergeCell ref="A5:H5"/>
    <mergeCell ref="A8:A12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E144"/>
  <sheetViews>
    <sheetView zoomScale="80" zoomScaleNormal="80" workbookViewId="0">
      <selection activeCell="AP58" sqref="AP58"/>
    </sheetView>
  </sheetViews>
  <sheetFormatPr defaultRowHeight="14.25" x14ac:dyDescent="0.2"/>
  <cols>
    <col min="1" max="1" width="55.5" style="458" customWidth="1"/>
    <col min="2" max="2" width="17" style="458" customWidth="1"/>
    <col min="3" max="3" width="15.25" style="458" customWidth="1"/>
    <col min="4" max="4" width="16.25" style="458" customWidth="1"/>
    <col min="5" max="1019" width="9" style="458" customWidth="1"/>
    <col min="1020" max="1025" width="8.375" customWidth="1"/>
  </cols>
  <sheetData>
    <row r="1" spans="1:4" ht="15.75" x14ac:dyDescent="0.2">
      <c r="A1" s="824" t="s">
        <v>427</v>
      </c>
      <c r="B1" s="824"/>
      <c r="C1" s="824"/>
      <c r="D1" s="824"/>
    </row>
    <row r="2" spans="1:4" ht="15.75" x14ac:dyDescent="0.2">
      <c r="A2" s="825" t="s">
        <v>428</v>
      </c>
      <c r="B2" s="825"/>
      <c r="C2" s="825"/>
      <c r="D2" s="825"/>
    </row>
    <row r="3" spans="1:4" ht="15.75" customHeight="1" x14ac:dyDescent="0.2">
      <c r="A3" s="825" t="s">
        <v>429</v>
      </c>
      <c r="B3" s="825"/>
      <c r="C3" s="825"/>
      <c r="D3" s="825"/>
    </row>
    <row r="4" spans="1:4" ht="15.75" x14ac:dyDescent="0.2">
      <c r="A4" s="465"/>
      <c r="B4" s="466"/>
      <c r="C4" s="647" t="s">
        <v>570</v>
      </c>
      <c r="D4" s="469" t="s">
        <v>431</v>
      </c>
    </row>
    <row r="5" spans="1:4" x14ac:dyDescent="0.2">
      <c r="A5" s="470"/>
      <c r="B5" s="471" t="s">
        <v>434</v>
      </c>
      <c r="C5" s="648">
        <f>MC!C11</f>
        <v>0</v>
      </c>
      <c r="D5" s="475">
        <f>MC!E11</f>
        <v>0</v>
      </c>
    </row>
    <row r="6" spans="1:4" x14ac:dyDescent="0.2">
      <c r="A6" s="470"/>
      <c r="B6" s="471" t="s">
        <v>435</v>
      </c>
      <c r="C6" s="649">
        <f>MC!D8</f>
        <v>0</v>
      </c>
      <c r="D6" s="479">
        <f>MC!D8</f>
        <v>0</v>
      </c>
    </row>
    <row r="7" spans="1:4" x14ac:dyDescent="0.2">
      <c r="A7" s="470"/>
      <c r="B7" s="471" t="s">
        <v>436</v>
      </c>
      <c r="C7" s="649">
        <f>MC!C8</f>
        <v>0</v>
      </c>
      <c r="D7" s="479">
        <f>MC!C8</f>
        <v>0</v>
      </c>
    </row>
    <row r="8" spans="1:4" x14ac:dyDescent="0.2">
      <c r="A8" s="470"/>
      <c r="B8" s="471" t="s">
        <v>437</v>
      </c>
      <c r="C8" s="650">
        <f>MC!E8</f>
        <v>0</v>
      </c>
      <c r="D8" s="486">
        <f>MC!E8</f>
        <v>0</v>
      </c>
    </row>
    <row r="9" spans="1:4" x14ac:dyDescent="0.2">
      <c r="A9" s="826"/>
      <c r="B9" s="826"/>
      <c r="C9" s="826"/>
      <c r="D9" s="826"/>
    </row>
    <row r="10" spans="1:4" ht="66.75" customHeight="1" x14ac:dyDescent="0.2">
      <c r="A10" s="487" t="s">
        <v>438</v>
      </c>
      <c r="B10" s="488" t="s">
        <v>439</v>
      </c>
      <c r="C10" s="488" t="s">
        <v>570</v>
      </c>
      <c r="D10" s="489" t="s">
        <v>571</v>
      </c>
    </row>
    <row r="11" spans="1:4" ht="14.25" customHeight="1" x14ac:dyDescent="0.2">
      <c r="A11" s="490" t="s">
        <v>442</v>
      </c>
      <c r="B11" s="490"/>
      <c r="C11" s="490"/>
      <c r="D11" s="490"/>
    </row>
    <row r="12" spans="1:4" ht="14.25" customHeight="1" x14ac:dyDescent="0.2">
      <c r="A12" s="491" t="s">
        <v>443</v>
      </c>
      <c r="B12" s="492" t="s">
        <v>444</v>
      </c>
      <c r="C12" s="492" t="s">
        <v>445</v>
      </c>
      <c r="D12" s="494" t="s">
        <v>445</v>
      </c>
    </row>
    <row r="13" spans="1:4" ht="14.25" customHeight="1" x14ac:dyDescent="0.2">
      <c r="A13" s="495" t="s">
        <v>446</v>
      </c>
      <c r="B13" s="496"/>
      <c r="C13" s="497">
        <f>C5</f>
        <v>0</v>
      </c>
      <c r="D13" s="499">
        <f>MC!E11</f>
        <v>0</v>
      </c>
    </row>
    <row r="14" spans="1:4" ht="14.25" customHeight="1" x14ac:dyDescent="0.2">
      <c r="A14" s="495" t="s">
        <v>447</v>
      </c>
      <c r="B14" s="500">
        <v>0.2</v>
      </c>
      <c r="C14" s="497">
        <f>C13*$B$14</f>
        <v>0</v>
      </c>
      <c r="D14" s="499">
        <f>D13*$B$14</f>
        <v>0</v>
      </c>
    </row>
    <row r="15" spans="1:4" ht="14.25" customHeight="1" x14ac:dyDescent="0.2">
      <c r="A15" s="495" t="s">
        <v>448</v>
      </c>
      <c r="B15" s="501"/>
      <c r="C15" s="497"/>
      <c r="D15" s="499"/>
    </row>
    <row r="16" spans="1:4" ht="14.25" customHeight="1" x14ac:dyDescent="0.2">
      <c r="A16" s="495" t="s">
        <v>449</v>
      </c>
      <c r="B16" s="501"/>
      <c r="C16" s="497"/>
      <c r="D16" s="499"/>
    </row>
    <row r="17" spans="1:4" ht="14.25" customHeight="1" x14ac:dyDescent="0.2">
      <c r="A17" s="495" t="s">
        <v>450</v>
      </c>
      <c r="B17" s="501"/>
      <c r="C17" s="497"/>
      <c r="D17" s="499"/>
    </row>
    <row r="18" spans="1:4" ht="14.25" customHeight="1" x14ac:dyDescent="0.2">
      <c r="A18" s="495" t="s">
        <v>572</v>
      </c>
      <c r="B18" s="651"/>
      <c r="C18" s="497"/>
      <c r="D18" s="499"/>
    </row>
    <row r="19" spans="1:4" ht="14.25" customHeight="1" x14ac:dyDescent="0.2">
      <c r="A19" s="502" t="s">
        <v>452</v>
      </c>
      <c r="B19" s="503"/>
      <c r="C19" s="504">
        <f>SUM(C13:C18)</f>
        <v>0</v>
      </c>
      <c r="D19" s="506">
        <f>SUM(D13:D18)</f>
        <v>0</v>
      </c>
    </row>
    <row r="20" spans="1:4" ht="14.25" customHeight="1" x14ac:dyDescent="0.2">
      <c r="A20" s="827"/>
      <c r="B20" s="827"/>
      <c r="C20" s="508"/>
      <c r="D20" s="510"/>
    </row>
    <row r="21" spans="1:4" ht="14.25" customHeight="1" x14ac:dyDescent="0.2">
      <c r="A21" s="828" t="s">
        <v>453</v>
      </c>
      <c r="B21" s="828"/>
      <c r="C21" s="828"/>
      <c r="D21" s="828"/>
    </row>
    <row r="22" spans="1:4" ht="14.25" customHeight="1" x14ac:dyDescent="0.2">
      <c r="A22" s="511" t="s">
        <v>454</v>
      </c>
      <c r="B22" s="512" t="s">
        <v>444</v>
      </c>
      <c r="C22" s="512" t="s">
        <v>445</v>
      </c>
      <c r="D22" s="513" t="s">
        <v>445</v>
      </c>
    </row>
    <row r="23" spans="1:4" ht="14.25" customHeight="1" x14ac:dyDescent="0.2">
      <c r="A23" s="514" t="s">
        <v>455</v>
      </c>
      <c r="B23" s="500">
        <f>1/12</f>
        <v>8.3333333333333329E-2</v>
      </c>
      <c r="C23" s="497">
        <f>ROUND($B23*C$19,2)</f>
        <v>0</v>
      </c>
      <c r="D23" s="499">
        <f>ROUND($B23*D$19,2)</f>
        <v>0</v>
      </c>
    </row>
    <row r="24" spans="1:4" ht="14.25" customHeight="1" x14ac:dyDescent="0.2">
      <c r="A24" s="514" t="s">
        <v>456</v>
      </c>
      <c r="B24" s="500">
        <f>1/3*1/12</f>
        <v>2.7777777777777776E-2</v>
      </c>
      <c r="C24" s="497">
        <f>C$19*$B$24</f>
        <v>0</v>
      </c>
      <c r="D24" s="499">
        <f>D$19*$B$24</f>
        <v>0</v>
      </c>
    </row>
    <row r="25" spans="1:4" ht="14.25" customHeight="1" x14ac:dyDescent="0.2">
      <c r="A25" s="502" t="s">
        <v>452</v>
      </c>
      <c r="B25" s="515">
        <f>SUM(B23:B24)</f>
        <v>0.1111111111111111</v>
      </c>
      <c r="C25" s="504">
        <f>SUM(C23:C24)</f>
        <v>0</v>
      </c>
      <c r="D25" s="506">
        <f>SUM(D23:D24)</f>
        <v>0</v>
      </c>
    </row>
    <row r="26" spans="1:4" ht="14.25" customHeight="1" x14ac:dyDescent="0.2">
      <c r="A26" s="511" t="s">
        <v>457</v>
      </c>
      <c r="B26" s="512" t="s">
        <v>444</v>
      </c>
      <c r="C26" s="512" t="s">
        <v>445</v>
      </c>
      <c r="D26" s="513" t="s">
        <v>445</v>
      </c>
    </row>
    <row r="27" spans="1:4" ht="14.25" customHeight="1" x14ac:dyDescent="0.2">
      <c r="A27" s="511" t="s">
        <v>458</v>
      </c>
      <c r="B27" s="516"/>
      <c r="C27" s="516"/>
      <c r="D27" s="518"/>
    </row>
    <row r="28" spans="1:4" ht="14.25" customHeight="1" x14ac:dyDescent="0.2">
      <c r="A28" s="514" t="s">
        <v>459</v>
      </c>
      <c r="B28" s="500">
        <v>0.2</v>
      </c>
      <c r="C28" s="519">
        <f t="shared" ref="C28:C35" si="0">ROUND(($C$19+$C$25)*B28,2)</f>
        <v>0</v>
      </c>
      <c r="D28" s="520">
        <f t="shared" ref="D28:D35" si="1">ROUND(($D$19+$D$25)*B28,2)</f>
        <v>0</v>
      </c>
    </row>
    <row r="29" spans="1:4" ht="14.25" customHeight="1" x14ac:dyDescent="0.2">
      <c r="A29" s="514" t="s">
        <v>460</v>
      </c>
      <c r="B29" s="500">
        <v>2.5000000000000001E-2</v>
      </c>
      <c r="C29" s="519">
        <f t="shared" si="0"/>
        <v>0</v>
      </c>
      <c r="D29" s="520">
        <f t="shared" si="1"/>
        <v>0</v>
      </c>
    </row>
    <row r="30" spans="1:4" ht="14.25" customHeight="1" x14ac:dyDescent="0.2">
      <c r="A30" s="514" t="s">
        <v>461</v>
      </c>
      <c r="B30" s="500">
        <v>0.03</v>
      </c>
      <c r="C30" s="519">
        <f t="shared" si="0"/>
        <v>0</v>
      </c>
      <c r="D30" s="520">
        <f t="shared" si="1"/>
        <v>0</v>
      </c>
    </row>
    <row r="31" spans="1:4" ht="14.25" customHeight="1" x14ac:dyDescent="0.2">
      <c r="A31" s="514" t="s">
        <v>462</v>
      </c>
      <c r="B31" s="500">
        <v>1.4999999999999999E-2</v>
      </c>
      <c r="C31" s="519">
        <f t="shared" si="0"/>
        <v>0</v>
      </c>
      <c r="D31" s="520">
        <f t="shared" si="1"/>
        <v>0</v>
      </c>
    </row>
    <row r="32" spans="1:4" ht="14.25" customHeight="1" x14ac:dyDescent="0.2">
      <c r="A32" s="514" t="s">
        <v>463</v>
      </c>
      <c r="B32" s="500">
        <v>0.01</v>
      </c>
      <c r="C32" s="519">
        <f t="shared" si="0"/>
        <v>0</v>
      </c>
      <c r="D32" s="520">
        <f t="shared" si="1"/>
        <v>0</v>
      </c>
    </row>
    <row r="33" spans="1:4" ht="14.25" customHeight="1" x14ac:dyDescent="0.2">
      <c r="A33" s="514" t="s">
        <v>464</v>
      </c>
      <c r="B33" s="500">
        <v>6.0000000000000001E-3</v>
      </c>
      <c r="C33" s="519">
        <f t="shared" si="0"/>
        <v>0</v>
      </c>
      <c r="D33" s="520">
        <f t="shared" si="1"/>
        <v>0</v>
      </c>
    </row>
    <row r="34" spans="1:4" ht="14.25" customHeight="1" x14ac:dyDescent="0.2">
      <c r="A34" s="514" t="s">
        <v>465</v>
      </c>
      <c r="B34" s="500">
        <v>2E-3</v>
      </c>
      <c r="C34" s="519">
        <f t="shared" si="0"/>
        <v>0</v>
      </c>
      <c r="D34" s="520">
        <f t="shared" si="1"/>
        <v>0</v>
      </c>
    </row>
    <row r="35" spans="1:4" ht="14.25" customHeight="1" x14ac:dyDescent="0.2">
      <c r="A35" s="514" t="s">
        <v>466</v>
      </c>
      <c r="B35" s="500">
        <v>0.08</v>
      </c>
      <c r="C35" s="519">
        <f t="shared" si="0"/>
        <v>0</v>
      </c>
      <c r="D35" s="520">
        <f t="shared" si="1"/>
        <v>0</v>
      </c>
    </row>
    <row r="36" spans="1:4" ht="14.25" customHeight="1" x14ac:dyDescent="0.2">
      <c r="A36" s="502" t="s">
        <v>452</v>
      </c>
      <c r="B36" s="515">
        <f>SUM(B28:B35)</f>
        <v>0.36800000000000005</v>
      </c>
      <c r="C36" s="504">
        <f>SUM(C27:C35)</f>
        <v>0</v>
      </c>
      <c r="D36" s="506">
        <f>SUM(D27:D35)</f>
        <v>0</v>
      </c>
    </row>
    <row r="37" spans="1:4" ht="14.25" customHeight="1" x14ac:dyDescent="0.2">
      <c r="A37" s="511" t="s">
        <v>467</v>
      </c>
      <c r="B37" s="512" t="s">
        <v>468</v>
      </c>
      <c r="C37" s="512" t="s">
        <v>445</v>
      </c>
      <c r="D37" s="513" t="s">
        <v>445</v>
      </c>
    </row>
    <row r="38" spans="1:4" ht="14.25" customHeight="1" x14ac:dyDescent="0.2">
      <c r="A38" s="514" t="s">
        <v>469</v>
      </c>
      <c r="B38" s="521">
        <f>MC!J84</f>
        <v>0</v>
      </c>
      <c r="C38" s="497">
        <f>ROUND(((2*22*$B$38)-0.06*C$13),2)</f>
        <v>0</v>
      </c>
      <c r="D38" s="499">
        <f>ROUND(((2*22*$B$38)-0.06*D$13),2)</f>
        <v>0</v>
      </c>
    </row>
    <row r="39" spans="1:4" ht="14.25" customHeight="1" x14ac:dyDescent="0.2">
      <c r="A39" s="514" t="s">
        <v>470</v>
      </c>
      <c r="B39" s="522"/>
      <c r="C39" s="519">
        <f>MC!E17</f>
        <v>0</v>
      </c>
      <c r="D39" s="520">
        <f>MC!E18</f>
        <v>0</v>
      </c>
    </row>
    <row r="40" spans="1:4" ht="14.25" customHeight="1" x14ac:dyDescent="0.2">
      <c r="A40" s="514" t="s">
        <v>471</v>
      </c>
      <c r="B40" s="500">
        <f>MC!C22</f>
        <v>0</v>
      </c>
      <c r="C40" s="519"/>
      <c r="D40" s="520"/>
    </row>
    <row r="41" spans="1:4" ht="14.25" customHeight="1" x14ac:dyDescent="0.2">
      <c r="A41" s="514" t="s">
        <v>472</v>
      </c>
      <c r="B41" s="523">
        <f>MC!E21</f>
        <v>0</v>
      </c>
      <c r="C41" s="519">
        <f>B41</f>
        <v>0</v>
      </c>
      <c r="D41" s="520">
        <f>B41</f>
        <v>0</v>
      </c>
    </row>
    <row r="42" spans="1:4" ht="14.25" customHeight="1" x14ac:dyDescent="0.2">
      <c r="A42" s="514" t="s">
        <v>473</v>
      </c>
      <c r="B42" s="500">
        <f>MC!C20</f>
        <v>0</v>
      </c>
      <c r="C42" s="519">
        <f>$B$42*C19</f>
        <v>0</v>
      </c>
      <c r="D42" s="519">
        <f>$B$42*D19</f>
        <v>0</v>
      </c>
    </row>
    <row r="43" spans="1:4" ht="14.25" customHeight="1" x14ac:dyDescent="0.2">
      <c r="A43" s="514" t="s">
        <v>474</v>
      </c>
      <c r="B43" s="500"/>
      <c r="C43" s="519"/>
      <c r="D43" s="520"/>
    </row>
    <row r="44" spans="1:4" ht="14.25" customHeight="1" x14ac:dyDescent="0.2">
      <c r="A44" s="502" t="s">
        <v>452</v>
      </c>
      <c r="B44" s="503"/>
      <c r="C44" s="504">
        <f>SUM(C38:C43)</f>
        <v>0</v>
      </c>
      <c r="D44" s="506">
        <f>SUM(D38:D43)</f>
        <v>0</v>
      </c>
    </row>
    <row r="45" spans="1:4" ht="14.25" customHeight="1" x14ac:dyDescent="0.2">
      <c r="A45" s="491" t="s">
        <v>475</v>
      </c>
      <c r="B45" s="492" t="s">
        <v>444</v>
      </c>
      <c r="C45" s="492" t="s">
        <v>445</v>
      </c>
      <c r="D45" s="494" t="s">
        <v>445</v>
      </c>
    </row>
    <row r="46" spans="1:4" ht="14.25" customHeight="1" x14ac:dyDescent="0.2">
      <c r="A46" s="514" t="s">
        <v>454</v>
      </c>
      <c r="B46" s="525">
        <f>B25</f>
        <v>0.1111111111111111</v>
      </c>
      <c r="C46" s="526">
        <f>C25</f>
        <v>0</v>
      </c>
      <c r="D46" s="527">
        <f>D25</f>
        <v>0</v>
      </c>
    </row>
    <row r="47" spans="1:4" ht="14.25" customHeight="1" x14ac:dyDescent="0.2">
      <c r="A47" s="514" t="s">
        <v>476</v>
      </c>
      <c r="B47" s="525">
        <f>B36</f>
        <v>0.36800000000000005</v>
      </c>
      <c r="C47" s="526">
        <f>C36</f>
        <v>0</v>
      </c>
      <c r="D47" s="527">
        <f>D36</f>
        <v>0</v>
      </c>
    </row>
    <row r="48" spans="1:4" ht="14.25" customHeight="1" x14ac:dyDescent="0.2">
      <c r="A48" s="514" t="s">
        <v>467</v>
      </c>
      <c r="B48" s="525"/>
      <c r="C48" s="526">
        <f>C44</f>
        <v>0</v>
      </c>
      <c r="D48" s="527">
        <f>D44</f>
        <v>0</v>
      </c>
    </row>
    <row r="49" spans="1:4" ht="14.25" customHeight="1" x14ac:dyDescent="0.2">
      <c r="A49" s="502" t="s">
        <v>452</v>
      </c>
      <c r="B49" s="503"/>
      <c r="C49" s="504">
        <f>SUM(C46:C48)</f>
        <v>0</v>
      </c>
      <c r="D49" s="506">
        <f>SUM(D46:D48)</f>
        <v>0</v>
      </c>
    </row>
    <row r="50" spans="1:4" ht="14.25" customHeight="1" x14ac:dyDescent="0.2">
      <c r="A50" s="827"/>
      <c r="B50" s="827"/>
      <c r="C50" s="508"/>
      <c r="D50" s="510"/>
    </row>
    <row r="51" spans="1:4" s="528" customFormat="1" ht="14.25" customHeight="1" x14ac:dyDescent="0.2">
      <c r="A51" s="828" t="s">
        <v>477</v>
      </c>
      <c r="B51" s="828"/>
      <c r="C51" s="828"/>
      <c r="D51" s="828"/>
    </row>
    <row r="52" spans="1:4" ht="14.25" customHeight="1" x14ac:dyDescent="0.2">
      <c r="A52" s="491" t="s">
        <v>478</v>
      </c>
      <c r="B52" s="492" t="s">
        <v>444</v>
      </c>
      <c r="C52" s="492" t="s">
        <v>445</v>
      </c>
      <c r="D52" s="494" t="s">
        <v>445</v>
      </c>
    </row>
    <row r="53" spans="1:4" ht="14.25" customHeight="1" x14ac:dyDescent="0.2">
      <c r="A53" s="511" t="s">
        <v>479</v>
      </c>
      <c r="B53" s="529"/>
      <c r="C53" s="529"/>
      <c r="D53" s="531"/>
    </row>
    <row r="54" spans="1:4" ht="14.25" customHeight="1" x14ac:dyDescent="0.2">
      <c r="A54" s="514" t="s">
        <v>480</v>
      </c>
      <c r="B54" s="525">
        <f>1/12*0.05</f>
        <v>4.1666666666666666E-3</v>
      </c>
      <c r="C54" s="532">
        <f>C19*$B54</f>
        <v>0</v>
      </c>
      <c r="D54" s="652">
        <f>D19*$B54</f>
        <v>0</v>
      </c>
    </row>
    <row r="55" spans="1:4" ht="14.25" customHeight="1" x14ac:dyDescent="0.2">
      <c r="A55" s="514" t="s">
        <v>481</v>
      </c>
      <c r="B55" s="525">
        <f>B35*B54</f>
        <v>3.3333333333333332E-4</v>
      </c>
      <c r="C55" s="532">
        <f>$B$55*C19</f>
        <v>0</v>
      </c>
      <c r="D55" s="652">
        <f>$B$55*D19</f>
        <v>0</v>
      </c>
    </row>
    <row r="56" spans="1:4" ht="14.25" customHeight="1" x14ac:dyDescent="0.2">
      <c r="A56" s="514" t="s">
        <v>482</v>
      </c>
      <c r="B56" s="525">
        <v>0</v>
      </c>
      <c r="C56" s="532">
        <f>C35*$B56</f>
        <v>0</v>
      </c>
      <c r="D56" s="652">
        <f>D35*$B56</f>
        <v>0</v>
      </c>
    </row>
    <row r="57" spans="1:4" ht="14.25" customHeight="1" x14ac:dyDescent="0.2">
      <c r="A57" s="514" t="s">
        <v>483</v>
      </c>
      <c r="B57" s="525">
        <f>1/12*1/30*7</f>
        <v>1.9444444444444441E-2</v>
      </c>
      <c r="C57" s="526">
        <f>C19*$B57</f>
        <v>0</v>
      </c>
      <c r="D57" s="527">
        <f>D19*$B57</f>
        <v>0</v>
      </c>
    </row>
    <row r="58" spans="1:4" ht="14.25" customHeight="1" x14ac:dyDescent="0.2">
      <c r="A58" s="514" t="s">
        <v>484</v>
      </c>
      <c r="B58" s="525">
        <f>B36*B57</f>
        <v>7.1555555555555556E-3</v>
      </c>
      <c r="C58" s="526">
        <f>$B58*C19</f>
        <v>0</v>
      </c>
      <c r="D58" s="527">
        <f>$B58*D19</f>
        <v>0</v>
      </c>
    </row>
    <row r="59" spans="1:4" ht="14.25" customHeight="1" x14ac:dyDescent="0.2">
      <c r="A59" s="514" t="s">
        <v>485</v>
      </c>
      <c r="B59" s="525">
        <f>B35*40/100*90/100*(1+1/12+1/12+1/3*1/12)</f>
        <v>3.4399999999999993E-2</v>
      </c>
      <c r="C59" s="526">
        <f>C19*$B59</f>
        <v>0</v>
      </c>
      <c r="D59" s="527">
        <f>D19*$B59</f>
        <v>0</v>
      </c>
    </row>
    <row r="60" spans="1:4" ht="14.25" customHeight="1" x14ac:dyDescent="0.2">
      <c r="A60" s="502" t="s">
        <v>452</v>
      </c>
      <c r="B60" s="515">
        <f>SUM(B54:B59)</f>
        <v>6.5499999999999989E-2</v>
      </c>
      <c r="C60" s="533">
        <f>SUM(C54:C59)</f>
        <v>0</v>
      </c>
      <c r="D60" s="535">
        <f>SUM(D54:D59)</f>
        <v>0</v>
      </c>
    </row>
    <row r="61" spans="1:4" ht="14.25" customHeight="1" x14ac:dyDescent="0.2">
      <c r="A61" s="827"/>
      <c r="B61" s="827"/>
      <c r="C61" s="536"/>
      <c r="D61" s="538"/>
    </row>
    <row r="62" spans="1:4" ht="14.25" customHeight="1" x14ac:dyDescent="0.2">
      <c r="A62" s="828" t="s">
        <v>486</v>
      </c>
      <c r="B62" s="828"/>
      <c r="C62" s="828"/>
      <c r="D62" s="828"/>
    </row>
    <row r="63" spans="1:4" ht="14.25" customHeight="1" x14ac:dyDescent="0.2">
      <c r="A63" s="511" t="s">
        <v>41</v>
      </c>
      <c r="B63" s="512"/>
      <c r="C63" s="512"/>
      <c r="D63" s="513"/>
    </row>
    <row r="64" spans="1:4" ht="14.25" customHeight="1" x14ac:dyDescent="0.2">
      <c r="A64" s="514" t="s">
        <v>42</v>
      </c>
      <c r="B64" s="500">
        <f>1/12</f>
        <v>8.3333333333333329E-2</v>
      </c>
      <c r="C64" s="519">
        <f>B64*($C$19+$C$49+$C$60)</f>
        <v>0</v>
      </c>
      <c r="D64" s="520">
        <f>B64*($D$19+$D$49+$D$60)</f>
        <v>0</v>
      </c>
    </row>
    <row r="65" spans="1:4" ht="14.25" customHeight="1" x14ac:dyDescent="0.2">
      <c r="A65" s="514" t="s">
        <v>487</v>
      </c>
      <c r="B65" s="500">
        <f>MC!E52/30/12</f>
        <v>1.3538888888888885E-2</v>
      </c>
      <c r="C65" s="519">
        <f>B65*($C$19+$C$49+$C$60)</f>
        <v>0</v>
      </c>
      <c r="D65" s="520">
        <f>B65*($D$19+$D$49+$D$60)</f>
        <v>0</v>
      </c>
    </row>
    <row r="66" spans="1:4" ht="14.25" customHeight="1" x14ac:dyDescent="0.2">
      <c r="A66" s="514" t="s">
        <v>488</v>
      </c>
      <c r="B66" s="540">
        <f>(5/30)/12*MC!F54*MC!C55</f>
        <v>1.0764583333333333E-4</v>
      </c>
      <c r="C66" s="519">
        <f>B66*($C$19+$C$49+$C$60)</f>
        <v>0</v>
      </c>
      <c r="D66" s="520">
        <f>B66*($D$19+$D$49+$D$60)</f>
        <v>0</v>
      </c>
    </row>
    <row r="67" spans="1:4" ht="14.25" customHeight="1" x14ac:dyDescent="0.2">
      <c r="A67" s="514" t="s">
        <v>489</v>
      </c>
      <c r="B67" s="540">
        <f>MC!C57/30/12</f>
        <v>2.6830555555555553E-3</v>
      </c>
      <c r="C67" s="519">
        <f>B67*($C$19+$C$49+$C$60)</f>
        <v>0</v>
      </c>
      <c r="D67" s="520">
        <f>B67*($D$19+$D$49+$D$60)</f>
        <v>0</v>
      </c>
    </row>
    <row r="68" spans="1:4" ht="14.25" customHeight="1" x14ac:dyDescent="0.2">
      <c r="A68" s="514" t="s">
        <v>490</v>
      </c>
      <c r="B68" s="500"/>
      <c r="C68" s="519"/>
      <c r="D68" s="520"/>
    </row>
    <row r="69" spans="1:4" ht="14.25" customHeight="1" x14ac:dyDescent="0.2">
      <c r="A69" s="541" t="s">
        <v>491</v>
      </c>
      <c r="B69" s="542">
        <f>SUM(B64:B68)</f>
        <v>9.9662923611111107E-2</v>
      </c>
      <c r="C69" s="543">
        <f>SUM(C64:C68)</f>
        <v>0</v>
      </c>
      <c r="D69" s="545">
        <f>SUM(D64:D68)</f>
        <v>0</v>
      </c>
    </row>
    <row r="70" spans="1:4" ht="14.25" customHeight="1" x14ac:dyDescent="0.2">
      <c r="A70" s="511" t="s">
        <v>492</v>
      </c>
      <c r="B70" s="512"/>
      <c r="C70" s="512"/>
      <c r="D70" s="513"/>
    </row>
    <row r="71" spans="1:4" ht="14.25" customHeight="1" x14ac:dyDescent="0.2">
      <c r="A71" s="514" t="s">
        <v>493</v>
      </c>
      <c r="B71" s="500"/>
      <c r="C71" s="519"/>
      <c r="D71" s="520"/>
    </row>
    <row r="72" spans="1:4" ht="14.25" customHeight="1" x14ac:dyDescent="0.2">
      <c r="A72" s="541" t="s">
        <v>491</v>
      </c>
      <c r="B72" s="542"/>
      <c r="C72" s="543">
        <f>C71</f>
        <v>0</v>
      </c>
      <c r="D72" s="545"/>
    </row>
    <row r="73" spans="1:4" ht="14.25" customHeight="1" x14ac:dyDescent="0.2">
      <c r="A73" s="511" t="s">
        <v>63</v>
      </c>
      <c r="B73" s="512"/>
      <c r="C73" s="512"/>
      <c r="D73" s="513"/>
    </row>
    <row r="74" spans="1:4" ht="14.25" customHeight="1" x14ac:dyDescent="0.2">
      <c r="A74" s="514" t="s">
        <v>64</v>
      </c>
      <c r="B74" s="500">
        <f>120/30*MC!C60*MC!C61</f>
        <v>6.18624E-3</v>
      </c>
      <c r="C74" s="519">
        <f>(((C19*2)+ (C19*1/3))+(C36)+(C44-C38-C39))*$B$74</f>
        <v>0</v>
      </c>
      <c r="D74" s="520">
        <f>(((D19*2)+ (D19*1/3))+(D36)+(D44-D38-D39))*$B$74</f>
        <v>0</v>
      </c>
    </row>
    <row r="75" spans="1:4" ht="14.25" customHeight="1" x14ac:dyDescent="0.2">
      <c r="A75" s="541" t="s">
        <v>452</v>
      </c>
      <c r="B75" s="542"/>
      <c r="C75" s="543"/>
      <c r="D75" s="545"/>
    </row>
    <row r="76" spans="1:4" ht="14.25" customHeight="1" x14ac:dyDescent="0.2">
      <c r="A76" s="491" t="s">
        <v>494</v>
      </c>
      <c r="B76" s="492"/>
      <c r="C76" s="492"/>
      <c r="D76" s="494"/>
    </row>
    <row r="77" spans="1:4" ht="14.25" customHeight="1" x14ac:dyDescent="0.2">
      <c r="A77" s="514" t="s">
        <v>41</v>
      </c>
      <c r="B77" s="525">
        <f>B69</f>
        <v>9.9662923611111107E-2</v>
      </c>
      <c r="C77" s="526">
        <f>C69</f>
        <v>0</v>
      </c>
      <c r="D77" s="527">
        <f>D69</f>
        <v>0</v>
      </c>
    </row>
    <row r="78" spans="1:4" ht="14.25" customHeight="1" x14ac:dyDescent="0.2">
      <c r="A78" s="514" t="s">
        <v>492</v>
      </c>
      <c r="B78" s="525">
        <f>B72</f>
        <v>0</v>
      </c>
      <c r="C78" s="526">
        <f>C72</f>
        <v>0</v>
      </c>
      <c r="D78" s="527">
        <f>D72</f>
        <v>0</v>
      </c>
    </row>
    <row r="79" spans="1:4" ht="14.25" customHeight="1" x14ac:dyDescent="0.2">
      <c r="A79" s="514" t="s">
        <v>63</v>
      </c>
      <c r="B79" s="525">
        <f>B74</f>
        <v>6.18624E-3</v>
      </c>
      <c r="C79" s="526">
        <f>C74</f>
        <v>0</v>
      </c>
      <c r="D79" s="527">
        <f>D74</f>
        <v>0</v>
      </c>
    </row>
    <row r="80" spans="1:4" ht="14.25" customHeight="1" x14ac:dyDescent="0.2">
      <c r="A80" s="502" t="s">
        <v>452</v>
      </c>
      <c r="B80" s="503"/>
      <c r="C80" s="504">
        <f>SUM(C77:C79)</f>
        <v>0</v>
      </c>
      <c r="D80" s="506">
        <f>SUM(D77:D79)</f>
        <v>0</v>
      </c>
    </row>
    <row r="81" spans="1:4" ht="14.25" customHeight="1" x14ac:dyDescent="0.2">
      <c r="A81" s="507"/>
      <c r="B81" s="508"/>
      <c r="C81" s="508"/>
      <c r="D81" s="510"/>
    </row>
    <row r="82" spans="1:4" ht="14.25" customHeight="1" x14ac:dyDescent="0.2">
      <c r="A82" s="546" t="s">
        <v>495</v>
      </c>
      <c r="B82" s="547"/>
      <c r="C82" s="547"/>
      <c r="D82" s="548"/>
    </row>
    <row r="83" spans="1:4" ht="14.25" customHeight="1" x14ac:dyDescent="0.2">
      <c r="A83" s="491" t="s">
        <v>496</v>
      </c>
      <c r="B83" s="492" t="s">
        <v>468</v>
      </c>
      <c r="C83" s="492" t="s">
        <v>445</v>
      </c>
      <c r="D83" s="494" t="s">
        <v>445</v>
      </c>
    </row>
    <row r="84" spans="1:4" ht="14.25" customHeight="1" x14ac:dyDescent="0.2">
      <c r="A84" s="514" t="s">
        <v>497</v>
      </c>
      <c r="B84" s="653">
        <f>Insumos!I117</f>
        <v>0</v>
      </c>
      <c r="C84" s="497">
        <f>Insumos!H117</f>
        <v>0</v>
      </c>
      <c r="D84" s="499">
        <f>Insumos!H117</f>
        <v>0</v>
      </c>
    </row>
    <row r="85" spans="1:4" ht="14.25" customHeight="1" x14ac:dyDescent="0.2">
      <c r="A85" s="550" t="s">
        <v>498</v>
      </c>
      <c r="B85" s="653">
        <f>Insumos!G69</f>
        <v>0</v>
      </c>
      <c r="C85" s="497">
        <f>B85</f>
        <v>0</v>
      </c>
      <c r="D85" s="499">
        <f>B85</f>
        <v>0</v>
      </c>
    </row>
    <row r="86" spans="1:4" ht="14.25" customHeight="1" x14ac:dyDescent="0.2">
      <c r="A86" s="550" t="s">
        <v>499</v>
      </c>
      <c r="B86" s="654">
        <v>0</v>
      </c>
      <c r="C86" s="497"/>
      <c r="D86" s="499"/>
    </row>
    <row r="87" spans="1:4" ht="14.25" customHeight="1" x14ac:dyDescent="0.2">
      <c r="A87" s="550" t="s">
        <v>500</v>
      </c>
      <c r="B87" s="655">
        <f>Insumos!I122</f>
        <v>0</v>
      </c>
      <c r="C87" s="497">
        <f>B87</f>
        <v>0</v>
      </c>
      <c r="D87" s="499">
        <f>Insumos!H122</f>
        <v>0</v>
      </c>
    </row>
    <row r="88" spans="1:4" ht="14.25" customHeight="1" x14ac:dyDescent="0.2">
      <c r="A88" s="550" t="s">
        <v>501</v>
      </c>
      <c r="B88" s="656">
        <v>0</v>
      </c>
      <c r="C88" s="497"/>
      <c r="D88" s="499"/>
    </row>
    <row r="89" spans="1:4" ht="14.25" customHeight="1" x14ac:dyDescent="0.2">
      <c r="A89" s="550" t="s">
        <v>573</v>
      </c>
      <c r="B89" s="653">
        <v>0</v>
      </c>
      <c r="C89" s="497"/>
      <c r="D89" s="499"/>
    </row>
    <row r="90" spans="1:4" ht="14.25" customHeight="1" x14ac:dyDescent="0.2">
      <c r="A90" s="550" t="s">
        <v>574</v>
      </c>
      <c r="B90" s="653">
        <v>0</v>
      </c>
      <c r="C90" s="497"/>
      <c r="D90" s="499"/>
    </row>
    <row r="91" spans="1:4" ht="14.25" customHeight="1" x14ac:dyDescent="0.2">
      <c r="A91" s="541" t="s">
        <v>452</v>
      </c>
      <c r="B91" s="552"/>
      <c r="C91" s="543">
        <f>SUM(C84:C90)</f>
        <v>0</v>
      </c>
      <c r="D91" s="545">
        <f>SUM(D84:D90)</f>
        <v>0</v>
      </c>
    </row>
    <row r="92" spans="1:4" ht="14.25" customHeight="1" x14ac:dyDescent="0.2">
      <c r="A92" s="827"/>
      <c r="B92" s="827"/>
      <c r="C92" s="553"/>
      <c r="D92" s="555"/>
    </row>
    <row r="93" spans="1:4" ht="14.25" customHeight="1" x14ac:dyDescent="0.2">
      <c r="A93" s="546" t="s">
        <v>504</v>
      </c>
      <c r="B93" s="547"/>
      <c r="C93" s="547"/>
      <c r="D93" s="548"/>
    </row>
    <row r="94" spans="1:4" ht="14.25" customHeight="1" x14ac:dyDescent="0.2">
      <c r="A94" s="491" t="s">
        <v>505</v>
      </c>
      <c r="B94" s="492" t="s">
        <v>444</v>
      </c>
      <c r="C94" s="492" t="s">
        <v>445</v>
      </c>
      <c r="D94" s="494" t="s">
        <v>445</v>
      </c>
    </row>
    <row r="95" spans="1:4" ht="14.25" customHeight="1" x14ac:dyDescent="0.2">
      <c r="A95" s="495" t="s">
        <v>69</v>
      </c>
      <c r="B95" s="500">
        <v>0.03</v>
      </c>
      <c r="C95" s="519">
        <f>($C$19+$C$49+$C$60+$C$80+$C$91)*$B$95</f>
        <v>0</v>
      </c>
      <c r="D95" s="520">
        <f>($D$19+$D$49+$D$60+$D$80+$D$91)*$B$95</f>
        <v>0</v>
      </c>
    </row>
    <row r="96" spans="1:4" ht="14.25" customHeight="1" x14ac:dyDescent="0.2">
      <c r="A96" s="495" t="s">
        <v>70</v>
      </c>
      <c r="B96" s="500">
        <v>6.7900000000000002E-2</v>
      </c>
      <c r="C96" s="519">
        <f>($C$19+$C$49+$C$60+$C$80+$C$91+C95)*B96</f>
        <v>0</v>
      </c>
      <c r="D96" s="520">
        <f>($D$19+$D$49+$D$60+$D$80+$D$91+$D$95)*$B$96</f>
        <v>0</v>
      </c>
    </row>
    <row r="97" spans="1:5" ht="14.25" customHeight="1" x14ac:dyDescent="0.2">
      <c r="A97" s="556" t="s">
        <v>506</v>
      </c>
      <c r="B97" s="557">
        <f>B98+B99</f>
        <v>0.1125</v>
      </c>
      <c r="C97" s="558">
        <f>((C19+C49+C60+C80+C91+C95+C96)/(1-($B$97)))*$B$97</f>
        <v>0</v>
      </c>
      <c r="D97" s="657">
        <f>((D19+D49+D60+D80+D91+D95+D96)/(1-($B$97)))*$B$97</f>
        <v>0</v>
      </c>
    </row>
    <row r="98" spans="1:5" ht="14.25" customHeight="1" x14ac:dyDescent="0.2">
      <c r="A98" s="495" t="s">
        <v>507</v>
      </c>
      <c r="B98" s="500">
        <f>0.0165+0.076</f>
        <v>9.2499999999999999E-2</v>
      </c>
      <c r="C98" s="559">
        <f>((C$19+C$49+C$60+C$80+C$91+C$95+C$96)/(1-($B$97)))*$B$98</f>
        <v>0</v>
      </c>
      <c r="D98" s="658">
        <f>((D$19+D$49+D$60+D$80+D$91+D$95+D$96)/(1-($B$97)))*$B$98</f>
        <v>0</v>
      </c>
    </row>
    <row r="99" spans="1:5" ht="14.25" customHeight="1" x14ac:dyDescent="0.2">
      <c r="A99" s="495" t="s">
        <v>508</v>
      </c>
      <c r="B99" s="500">
        <v>0.02</v>
      </c>
      <c r="C99" s="560">
        <f>((C$19+C$49+C$60+C$80+C$91+C$95+C$96)/(1-($B$97)))*$B$99</f>
        <v>0</v>
      </c>
      <c r="D99" s="659">
        <f>((D$19+D$49+D$60+D$80+D$91+D$95+D$96)/(1-($B$97)))*$B$99</f>
        <v>0</v>
      </c>
    </row>
    <row r="100" spans="1:5" ht="14.25" customHeight="1" x14ac:dyDescent="0.2">
      <c r="A100" s="556" t="s">
        <v>509</v>
      </c>
      <c r="B100" s="557">
        <f>B101+B102</f>
        <v>0.11749999999999999</v>
      </c>
      <c r="C100" s="558">
        <f>((C19+C49+C60+C80+C91+C95+C96)/(1-($B$100)))*$B$100</f>
        <v>0</v>
      </c>
      <c r="D100" s="657">
        <f>((D19+D49+D60+D80+D91+D95+D96)/(1-($B$100)))*$B$100</f>
        <v>0</v>
      </c>
    </row>
    <row r="101" spans="1:5" ht="14.25" customHeight="1" x14ac:dyDescent="0.2">
      <c r="A101" s="495" t="s">
        <v>507</v>
      </c>
      <c r="B101" s="500">
        <f>0.0165+0.076</f>
        <v>9.2499999999999999E-2</v>
      </c>
      <c r="C101" s="559">
        <f>((C19+C49+C60+C80+C91+C95+C96)/(1-($B$100)))*$B$101</f>
        <v>0</v>
      </c>
      <c r="D101" s="658">
        <f>((D19+D49+D60+D80+D91+D95+D96)/(1-($B$100)))*$B$101</f>
        <v>0</v>
      </c>
    </row>
    <row r="102" spans="1:5" ht="14.25" customHeight="1" x14ac:dyDescent="0.2">
      <c r="A102" s="495" t="s">
        <v>508</v>
      </c>
      <c r="B102" s="500">
        <v>2.5000000000000001E-2</v>
      </c>
      <c r="C102" s="560">
        <f>((C$19+C$49+C$60+C$80+C$91+C$95+C$96)/(1-($B$100)))*$B$102</f>
        <v>0</v>
      </c>
      <c r="D102" s="659">
        <f>((D$19+D$49+D$60+D$80+D$91+D$95+D$96)/(1-($B$100)))*$B$102</f>
        <v>0</v>
      </c>
    </row>
    <row r="103" spans="1:5" ht="14.25" customHeight="1" x14ac:dyDescent="0.2">
      <c r="A103" s="556" t="s">
        <v>510</v>
      </c>
      <c r="B103" s="557">
        <f>B104+B105</f>
        <v>0.1225</v>
      </c>
      <c r="C103" s="558">
        <f>((C19+C49+C60+C80+C91+C95+C96)/(1-($B$103)))*$B$103</f>
        <v>0</v>
      </c>
      <c r="D103" s="657">
        <f>((D19+D49+D60+D80+D91+D95+D96)/(1-($B$103)))*$B$103</f>
        <v>0</v>
      </c>
    </row>
    <row r="104" spans="1:5" ht="14.25" customHeight="1" x14ac:dyDescent="0.2">
      <c r="A104" s="495" t="s">
        <v>507</v>
      </c>
      <c r="B104" s="500">
        <f>0.0165+0.076</f>
        <v>9.2499999999999999E-2</v>
      </c>
      <c r="C104" s="559">
        <f>((C19+C49+C60+C80+C91+C95+C96)/(1-($B$103)))*$B$104</f>
        <v>0</v>
      </c>
      <c r="D104" s="658">
        <f>((D19+D49+D60+D80+D91+D95+D96)/(1-($B$103)))*$B$104</f>
        <v>0</v>
      </c>
    </row>
    <row r="105" spans="1:5" ht="14.25" customHeight="1" x14ac:dyDescent="0.2">
      <c r="A105" s="495" t="s">
        <v>508</v>
      </c>
      <c r="B105" s="500">
        <v>0.03</v>
      </c>
      <c r="C105" s="560">
        <f>((C19+C49+C60+C80+C91+C95+C96)/(1-($B$103)))*$B$105</f>
        <v>0</v>
      </c>
      <c r="D105" s="659">
        <f>((D19+D49+D60+D80+D91+D95+D96)/(1-($B$103)))*$B$105</f>
        <v>0</v>
      </c>
      <c r="E105" s="561"/>
    </row>
    <row r="106" spans="1:5" ht="14.25" customHeight="1" x14ac:dyDescent="0.2">
      <c r="A106" s="556" t="s">
        <v>511</v>
      </c>
      <c r="B106" s="557">
        <f>B107+B108</f>
        <v>0.13250000000000001</v>
      </c>
      <c r="C106" s="558">
        <f>((C19+C49+C60+C80+C91+C95+C96)/(1-($B$106)))*$B$106</f>
        <v>0</v>
      </c>
      <c r="D106" s="657">
        <f>((D19+D49+D60+D80+D91+D95+D96)/(1-($B$106)))*$B$106</f>
        <v>0</v>
      </c>
    </row>
    <row r="107" spans="1:5" ht="14.25" customHeight="1" x14ac:dyDescent="0.2">
      <c r="A107" s="495" t="s">
        <v>507</v>
      </c>
      <c r="B107" s="500">
        <f>0.0165+0.076</f>
        <v>9.2499999999999999E-2</v>
      </c>
      <c r="C107" s="559">
        <f>((C19+C49+C60+C80+C91+C95+C96)/(1-($B$106)))*$B$107</f>
        <v>0</v>
      </c>
      <c r="D107" s="658">
        <f>((D19+D49+D60+D80+D91+D95+D96)/(1-($B$106)))*$B$107</f>
        <v>0</v>
      </c>
    </row>
    <row r="108" spans="1:5" ht="14.25" customHeight="1" x14ac:dyDescent="0.2">
      <c r="A108" s="495" t="s">
        <v>508</v>
      </c>
      <c r="B108" s="500">
        <v>0.04</v>
      </c>
      <c r="C108" s="560">
        <f>((C19+C49+C60+C80+C91+C95+C96)/(1-($B$106)))*$B$108</f>
        <v>0</v>
      </c>
      <c r="D108" s="659">
        <f>((D19+D49+D60+D80+D91+D95+D96)/(1-($B$106)))*$B$108</f>
        <v>0</v>
      </c>
    </row>
    <row r="109" spans="1:5" ht="14.25" customHeight="1" x14ac:dyDescent="0.2">
      <c r="A109" s="556" t="s">
        <v>512</v>
      </c>
      <c r="B109" s="557">
        <f>B110+B111</f>
        <v>0.14250000000000002</v>
      </c>
      <c r="C109" s="558">
        <f>((C19+C49+C60+C80+C91+C95+C96)/(1-($B$109)))*$B$109</f>
        <v>0</v>
      </c>
      <c r="D109" s="657">
        <f>((D19+D49+D60+D80+D91+D95+D96)/(1-($B$109)))*$B$109</f>
        <v>0</v>
      </c>
    </row>
    <row r="110" spans="1:5" ht="14.25" customHeight="1" x14ac:dyDescent="0.2">
      <c r="A110" s="495" t="s">
        <v>507</v>
      </c>
      <c r="B110" s="500">
        <f>0.0165+0.076</f>
        <v>9.2499999999999999E-2</v>
      </c>
      <c r="C110" s="559">
        <f>((C19+C49+C60+C80+C91+C95+C96)/(1-($B$109)))*$B$110</f>
        <v>0</v>
      </c>
      <c r="D110" s="658">
        <f>((D19+D49+D60+D80+D91+D95+D96)/(1-($B$109)))*$B$110</f>
        <v>0</v>
      </c>
    </row>
    <row r="111" spans="1:5" ht="14.25" customHeight="1" x14ac:dyDescent="0.2">
      <c r="A111" s="495" t="s">
        <v>508</v>
      </c>
      <c r="B111" s="562">
        <v>0.05</v>
      </c>
      <c r="C111" s="560">
        <f>((C19+C49+C60+C80+C91+C95+C96)/(1-($B$109)))*$B$111</f>
        <v>0</v>
      </c>
      <c r="D111" s="659">
        <f>((D19+D49+D60+D80+D91+D95+D96)/(1-($B$109)))*$B$111</f>
        <v>0</v>
      </c>
    </row>
    <row r="112" spans="1:5" ht="14.25" customHeight="1" x14ac:dyDescent="0.2">
      <c r="A112" s="829" t="s">
        <v>513</v>
      </c>
      <c r="B112" s="563">
        <v>0.02</v>
      </c>
      <c r="C112" s="564">
        <f>C95+C96+C97</f>
        <v>0</v>
      </c>
      <c r="D112" s="660">
        <f>D95+D96+D97</f>
        <v>0</v>
      </c>
    </row>
    <row r="113" spans="1:5" ht="14.25" customHeight="1" x14ac:dyDescent="0.2">
      <c r="A113" s="829"/>
      <c r="B113" s="565">
        <v>2.5000000000000001E-2</v>
      </c>
      <c r="C113" s="566">
        <f>C95+C96+C100</f>
        <v>0</v>
      </c>
      <c r="D113" s="661">
        <f>D95+D96+D100</f>
        <v>0</v>
      </c>
    </row>
    <row r="114" spans="1:5" ht="14.25" customHeight="1" x14ac:dyDescent="0.2">
      <c r="A114" s="829"/>
      <c r="B114" s="565">
        <v>0.03</v>
      </c>
      <c r="C114" s="566">
        <f>C95+C96+C103</f>
        <v>0</v>
      </c>
      <c r="D114" s="661">
        <f>D95+D96+D103</f>
        <v>0</v>
      </c>
      <c r="E114" s="561"/>
    </row>
    <row r="115" spans="1:5" ht="14.25" customHeight="1" x14ac:dyDescent="0.2">
      <c r="A115" s="829"/>
      <c r="B115" s="565">
        <v>0.04</v>
      </c>
      <c r="C115" s="566">
        <f>C95+C96+C106</f>
        <v>0</v>
      </c>
      <c r="D115" s="661">
        <f>D95+D96+D106</f>
        <v>0</v>
      </c>
    </row>
    <row r="116" spans="1:5" ht="14.25" customHeight="1" x14ac:dyDescent="0.2">
      <c r="A116" s="829"/>
      <c r="B116" s="567">
        <v>0.05</v>
      </c>
      <c r="C116" s="568">
        <f>C95+C96+C109</f>
        <v>0</v>
      </c>
      <c r="D116" s="662">
        <f>D95+D96+D109</f>
        <v>0</v>
      </c>
    </row>
    <row r="117" spans="1:5" ht="14.25" customHeight="1" x14ac:dyDescent="0.2">
      <c r="A117" s="495" t="s">
        <v>514</v>
      </c>
      <c r="B117" s="569"/>
      <c r="C117" s="570"/>
      <c r="D117" s="572"/>
    </row>
    <row r="118" spans="1:5" ht="14.25" customHeight="1" x14ac:dyDescent="0.2">
      <c r="A118" s="573"/>
      <c r="B118" s="574"/>
      <c r="C118" s="575"/>
      <c r="D118" s="577"/>
    </row>
    <row r="119" spans="1:5" ht="7.5" customHeight="1" x14ac:dyDescent="0.2">
      <c r="A119" s="830"/>
      <c r="B119" s="830"/>
      <c r="C119" s="830"/>
      <c r="D119" s="830"/>
    </row>
    <row r="120" spans="1:5" ht="7.5" customHeight="1" x14ac:dyDescent="0.2">
      <c r="A120" s="831"/>
      <c r="B120" s="831"/>
      <c r="C120" s="831"/>
      <c r="D120" s="831"/>
    </row>
    <row r="121" spans="1:5" ht="54.75" customHeight="1" x14ac:dyDescent="0.2">
      <c r="A121" s="832" t="s">
        <v>515</v>
      </c>
      <c r="B121" s="832"/>
      <c r="C121" s="578" t="str">
        <f>C10</f>
        <v>Servente 44h COVID</v>
      </c>
      <c r="D121" s="580" t="str">
        <f>D10</f>
        <v>Servente 30h COVID</v>
      </c>
    </row>
    <row r="122" spans="1:5" ht="15.75" customHeight="1" x14ac:dyDescent="0.2">
      <c r="A122" s="833" t="s">
        <v>516</v>
      </c>
      <c r="B122" s="833"/>
      <c r="C122" s="581" t="s">
        <v>445</v>
      </c>
      <c r="D122" s="582" t="s">
        <v>445</v>
      </c>
    </row>
    <row r="123" spans="1:5" ht="14.25" customHeight="1" x14ac:dyDescent="0.2">
      <c r="A123" s="834" t="s">
        <v>517</v>
      </c>
      <c r="B123" s="834"/>
      <c r="C123" s="583">
        <f>C19</f>
        <v>0</v>
      </c>
      <c r="D123" s="584">
        <f>D19</f>
        <v>0</v>
      </c>
    </row>
    <row r="124" spans="1:5" ht="14.25" customHeight="1" x14ac:dyDescent="0.2">
      <c r="A124" s="835" t="s">
        <v>518</v>
      </c>
      <c r="B124" s="835"/>
      <c r="C124" s="585">
        <f>C49</f>
        <v>0</v>
      </c>
      <c r="D124" s="586">
        <f>D49</f>
        <v>0</v>
      </c>
    </row>
    <row r="125" spans="1:5" ht="14.25" customHeight="1" x14ac:dyDescent="0.2">
      <c r="A125" s="835" t="s">
        <v>519</v>
      </c>
      <c r="B125" s="835"/>
      <c r="C125" s="585">
        <f>C60</f>
        <v>0</v>
      </c>
      <c r="D125" s="586">
        <f>D60</f>
        <v>0</v>
      </c>
    </row>
    <row r="126" spans="1:5" ht="14.25" customHeight="1" x14ac:dyDescent="0.2">
      <c r="A126" s="835" t="s">
        <v>520</v>
      </c>
      <c r="B126" s="835"/>
      <c r="C126" s="585">
        <f>C80</f>
        <v>0</v>
      </c>
      <c r="D126" s="586">
        <f>D80</f>
        <v>0</v>
      </c>
    </row>
    <row r="127" spans="1:5" ht="15.75" customHeight="1" x14ac:dyDescent="0.2">
      <c r="A127" s="835" t="s">
        <v>521</v>
      </c>
      <c r="B127" s="835"/>
      <c r="C127" s="585">
        <f>C91</f>
        <v>0</v>
      </c>
      <c r="D127" s="586">
        <f>D91</f>
        <v>0</v>
      </c>
    </row>
    <row r="128" spans="1:5" ht="15.75" customHeight="1" x14ac:dyDescent="0.2">
      <c r="A128" s="836" t="s">
        <v>522</v>
      </c>
      <c r="B128" s="836"/>
      <c r="C128" s="587">
        <f>SUM(C123:C127)</f>
        <v>0</v>
      </c>
      <c r="D128" s="589">
        <f>SUM(D123:D127)</f>
        <v>0</v>
      </c>
    </row>
    <row r="129" spans="1:4" ht="15.75" customHeight="1" x14ac:dyDescent="0.2">
      <c r="A129" s="837" t="s">
        <v>523</v>
      </c>
      <c r="B129" s="837"/>
      <c r="C129" s="590">
        <f t="shared" ref="C129:D133" si="2">C112</f>
        <v>0</v>
      </c>
      <c r="D129" s="591">
        <f t="shared" si="2"/>
        <v>0</v>
      </c>
    </row>
    <row r="130" spans="1:4" ht="15.75" customHeight="1" x14ac:dyDescent="0.2">
      <c r="A130" s="835" t="s">
        <v>524</v>
      </c>
      <c r="B130" s="835"/>
      <c r="C130" s="592">
        <f t="shared" si="2"/>
        <v>0</v>
      </c>
      <c r="D130" s="593">
        <f t="shared" si="2"/>
        <v>0</v>
      </c>
    </row>
    <row r="131" spans="1:4" ht="15.75" customHeight="1" x14ac:dyDescent="0.2">
      <c r="A131" s="835" t="s">
        <v>525</v>
      </c>
      <c r="B131" s="835"/>
      <c r="C131" s="592">
        <f t="shared" si="2"/>
        <v>0</v>
      </c>
      <c r="D131" s="593">
        <f t="shared" si="2"/>
        <v>0</v>
      </c>
    </row>
    <row r="132" spans="1:4" ht="15.75" customHeight="1" x14ac:dyDescent="0.2">
      <c r="A132" s="835" t="s">
        <v>526</v>
      </c>
      <c r="B132" s="835"/>
      <c r="C132" s="592">
        <f t="shared" si="2"/>
        <v>0</v>
      </c>
      <c r="D132" s="593">
        <f t="shared" si="2"/>
        <v>0</v>
      </c>
    </row>
    <row r="133" spans="1:4" ht="15.75" customHeight="1" x14ac:dyDescent="0.2">
      <c r="A133" s="837" t="s">
        <v>527</v>
      </c>
      <c r="B133" s="837"/>
      <c r="C133" s="592">
        <f t="shared" si="2"/>
        <v>0</v>
      </c>
      <c r="D133" s="593">
        <f t="shared" si="2"/>
        <v>0</v>
      </c>
    </row>
    <row r="134" spans="1:4" ht="15.75" customHeight="1" x14ac:dyDescent="0.2">
      <c r="A134" s="594" t="s">
        <v>528</v>
      </c>
      <c r="B134" s="595"/>
      <c r="C134" s="596">
        <f>C128+C129</f>
        <v>0</v>
      </c>
      <c r="D134" s="597">
        <f>D128+D129</f>
        <v>0</v>
      </c>
    </row>
    <row r="135" spans="1:4" ht="15.75" customHeight="1" x14ac:dyDescent="0.2">
      <c r="A135" s="598" t="s">
        <v>529</v>
      </c>
      <c r="B135" s="599"/>
      <c r="C135" s="600">
        <f>C128+C130</f>
        <v>0</v>
      </c>
      <c r="D135" s="601">
        <f>D128+D130</f>
        <v>0</v>
      </c>
    </row>
    <row r="136" spans="1:4" ht="15.75" customHeight="1" x14ac:dyDescent="0.2">
      <c r="A136" s="598" t="s">
        <v>530</v>
      </c>
      <c r="B136" s="599"/>
      <c r="C136" s="600">
        <f>C128+C131</f>
        <v>0</v>
      </c>
      <c r="D136" s="601">
        <f>D128+D131</f>
        <v>0</v>
      </c>
    </row>
    <row r="137" spans="1:4" ht="15.75" customHeight="1" x14ac:dyDescent="0.2">
      <c r="A137" s="598" t="s">
        <v>531</v>
      </c>
      <c r="B137" s="599"/>
      <c r="C137" s="600">
        <f>C128+C132</f>
        <v>0</v>
      </c>
      <c r="D137" s="601">
        <f>D128+D132</f>
        <v>0</v>
      </c>
    </row>
    <row r="138" spans="1:4" ht="15.75" customHeight="1" x14ac:dyDescent="0.2">
      <c r="A138" s="598" t="s">
        <v>532</v>
      </c>
      <c r="B138" s="599"/>
      <c r="C138" s="600">
        <f>C128+C133</f>
        <v>0</v>
      </c>
      <c r="D138" s="601">
        <f>D128+D133</f>
        <v>0</v>
      </c>
    </row>
    <row r="139" spans="1:4" ht="15.75" customHeight="1" x14ac:dyDescent="0.2">
      <c r="A139" s="602" t="s">
        <v>533</v>
      </c>
      <c r="B139" s="603"/>
      <c r="C139" s="604">
        <f>C134/220</f>
        <v>0</v>
      </c>
      <c r="D139" s="663"/>
    </row>
    <row r="140" spans="1:4" ht="15.75" customHeight="1" x14ac:dyDescent="0.2">
      <c r="A140" s="607" t="s">
        <v>534</v>
      </c>
      <c r="B140" s="608"/>
      <c r="C140" s="609">
        <f>C135/220</f>
        <v>0</v>
      </c>
      <c r="D140" s="664"/>
    </row>
    <row r="141" spans="1:4" ht="15.75" customHeight="1" x14ac:dyDescent="0.2">
      <c r="A141" s="607" t="s">
        <v>535</v>
      </c>
      <c r="B141" s="608"/>
      <c r="C141" s="609">
        <f>C136/220</f>
        <v>0</v>
      </c>
      <c r="D141" s="664"/>
    </row>
    <row r="142" spans="1:4" ht="15.75" customHeight="1" x14ac:dyDescent="0.2">
      <c r="A142" s="607" t="s">
        <v>536</v>
      </c>
      <c r="B142" s="608"/>
      <c r="C142" s="609">
        <f>C137/220</f>
        <v>0</v>
      </c>
      <c r="D142" s="664"/>
    </row>
    <row r="143" spans="1:4" ht="15.75" customHeight="1" x14ac:dyDescent="0.2">
      <c r="A143" s="612" t="s">
        <v>537</v>
      </c>
      <c r="B143" s="613"/>
      <c r="C143" s="614">
        <f>C138/220</f>
        <v>0</v>
      </c>
      <c r="D143" s="665"/>
    </row>
    <row r="144" spans="1:4" x14ac:dyDescent="0.2">
      <c r="A144" s="617"/>
    </row>
  </sheetData>
  <mergeCells count="27">
    <mergeCell ref="A132:B132"/>
    <mergeCell ref="A133:B133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D119"/>
    <mergeCell ref="A120:D120"/>
    <mergeCell ref="A121:B121"/>
    <mergeCell ref="A21:D21"/>
    <mergeCell ref="A50:B50"/>
    <mergeCell ref="A51:D51"/>
    <mergeCell ref="A61:B61"/>
    <mergeCell ref="A62:D62"/>
    <mergeCell ref="A1:D1"/>
    <mergeCell ref="A2:D2"/>
    <mergeCell ref="A3:D3"/>
    <mergeCell ref="A9:D9"/>
    <mergeCell ref="A20:B2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MK1048511"/>
  <sheetViews>
    <sheetView zoomScale="80" zoomScaleNormal="80" workbookViewId="0">
      <selection activeCell="I7" sqref="I7"/>
    </sheetView>
  </sheetViews>
  <sheetFormatPr defaultRowHeight="14.25" x14ac:dyDescent="0.2"/>
  <cols>
    <col min="1" max="1" width="4.375" style="1" customWidth="1"/>
    <col min="2" max="2" width="39.75" style="1" customWidth="1"/>
    <col min="3" max="3" width="11" style="1" customWidth="1"/>
    <col min="4" max="4" width="15.625" style="1" customWidth="1"/>
    <col min="5" max="5" width="10" style="2" customWidth="1"/>
    <col min="6" max="6" width="10.75" style="2" customWidth="1"/>
    <col min="7" max="7" width="12" style="2" customWidth="1"/>
    <col min="8" max="8" width="26.625" style="2" customWidth="1"/>
    <col min="9" max="9" width="12.75" style="2" customWidth="1"/>
    <col min="10" max="10" width="10.75" style="2" customWidth="1"/>
    <col min="11" max="11" width="8.875" style="2" customWidth="1"/>
    <col min="12" max="12" width="10.75" style="2" customWidth="1"/>
    <col min="13" max="13" width="27.125" style="2" customWidth="1"/>
    <col min="14" max="14" width="10.75" style="2" customWidth="1"/>
    <col min="15" max="15" width="8.875" style="1" customWidth="1"/>
    <col min="16" max="16" width="10.375" style="1" customWidth="1"/>
    <col min="17" max="17" width="6.625" style="1" customWidth="1"/>
    <col min="18" max="18" width="6.25" style="1" customWidth="1"/>
    <col min="19" max="20" width="11.125" style="1" customWidth="1"/>
    <col min="21" max="21" width="12.5" style="1" customWidth="1"/>
    <col min="22" max="22" width="3.75" style="1" customWidth="1"/>
    <col min="23" max="23" width="8.125" style="1" customWidth="1"/>
    <col min="24" max="24" width="8" style="1" customWidth="1"/>
    <col min="25" max="1025" width="10.5" style="1" customWidth="1"/>
  </cols>
  <sheetData>
    <row r="1" spans="1:12" ht="23.25" x14ac:dyDescent="0.2">
      <c r="A1" s="3"/>
      <c r="B1" s="746" t="s">
        <v>0</v>
      </c>
      <c r="C1" s="746"/>
      <c r="D1" s="746"/>
      <c r="E1" s="746"/>
      <c r="F1" s="746"/>
      <c r="G1" s="746"/>
      <c r="H1" s="746"/>
      <c r="I1" s="746"/>
      <c r="J1" s="746"/>
      <c r="K1" s="746"/>
      <c r="L1" s="746"/>
    </row>
    <row r="2" spans="1:12" x14ac:dyDescent="0.2">
      <c r="B2" s="4"/>
      <c r="C2" s="4"/>
      <c r="D2" s="4"/>
      <c r="E2" s="4"/>
    </row>
    <row r="3" spans="1:12" x14ac:dyDescent="0.2">
      <c r="B3" s="5" t="s">
        <v>1</v>
      </c>
      <c r="C3" s="747" t="s">
        <v>2</v>
      </c>
      <c r="D3" s="747"/>
      <c r="E3" s="6">
        <v>22</v>
      </c>
    </row>
    <row r="4" spans="1:12" x14ac:dyDescent="0.2">
      <c r="C4" s="748" t="s">
        <v>3</v>
      </c>
      <c r="D4" s="748"/>
      <c r="E4" s="7">
        <v>30</v>
      </c>
    </row>
    <row r="6" spans="1:12" ht="17.100000000000001" customHeight="1" x14ac:dyDescent="0.2">
      <c r="A6" s="3"/>
      <c r="B6" s="749" t="s">
        <v>4</v>
      </c>
      <c r="C6" s="749"/>
      <c r="D6" s="749"/>
      <c r="E6" s="749"/>
      <c r="F6" s="749"/>
      <c r="G6" s="749"/>
      <c r="H6" s="749"/>
      <c r="I6" s="749"/>
      <c r="J6" s="749"/>
      <c r="K6" s="749"/>
      <c r="L6" s="749"/>
    </row>
    <row r="7" spans="1:12" x14ac:dyDescent="0.2">
      <c r="B7" s="8" t="s">
        <v>5</v>
      </c>
      <c r="C7" s="9" t="s">
        <v>6</v>
      </c>
      <c r="D7" s="9" t="s">
        <v>7</v>
      </c>
      <c r="E7" s="10" t="s">
        <v>8</v>
      </c>
      <c r="H7" s="11" t="s">
        <v>9</v>
      </c>
      <c r="I7" s="12"/>
    </row>
    <row r="8" spans="1:12" x14ac:dyDescent="0.2">
      <c r="C8" s="5"/>
      <c r="D8" s="13"/>
      <c r="E8" s="14"/>
      <c r="H8" s="15" t="s">
        <v>12</v>
      </c>
    </row>
    <row r="9" spans="1:12" x14ac:dyDescent="0.2">
      <c r="C9" s="750" t="s">
        <v>13</v>
      </c>
      <c r="D9" s="750"/>
      <c r="E9" s="750"/>
    </row>
    <row r="10" spans="1:12" x14ac:dyDescent="0.2">
      <c r="B10" s="8" t="s">
        <v>14</v>
      </c>
      <c r="C10" s="6">
        <v>44</v>
      </c>
      <c r="D10" s="6">
        <v>40</v>
      </c>
      <c r="E10" s="6">
        <v>30</v>
      </c>
    </row>
    <row r="11" spans="1:12" x14ac:dyDescent="0.2">
      <c r="C11" s="16"/>
      <c r="D11" s="17">
        <f>C11/C10*D10</f>
        <v>0</v>
      </c>
      <c r="E11" s="17">
        <f>C11/220*180</f>
        <v>0</v>
      </c>
    </row>
    <row r="12" spans="1:12" x14ac:dyDescent="0.2">
      <c r="B12" s="8" t="s">
        <v>15</v>
      </c>
      <c r="C12" s="18"/>
      <c r="D12" s="17" t="s">
        <v>16</v>
      </c>
      <c r="E12" s="17"/>
    </row>
    <row r="13" spans="1:12" x14ac:dyDescent="0.2">
      <c r="B13" s="8" t="s">
        <v>17</v>
      </c>
      <c r="C13" s="18"/>
      <c r="D13" s="17" t="s">
        <v>16</v>
      </c>
      <c r="E13" s="17"/>
    </row>
    <row r="14" spans="1:12" x14ac:dyDescent="0.2">
      <c r="B14" s="8" t="s">
        <v>18</v>
      </c>
      <c r="C14" s="18"/>
      <c r="D14" s="17" t="s">
        <v>19</v>
      </c>
      <c r="E14" s="17"/>
    </row>
    <row r="15" spans="1:12" ht="15.75" x14ac:dyDescent="0.2">
      <c r="A15" s="3"/>
      <c r="B15" s="749" t="s">
        <v>20</v>
      </c>
      <c r="C15" s="749"/>
      <c r="D15" s="749"/>
      <c r="E15" s="749"/>
      <c r="F15" s="749"/>
      <c r="G15" s="749"/>
      <c r="H15" s="749"/>
      <c r="I15" s="749"/>
      <c r="J15" s="749"/>
      <c r="K15" s="749"/>
      <c r="L15" s="749"/>
    </row>
    <row r="16" spans="1:12" ht="24" x14ac:dyDescent="0.2">
      <c r="B16" s="19" t="s">
        <v>21</v>
      </c>
      <c r="C16" s="20"/>
      <c r="D16" s="20" t="s">
        <v>22</v>
      </c>
      <c r="E16" s="21" t="s">
        <v>23</v>
      </c>
      <c r="I16" s="22"/>
    </row>
    <row r="17" spans="1:12" x14ac:dyDescent="0.2">
      <c r="B17" s="23" t="s">
        <v>24</v>
      </c>
      <c r="C17" s="24"/>
      <c r="D17" s="25">
        <v>0.01</v>
      </c>
      <c r="E17" s="26">
        <f>ROUND(C17*(1-D17),2)</f>
        <v>0</v>
      </c>
    </row>
    <row r="18" spans="1:12" ht="17.100000000000001" customHeight="1" x14ac:dyDescent="0.2">
      <c r="B18" s="5" t="s">
        <v>25</v>
      </c>
      <c r="C18" s="27"/>
      <c r="D18" s="28">
        <f>D17</f>
        <v>0.01</v>
      </c>
      <c r="E18" s="26">
        <f>ROUND(C18*(1-D18),2)</f>
        <v>0</v>
      </c>
    </row>
    <row r="19" spans="1:12" x14ac:dyDescent="0.2">
      <c r="B19" s="5" t="s">
        <v>26</v>
      </c>
      <c r="C19" s="27"/>
      <c r="D19" s="28">
        <v>0.06</v>
      </c>
      <c r="E19" s="27"/>
    </row>
    <row r="20" spans="1:12" ht="12.95" customHeight="1" x14ac:dyDescent="0.2">
      <c r="B20" s="5" t="s">
        <v>27</v>
      </c>
      <c r="C20" s="28"/>
      <c r="D20" s="28"/>
      <c r="E20" s="27"/>
    </row>
    <row r="21" spans="1:12" x14ac:dyDescent="0.2">
      <c r="B21" s="5" t="s">
        <v>28</v>
      </c>
      <c r="C21" s="17"/>
      <c r="D21" s="27"/>
      <c r="E21" s="17">
        <f>C21</f>
        <v>0</v>
      </c>
    </row>
    <row r="22" spans="1:12" x14ac:dyDescent="0.2">
      <c r="B22" s="29"/>
      <c r="C22" s="30"/>
      <c r="D22" s="17"/>
      <c r="E22" s="17"/>
    </row>
    <row r="23" spans="1:12" x14ac:dyDescent="0.2">
      <c r="B23" s="29"/>
      <c r="C23" s="31"/>
      <c r="D23" s="27"/>
      <c r="E23" s="17"/>
    </row>
    <row r="24" spans="1:12" ht="12.95" customHeight="1" x14ac:dyDescent="0.2">
      <c r="B24" s="32"/>
      <c r="C24" s="33"/>
      <c r="D24" s="28"/>
      <c r="E24" s="33"/>
    </row>
    <row r="25" spans="1:12" ht="12.95" customHeight="1" x14ac:dyDescent="0.2">
      <c r="B25" s="5"/>
      <c r="C25" s="34"/>
      <c r="D25" s="28"/>
      <c r="E25" s="33"/>
    </row>
    <row r="27" spans="1:12" x14ac:dyDescent="0.2">
      <c r="D27" s="2"/>
      <c r="J27" s="35"/>
    </row>
    <row r="28" spans="1:12" s="1" customFormat="1" ht="15.75" x14ac:dyDescent="0.2">
      <c r="A28" s="3"/>
      <c r="B28" s="749" t="s">
        <v>29</v>
      </c>
      <c r="C28" s="749"/>
      <c r="D28" s="749"/>
      <c r="E28" s="749"/>
      <c r="F28" s="749"/>
      <c r="G28" s="749"/>
      <c r="H28" s="749"/>
      <c r="I28" s="749"/>
      <c r="J28" s="749"/>
      <c r="K28" s="749"/>
      <c r="L28" s="749"/>
    </row>
    <row r="29" spans="1:12" s="1" customFormat="1" ht="12" x14ac:dyDescent="0.2">
      <c r="B29" s="751" t="s">
        <v>30</v>
      </c>
      <c r="C29" s="751"/>
      <c r="D29" s="751"/>
      <c r="E29" s="751"/>
      <c r="F29" s="751"/>
      <c r="G29" s="751"/>
      <c r="H29" s="751"/>
      <c r="I29" s="751"/>
      <c r="J29" s="751"/>
      <c r="K29" s="751"/>
      <c r="L29" s="751"/>
    </row>
    <row r="30" spans="1:12" s="1" customFormat="1" ht="12" x14ac:dyDescent="0.2">
      <c r="B30" s="752" t="s">
        <v>31</v>
      </c>
      <c r="C30" s="752"/>
      <c r="D30" s="752"/>
      <c r="E30" s="752"/>
      <c r="F30" s="752"/>
      <c r="G30" s="752"/>
      <c r="H30" s="752"/>
      <c r="I30" s="752"/>
      <c r="J30" s="752"/>
      <c r="K30" s="752"/>
      <c r="L30" s="752"/>
    </row>
    <row r="31" spans="1:12" s="1" customFormat="1" ht="12" x14ac:dyDescent="0.2">
      <c r="B31" s="751" t="s">
        <v>32</v>
      </c>
      <c r="C31" s="751"/>
      <c r="D31" s="751"/>
      <c r="E31" s="751"/>
      <c r="F31" s="751"/>
      <c r="G31" s="751"/>
      <c r="H31" s="751"/>
      <c r="I31" s="751"/>
      <c r="J31" s="751"/>
      <c r="K31" s="751"/>
      <c r="L31" s="751"/>
    </row>
    <row r="32" spans="1:12" s="1" customFormat="1" ht="12" x14ac:dyDescent="0.2">
      <c r="B32" s="753" t="s">
        <v>33</v>
      </c>
      <c r="C32" s="753"/>
      <c r="D32" s="753"/>
      <c r="E32" s="753"/>
      <c r="F32" s="753"/>
      <c r="G32" s="753"/>
      <c r="H32" s="753"/>
      <c r="I32" s="753"/>
      <c r="J32" s="753"/>
      <c r="K32" s="753"/>
      <c r="L32" s="753"/>
    </row>
    <row r="33" spans="1:14" s="1" customFormat="1" ht="12" x14ac:dyDescent="0.2">
      <c r="B33" s="751" t="s">
        <v>34</v>
      </c>
      <c r="C33" s="751"/>
      <c r="D33" s="751"/>
      <c r="E33" s="751"/>
      <c r="F33" s="751"/>
      <c r="G33" s="751"/>
      <c r="H33" s="751"/>
      <c r="I33" s="751"/>
      <c r="J33" s="751"/>
      <c r="K33" s="751"/>
      <c r="L33" s="751"/>
    </row>
    <row r="34" spans="1:14" s="1" customFormat="1" ht="12" x14ac:dyDescent="0.2">
      <c r="B34" s="754" t="s">
        <v>35</v>
      </c>
      <c r="C34" s="754"/>
      <c r="D34" s="754"/>
      <c r="E34" s="754"/>
      <c r="F34" s="754"/>
      <c r="G34" s="754"/>
      <c r="H34" s="754"/>
      <c r="I34" s="754"/>
      <c r="J34" s="754"/>
      <c r="K34" s="754"/>
      <c r="L34" s="754"/>
    </row>
    <row r="35" spans="1:14" s="1" customFormat="1" ht="12" x14ac:dyDescent="0.2">
      <c r="B35" s="753" t="s">
        <v>36</v>
      </c>
      <c r="C35" s="753"/>
      <c r="D35" s="753"/>
      <c r="E35" s="753"/>
      <c r="F35" s="753"/>
      <c r="G35" s="753"/>
      <c r="H35" s="753"/>
      <c r="I35" s="753"/>
      <c r="J35" s="753"/>
      <c r="K35" s="753"/>
      <c r="L35" s="753"/>
    </row>
    <row r="36" spans="1:14" s="1" customFormat="1" ht="12" x14ac:dyDescent="0.2">
      <c r="B36" s="753" t="s">
        <v>37</v>
      </c>
      <c r="C36" s="753"/>
      <c r="D36" s="753"/>
      <c r="E36" s="753"/>
      <c r="F36" s="753"/>
      <c r="G36" s="753"/>
      <c r="H36" s="753"/>
      <c r="I36" s="753"/>
      <c r="J36" s="753"/>
      <c r="K36" s="753"/>
      <c r="L36" s="753"/>
    </row>
    <row r="37" spans="1:14" s="1" customFormat="1" ht="12" x14ac:dyDescent="0.2">
      <c r="B37" s="751" t="s">
        <v>38</v>
      </c>
      <c r="C37" s="751"/>
      <c r="D37" s="751"/>
      <c r="E37" s="751"/>
      <c r="F37" s="751"/>
      <c r="G37" s="751"/>
      <c r="H37" s="751"/>
      <c r="I37" s="751"/>
      <c r="J37" s="751"/>
      <c r="K37" s="751"/>
      <c r="L37" s="751"/>
    </row>
    <row r="38" spans="1:14" s="1" customFormat="1" ht="12" x14ac:dyDescent="0.2">
      <c r="B38" s="753" t="s">
        <v>39</v>
      </c>
      <c r="C38" s="753"/>
      <c r="D38" s="753"/>
      <c r="E38" s="753"/>
      <c r="F38" s="753"/>
      <c r="G38" s="753"/>
      <c r="H38" s="753"/>
      <c r="I38" s="753"/>
      <c r="J38" s="753"/>
      <c r="K38" s="753"/>
      <c r="L38" s="753"/>
      <c r="N38" s="35"/>
    </row>
    <row r="39" spans="1:14" s="1" customFormat="1" ht="12" x14ac:dyDescent="0.2">
      <c r="D39" s="2"/>
      <c r="N39" s="35"/>
    </row>
    <row r="40" spans="1:14" ht="15.75" x14ac:dyDescent="0.2">
      <c r="A40" s="3"/>
      <c r="B40" s="749" t="s">
        <v>40</v>
      </c>
      <c r="C40" s="749"/>
      <c r="D40" s="749"/>
      <c r="E40" s="749"/>
      <c r="F40" s="749"/>
      <c r="G40" s="749"/>
      <c r="H40" s="749"/>
      <c r="I40" s="749"/>
      <c r="J40" s="749"/>
      <c r="K40" s="749"/>
      <c r="L40" s="749"/>
      <c r="M40" s="35"/>
      <c r="N40" s="35"/>
    </row>
    <row r="41" spans="1:14" x14ac:dyDescent="0.2">
      <c r="B41" s="751" t="s">
        <v>41</v>
      </c>
      <c r="C41" s="751"/>
      <c r="D41" s="751"/>
      <c r="E41" s="751"/>
      <c r="F41" s="751"/>
      <c r="G41" s="751"/>
      <c r="H41" s="751"/>
      <c r="I41" s="751"/>
      <c r="J41" s="751"/>
      <c r="K41" s="751"/>
      <c r="L41" s="751"/>
      <c r="M41" s="35"/>
      <c r="N41" s="35"/>
    </row>
    <row r="42" spans="1:14" ht="26.1" customHeight="1" x14ac:dyDescent="0.2">
      <c r="B42" s="36" t="s">
        <v>42</v>
      </c>
      <c r="C42" s="755" t="s">
        <v>43</v>
      </c>
      <c r="D42" s="755"/>
      <c r="E42" s="755"/>
      <c r="F42" s="755"/>
      <c r="G42" s="755"/>
      <c r="H42" s="755"/>
      <c r="I42" s="755"/>
      <c r="J42" s="755"/>
      <c r="K42" s="755"/>
      <c r="L42" s="755"/>
      <c r="M42" s="35"/>
      <c r="N42" s="35"/>
    </row>
    <row r="43" spans="1:14" ht="26.1" customHeight="1" x14ac:dyDescent="0.2">
      <c r="B43" s="37" t="s">
        <v>44</v>
      </c>
      <c r="C43" s="756" t="s">
        <v>45</v>
      </c>
      <c r="D43" s="756"/>
      <c r="E43" s="756"/>
      <c r="F43" s="756"/>
      <c r="G43" s="756"/>
      <c r="H43" s="756"/>
      <c r="I43" s="756"/>
      <c r="J43" s="756"/>
      <c r="K43" s="756"/>
      <c r="L43" s="756"/>
      <c r="M43" s="35"/>
      <c r="N43" s="35"/>
    </row>
    <row r="44" spans="1:14" x14ac:dyDescent="0.2">
      <c r="B44" s="38"/>
      <c r="C44" s="757" t="s">
        <v>46</v>
      </c>
      <c r="D44" s="757"/>
      <c r="E44" s="39">
        <v>1</v>
      </c>
      <c r="F44" s="35"/>
      <c r="G44" s="35"/>
      <c r="H44" s="35"/>
      <c r="I44" s="35"/>
      <c r="J44" s="35"/>
      <c r="K44" s="35"/>
      <c r="L44" s="35"/>
      <c r="M44" s="35"/>
      <c r="N44" s="35"/>
    </row>
    <row r="45" spans="1:14" x14ac:dyDescent="0.2">
      <c r="C45" s="757" t="s">
        <v>47</v>
      </c>
      <c r="D45" s="757"/>
      <c r="E45" s="39">
        <v>3.4931999999999999</v>
      </c>
      <c r="F45" s="35"/>
      <c r="G45" s="35" t="s">
        <v>48</v>
      </c>
      <c r="H45" s="35"/>
      <c r="I45" s="35"/>
      <c r="J45" s="35"/>
      <c r="K45" s="35"/>
      <c r="L45" s="35"/>
      <c r="M45" s="35"/>
      <c r="N45" s="35"/>
    </row>
    <row r="46" spans="1:14" x14ac:dyDescent="0.2">
      <c r="C46" s="757" t="s">
        <v>49</v>
      </c>
      <c r="D46" s="757"/>
      <c r="E46" s="39">
        <v>0.26879999999999998</v>
      </c>
      <c r="F46" s="35"/>
      <c r="G46" s="35"/>
      <c r="H46" s="35"/>
      <c r="I46" s="35"/>
      <c r="J46" s="35"/>
      <c r="K46" s="35"/>
      <c r="L46" s="35"/>
      <c r="M46" s="35"/>
      <c r="N46" s="35"/>
    </row>
    <row r="47" spans="1:14" x14ac:dyDescent="0.2">
      <c r="C47" s="757" t="s">
        <v>50</v>
      </c>
      <c r="D47" s="757"/>
      <c r="E47" s="39">
        <v>4.2700000000000002E-2</v>
      </c>
      <c r="F47" s="35"/>
      <c r="G47" s="35"/>
      <c r="H47" s="35"/>
      <c r="I47" s="35"/>
      <c r="J47" s="35"/>
      <c r="K47" s="35"/>
      <c r="L47" s="35"/>
      <c r="M47" s="35"/>
      <c r="N47" s="35"/>
    </row>
    <row r="48" spans="1:14" x14ac:dyDescent="0.2">
      <c r="C48" s="757" t="s">
        <v>51</v>
      </c>
      <c r="D48" s="757"/>
      <c r="E48" s="39">
        <v>3.5499999999999997E-2</v>
      </c>
      <c r="F48" s="35"/>
      <c r="G48" s="35"/>
      <c r="H48" s="35"/>
      <c r="I48" s="35"/>
      <c r="J48" s="35"/>
      <c r="K48" s="35"/>
      <c r="L48" s="35"/>
      <c r="M48" s="35"/>
      <c r="N48" s="35"/>
    </row>
    <row r="49" spans="1:14" x14ac:dyDescent="0.2">
      <c r="C49" s="757" t="s">
        <v>52</v>
      </c>
      <c r="D49" s="757"/>
      <c r="E49" s="40">
        <v>0.02</v>
      </c>
      <c r="F49" s="35"/>
      <c r="G49" s="35"/>
      <c r="H49" s="35"/>
      <c r="I49" s="35"/>
      <c r="J49" s="35"/>
      <c r="K49" s="35"/>
      <c r="L49" s="35"/>
      <c r="M49" s="35"/>
      <c r="N49" s="35"/>
    </row>
    <row r="50" spans="1:14" x14ac:dyDescent="0.2">
      <c r="C50" s="757" t="s">
        <v>53</v>
      </c>
      <c r="D50" s="757"/>
      <c r="E50" s="40">
        <v>4.0000000000000001E-3</v>
      </c>
      <c r="F50" s="35"/>
      <c r="G50" s="35"/>
      <c r="H50" s="35"/>
      <c r="I50" s="35"/>
      <c r="J50" s="35"/>
      <c r="K50" s="35"/>
      <c r="L50" s="35"/>
      <c r="M50" s="35"/>
      <c r="N50" s="35"/>
    </row>
    <row r="51" spans="1:14" x14ac:dyDescent="0.2">
      <c r="C51" s="757" t="s">
        <v>54</v>
      </c>
      <c r="D51" s="757"/>
      <c r="E51" s="39">
        <v>9.7999999999999997E-3</v>
      </c>
      <c r="F51" s="35"/>
      <c r="G51" s="35"/>
      <c r="H51" s="35"/>
      <c r="I51" s="35"/>
      <c r="J51" s="35"/>
      <c r="K51" s="35"/>
      <c r="L51" s="35"/>
      <c r="M51" s="35"/>
      <c r="N51" s="35"/>
    </row>
    <row r="52" spans="1:14" s="1" customFormat="1" ht="12" x14ac:dyDescent="0.2">
      <c r="C52" s="758" t="s">
        <v>55</v>
      </c>
      <c r="D52" s="758"/>
      <c r="E52" s="41">
        <f>SUM(E44:E51)</f>
        <v>4.8739999999999988</v>
      </c>
      <c r="M52" s="35"/>
      <c r="N52" s="35"/>
    </row>
    <row r="53" spans="1:14" x14ac:dyDescent="0.2">
      <c r="B53" s="42" t="s">
        <v>56</v>
      </c>
      <c r="C53" s="761" t="s">
        <v>57</v>
      </c>
      <c r="D53" s="761"/>
      <c r="E53" s="761"/>
      <c r="F53" s="761"/>
      <c r="G53" s="761"/>
      <c r="H53" s="761"/>
      <c r="I53" s="761"/>
      <c r="J53" s="761"/>
      <c r="K53" s="761"/>
      <c r="L53" s="761"/>
      <c r="M53" s="35"/>
      <c r="N53" s="35"/>
    </row>
    <row r="54" spans="1:14" x14ac:dyDescent="0.2">
      <c r="B54" s="753" t="s">
        <v>58</v>
      </c>
      <c r="C54" s="753"/>
      <c r="D54" s="753"/>
      <c r="E54" s="753"/>
      <c r="F54" s="43">
        <v>1.4999999999999999E-2</v>
      </c>
      <c r="G54" s="44"/>
      <c r="H54" s="44"/>
      <c r="I54" s="44"/>
      <c r="J54" s="44"/>
      <c r="K54" s="44"/>
      <c r="L54" s="45"/>
      <c r="M54" s="35"/>
      <c r="N54" s="35"/>
    </row>
    <row r="55" spans="1:14" ht="12.75" customHeight="1" x14ac:dyDescent="0.2">
      <c r="B55" s="46" t="s">
        <v>59</v>
      </c>
      <c r="C55" s="47">
        <v>0.51670000000000005</v>
      </c>
      <c r="D55" s="44"/>
      <c r="E55" s="44"/>
      <c r="F55" s="44"/>
      <c r="G55" s="44"/>
      <c r="H55" s="44"/>
      <c r="I55" s="44"/>
      <c r="J55" s="44"/>
      <c r="K55" s="44"/>
      <c r="L55" s="45"/>
      <c r="M55" s="35"/>
      <c r="N55" s="35"/>
    </row>
    <row r="56" spans="1:14" ht="26.1" customHeight="1" x14ac:dyDescent="0.2">
      <c r="B56" s="48" t="s">
        <v>60</v>
      </c>
      <c r="C56" s="762" t="s">
        <v>61</v>
      </c>
      <c r="D56" s="762"/>
      <c r="E56" s="762"/>
      <c r="F56" s="762"/>
      <c r="G56" s="762"/>
      <c r="H56" s="762"/>
      <c r="I56" s="762"/>
      <c r="J56" s="762"/>
      <c r="K56" s="762"/>
      <c r="L56" s="762"/>
      <c r="M56" s="35"/>
      <c r="N56" s="35"/>
    </row>
    <row r="57" spans="1:14" ht="12.75" customHeight="1" x14ac:dyDescent="0.2">
      <c r="B57" s="49" t="s">
        <v>62</v>
      </c>
      <c r="C57" s="50">
        <v>0.96589999999999998</v>
      </c>
      <c r="D57" s="51"/>
      <c r="E57" s="51"/>
      <c r="F57" s="51"/>
      <c r="G57" s="51"/>
      <c r="H57" s="51"/>
      <c r="I57" s="51"/>
      <c r="J57" s="51"/>
      <c r="K57" s="51"/>
      <c r="L57" s="52"/>
      <c r="M57" s="35"/>
      <c r="N57" s="35"/>
    </row>
    <row r="58" spans="1:14" x14ac:dyDescent="0.2">
      <c r="B58" s="763" t="s">
        <v>63</v>
      </c>
      <c r="C58" s="763"/>
      <c r="D58" s="763"/>
      <c r="E58" s="763"/>
      <c r="F58" s="763"/>
      <c r="G58" s="763"/>
      <c r="H58" s="763"/>
      <c r="I58" s="763"/>
      <c r="J58" s="763"/>
      <c r="K58" s="763"/>
      <c r="L58" s="763"/>
      <c r="M58" s="35"/>
      <c r="N58" s="35"/>
    </row>
    <row r="59" spans="1:14" ht="33" customHeight="1" x14ac:dyDescent="0.2">
      <c r="B59" s="53" t="s">
        <v>64</v>
      </c>
      <c r="C59" s="764" t="s">
        <v>65</v>
      </c>
      <c r="D59" s="764"/>
      <c r="E59" s="764"/>
      <c r="F59" s="764"/>
      <c r="G59" s="764"/>
      <c r="H59" s="764"/>
      <c r="I59" s="764"/>
      <c r="J59" s="764"/>
      <c r="K59" s="764"/>
      <c r="L59" s="764"/>
      <c r="M59" s="35"/>
      <c r="N59" s="35"/>
    </row>
    <row r="60" spans="1:14" ht="12.75" customHeight="1" x14ac:dyDescent="0.2">
      <c r="B60" s="54" t="s">
        <v>66</v>
      </c>
      <c r="C60" s="55">
        <v>0.48330000000000001</v>
      </c>
      <c r="D60" s="56"/>
      <c r="E60" s="56"/>
      <c r="F60" s="56"/>
      <c r="G60" s="56"/>
      <c r="H60" s="56"/>
      <c r="I60" s="56"/>
      <c r="J60" s="56"/>
      <c r="K60" s="56"/>
      <c r="L60" s="57"/>
      <c r="M60" s="35"/>
      <c r="N60" s="35"/>
    </row>
    <row r="61" spans="1:14" ht="12.75" customHeight="1" x14ac:dyDescent="0.2">
      <c r="B61" s="49" t="s">
        <v>67</v>
      </c>
      <c r="C61" s="50">
        <v>3.2000000000000002E-3</v>
      </c>
      <c r="D61" s="58"/>
      <c r="E61" s="51"/>
      <c r="F61" s="51"/>
      <c r="G61" s="51"/>
      <c r="H61" s="51"/>
      <c r="I61" s="51"/>
      <c r="J61" s="51"/>
      <c r="K61" s="51"/>
      <c r="L61" s="52"/>
      <c r="M61" s="35"/>
      <c r="N61" s="35"/>
    </row>
    <row r="62" spans="1:14" ht="12.75" customHeight="1" x14ac:dyDescent="0.2">
      <c r="B62" s="59"/>
      <c r="C62" s="60"/>
      <c r="D62" s="60"/>
      <c r="E62" s="59"/>
      <c r="F62" s="59"/>
      <c r="G62" s="59"/>
      <c r="H62" s="59"/>
      <c r="I62" s="59"/>
      <c r="J62" s="59"/>
      <c r="K62" s="59"/>
      <c r="L62" s="59"/>
      <c r="M62" s="35"/>
      <c r="N62" s="35"/>
    </row>
    <row r="63" spans="1:14" ht="12.75" customHeight="1" x14ac:dyDescent="0.2">
      <c r="A63" s="3"/>
      <c r="B63" s="759" t="s">
        <v>68</v>
      </c>
      <c r="C63" s="759"/>
      <c r="D63" s="759"/>
      <c r="E63" s="759"/>
      <c r="F63" s="759"/>
      <c r="G63" s="759"/>
      <c r="H63" s="759"/>
      <c r="I63" s="759"/>
      <c r="J63" s="759"/>
      <c r="K63" s="759"/>
      <c r="L63" s="759"/>
      <c r="M63" s="35"/>
      <c r="N63" s="35"/>
    </row>
    <row r="64" spans="1:14" ht="12.75" customHeight="1" x14ac:dyDescent="0.2">
      <c r="B64" s="61" t="s">
        <v>69</v>
      </c>
      <c r="C64" s="62"/>
      <c r="D64" s="60"/>
      <c r="E64" s="59"/>
      <c r="F64" s="59"/>
      <c r="G64" s="59"/>
      <c r="H64" s="59"/>
      <c r="I64" s="59"/>
      <c r="J64" s="59"/>
      <c r="K64" s="59"/>
      <c r="L64" s="59"/>
      <c r="M64" s="35"/>
      <c r="N64" s="35"/>
    </row>
    <row r="65" spans="1:14" ht="12.75" customHeight="1" x14ac:dyDescent="0.2">
      <c r="B65" s="37" t="s">
        <v>70</v>
      </c>
      <c r="C65" s="62"/>
      <c r="D65" s="60"/>
      <c r="E65" s="59"/>
      <c r="F65" s="59"/>
      <c r="G65" s="59"/>
      <c r="H65" s="59"/>
      <c r="I65" s="59"/>
      <c r="J65" s="59"/>
      <c r="K65" s="59"/>
      <c r="L65" s="59"/>
      <c r="M65" s="35"/>
      <c r="N65" s="35"/>
    </row>
    <row r="66" spans="1:14" x14ac:dyDescent="0.2">
      <c r="M66" s="35"/>
      <c r="N66" s="35"/>
    </row>
    <row r="67" spans="1:14" ht="15.75" x14ac:dyDescent="0.2">
      <c r="A67" s="3"/>
      <c r="B67" s="760" t="s">
        <v>71</v>
      </c>
      <c r="C67" s="760"/>
      <c r="D67" s="760"/>
      <c r="E67" s="760"/>
      <c r="F67" s="760"/>
      <c r="G67" s="760"/>
      <c r="H67" s="760"/>
      <c r="I67" s="760"/>
      <c r="J67" s="760"/>
      <c r="K67" s="760"/>
      <c r="L67" s="760"/>
    </row>
    <row r="68" spans="1:14" s="70" customFormat="1" ht="15.75" x14ac:dyDescent="0.2">
      <c r="A68" s="63"/>
      <c r="B68" s="64" t="s">
        <v>72</v>
      </c>
      <c r="C68" s="65" t="s">
        <v>73</v>
      </c>
      <c r="D68" s="66" t="s">
        <v>74</v>
      </c>
      <c r="E68" s="67" t="s">
        <v>75</v>
      </c>
      <c r="F68" s="68" t="s">
        <v>76</v>
      </c>
      <c r="G68" s="63"/>
      <c r="H68" s="63"/>
      <c r="I68" s="63"/>
      <c r="J68" s="63"/>
      <c r="K68" s="63"/>
      <c r="L68" s="63"/>
      <c r="M68" s="69"/>
      <c r="N68" s="69"/>
    </row>
    <row r="69" spans="1:14" x14ac:dyDescent="0.2">
      <c r="B69" s="71" t="s">
        <v>77</v>
      </c>
      <c r="C69" s="72"/>
      <c r="D69" s="73"/>
      <c r="E69" s="74">
        <f>SUM('Prod. GEXCHA'!N4:Q4,'Prod. GEXCHA'!U4)</f>
        <v>3</v>
      </c>
      <c r="F69" s="68">
        <f t="shared" ref="F69:F85" si="0">D69*E69</f>
        <v>0</v>
      </c>
      <c r="H69" s="75" t="s">
        <v>78</v>
      </c>
      <c r="I69" s="76" t="s">
        <v>73</v>
      </c>
      <c r="J69" s="76" t="s">
        <v>74</v>
      </c>
      <c r="K69" s="67" t="s">
        <v>75</v>
      </c>
      <c r="L69" s="68" t="s">
        <v>76</v>
      </c>
    </row>
    <row r="70" spans="1:14" x14ac:dyDescent="0.2">
      <c r="B70" s="77" t="s">
        <v>79</v>
      </c>
      <c r="C70" s="72"/>
      <c r="D70" s="73"/>
      <c r="E70" s="74">
        <f>SUM('Prod. GEXCHA'!N5:Q5)</f>
        <v>3</v>
      </c>
      <c r="F70" s="68">
        <f t="shared" si="0"/>
        <v>0</v>
      </c>
      <c r="H70" s="78" t="s">
        <v>80</v>
      </c>
      <c r="I70" s="79"/>
      <c r="J70" s="80"/>
      <c r="K70" s="81">
        <f>SUM('Prod. GEXCRI'!N4:Q4,'Prod. GEXCRI'!U4)</f>
        <v>9</v>
      </c>
      <c r="L70" s="82">
        <f t="shared" ref="L70:L82" si="1">K70*J70</f>
        <v>0</v>
      </c>
    </row>
    <row r="71" spans="1:14" x14ac:dyDescent="0.2">
      <c r="B71" s="77" t="s">
        <v>81</v>
      </c>
      <c r="C71" s="83"/>
      <c r="D71" s="73"/>
      <c r="E71" s="74">
        <f>SUM('Prod. GEXCHA'!N6:Q6)</f>
        <v>4</v>
      </c>
      <c r="F71" s="68">
        <f t="shared" si="0"/>
        <v>0</v>
      </c>
      <c r="H71" s="84" t="s">
        <v>82</v>
      </c>
      <c r="I71" s="85"/>
      <c r="J71" s="80"/>
      <c r="K71" s="81">
        <f>SUM('Prod. GEXCRI'!N5:Q5)</f>
        <v>2</v>
      </c>
      <c r="L71" s="82">
        <f t="shared" si="1"/>
        <v>0</v>
      </c>
    </row>
    <row r="72" spans="1:14" x14ac:dyDescent="0.2">
      <c r="B72" s="77" t="s">
        <v>83</v>
      </c>
      <c r="C72" s="72"/>
      <c r="D72" s="73"/>
      <c r="E72" s="74">
        <f>SUM('Prod. GEXCHA'!N7:Q7)</f>
        <v>2</v>
      </c>
      <c r="F72" s="68">
        <f t="shared" si="0"/>
        <v>0</v>
      </c>
      <c r="H72" s="84" t="s">
        <v>84</v>
      </c>
      <c r="I72" s="85"/>
      <c r="J72" s="80"/>
      <c r="K72" s="81">
        <f>SUM('Prod. GEXCRI'!N6:Q6)</f>
        <v>4</v>
      </c>
      <c r="L72" s="82">
        <f t="shared" si="1"/>
        <v>0</v>
      </c>
    </row>
    <row r="73" spans="1:14" x14ac:dyDescent="0.2">
      <c r="B73" s="77" t="s">
        <v>85</v>
      </c>
      <c r="C73" s="72"/>
      <c r="D73" s="73"/>
      <c r="E73" s="74">
        <f>SUM('Prod. GEXCHA'!N8:Q8)</f>
        <v>3</v>
      </c>
      <c r="F73" s="68">
        <f t="shared" si="0"/>
        <v>0</v>
      </c>
      <c r="H73" s="84" t="s">
        <v>86</v>
      </c>
      <c r="I73" s="85"/>
      <c r="J73" s="80"/>
      <c r="K73" s="81">
        <f>SUM('Prod. GEXCRI'!N7:Q7)</f>
        <v>2</v>
      </c>
      <c r="L73" s="82">
        <f t="shared" si="1"/>
        <v>0</v>
      </c>
    </row>
    <row r="74" spans="1:14" x14ac:dyDescent="0.2">
      <c r="B74" s="77" t="s">
        <v>87</v>
      </c>
      <c r="C74" s="72"/>
      <c r="D74" s="73"/>
      <c r="E74" s="74">
        <f>SUM('Prod. GEXCHA'!N9:Q9)</f>
        <v>2</v>
      </c>
      <c r="F74" s="68">
        <f t="shared" si="0"/>
        <v>0</v>
      </c>
      <c r="H74" s="84" t="s">
        <v>88</v>
      </c>
      <c r="I74" s="86"/>
      <c r="J74" s="80"/>
      <c r="K74" s="81">
        <f>SUM('Prod. GEXCRI'!N8:Q8)</f>
        <v>1</v>
      </c>
      <c r="L74" s="82">
        <f t="shared" si="1"/>
        <v>0</v>
      </c>
    </row>
    <row r="75" spans="1:14" x14ac:dyDescent="0.2">
      <c r="B75" s="77" t="s">
        <v>89</v>
      </c>
      <c r="C75" s="83"/>
      <c r="D75" s="80"/>
      <c r="E75" s="74">
        <f>SUM('Prod. GEXCHA'!N10:Q10)</f>
        <v>1</v>
      </c>
      <c r="F75" s="68">
        <f t="shared" si="0"/>
        <v>0</v>
      </c>
      <c r="H75" s="84" t="s">
        <v>90</v>
      </c>
      <c r="I75" s="86"/>
      <c r="J75" s="80"/>
      <c r="K75" s="81">
        <f>SUM('Prod. GEXCRI'!N9:Q9)</f>
        <v>1</v>
      </c>
      <c r="L75" s="82">
        <f t="shared" si="1"/>
        <v>0</v>
      </c>
    </row>
    <row r="76" spans="1:14" x14ac:dyDescent="0.2">
      <c r="B76" s="77" t="s">
        <v>91</v>
      </c>
      <c r="C76" s="72"/>
      <c r="D76" s="73"/>
      <c r="E76" s="74">
        <f>SUM('Prod. GEXCHA'!N11:Q11)</f>
        <v>2</v>
      </c>
      <c r="F76" s="68">
        <f t="shared" si="0"/>
        <v>0</v>
      </c>
      <c r="H76" s="84" t="s">
        <v>92</v>
      </c>
      <c r="I76" s="85"/>
      <c r="J76" s="80"/>
      <c r="K76" s="81">
        <f>SUM('Prod. GEXCRI'!N10:Q10)</f>
        <v>6</v>
      </c>
      <c r="L76" s="82">
        <f t="shared" si="1"/>
        <v>0</v>
      </c>
    </row>
    <row r="77" spans="1:14" x14ac:dyDescent="0.2">
      <c r="B77" s="77" t="s">
        <v>93</v>
      </c>
      <c r="C77" s="83"/>
      <c r="D77" s="87"/>
      <c r="E77" s="74">
        <f>SUM('Prod. GEXCHA'!N12:Q12)</f>
        <v>3</v>
      </c>
      <c r="F77" s="68">
        <f t="shared" si="0"/>
        <v>0</v>
      </c>
      <c r="H77" s="84" t="s">
        <v>94</v>
      </c>
      <c r="I77" s="86"/>
      <c r="J77" s="80"/>
      <c r="K77" s="81">
        <f>SUM('Prod. GEXCRI'!N11:Q11)</f>
        <v>1</v>
      </c>
      <c r="L77" s="82">
        <f t="shared" si="1"/>
        <v>0</v>
      </c>
    </row>
    <row r="78" spans="1:14" x14ac:dyDescent="0.2">
      <c r="B78" s="77" t="s">
        <v>95</v>
      </c>
      <c r="C78" s="83"/>
      <c r="D78" s="87"/>
      <c r="E78" s="74">
        <f>SUM('Prod. GEXCHA'!N13:Q13)</f>
        <v>3</v>
      </c>
      <c r="F78" s="68">
        <f t="shared" si="0"/>
        <v>0</v>
      </c>
      <c r="H78" s="84" t="s">
        <v>96</v>
      </c>
      <c r="I78" s="86"/>
      <c r="J78" s="80"/>
      <c r="K78" s="81">
        <f>SUM('Prod. GEXCRI'!N12:Q12)</f>
        <v>1</v>
      </c>
      <c r="L78" s="82">
        <f t="shared" si="1"/>
        <v>0</v>
      </c>
    </row>
    <row r="79" spans="1:14" x14ac:dyDescent="0.2">
      <c r="B79" s="77" t="s">
        <v>97</v>
      </c>
      <c r="C79" s="72"/>
      <c r="D79" s="73"/>
      <c r="E79" s="74">
        <f>SUM('Prod. GEXCHA'!N14:Q14)</f>
        <v>3</v>
      </c>
      <c r="F79" s="68">
        <f t="shared" si="0"/>
        <v>0</v>
      </c>
      <c r="H79" s="84" t="s">
        <v>98</v>
      </c>
      <c r="I79" s="85"/>
      <c r="J79" s="80"/>
      <c r="K79" s="81">
        <f>SUM('Prod. GEXCRI'!N13:Q13)</f>
        <v>1</v>
      </c>
      <c r="L79" s="82">
        <f t="shared" si="1"/>
        <v>0</v>
      </c>
    </row>
    <row r="80" spans="1:14" x14ac:dyDescent="0.2">
      <c r="B80" s="77" t="s">
        <v>99</v>
      </c>
      <c r="C80" s="72"/>
      <c r="D80" s="73"/>
      <c r="E80" s="74">
        <f>SUM('Prod. GEXCHA'!N15:Q15)</f>
        <v>2</v>
      </c>
      <c r="F80" s="68">
        <f t="shared" si="0"/>
        <v>0</v>
      </c>
      <c r="H80" s="84" t="s">
        <v>100</v>
      </c>
      <c r="I80" s="85"/>
      <c r="J80" s="80"/>
      <c r="K80" s="81">
        <f>SUM('Prod. GEXCRI'!N14:Q14)</f>
        <v>2</v>
      </c>
      <c r="L80" s="82">
        <f t="shared" si="1"/>
        <v>0</v>
      </c>
    </row>
    <row r="81" spans="2:12" x14ac:dyDescent="0.2">
      <c r="B81" s="77" t="s">
        <v>101</v>
      </c>
      <c r="C81" s="83"/>
      <c r="D81" s="87"/>
      <c r="E81" s="74">
        <f>SUM('Prod. GEXCHA'!N16:Q16)</f>
        <v>2</v>
      </c>
      <c r="F81" s="68">
        <f t="shared" si="0"/>
        <v>0</v>
      </c>
      <c r="H81" s="84" t="s">
        <v>102</v>
      </c>
      <c r="I81" s="86"/>
      <c r="J81" s="80"/>
      <c r="K81" s="81">
        <f>SUM('Prod. GEXCRI'!N15:Q15)</f>
        <v>2</v>
      </c>
      <c r="L81" s="82">
        <f t="shared" si="1"/>
        <v>0</v>
      </c>
    </row>
    <row r="82" spans="2:12" x14ac:dyDescent="0.2">
      <c r="B82" s="77" t="s">
        <v>103</v>
      </c>
      <c r="C82" s="83"/>
      <c r="D82" s="87"/>
      <c r="E82" s="74">
        <f>SUM('Prod. GEXCHA'!N17:Q17)</f>
        <v>2</v>
      </c>
      <c r="F82" s="68">
        <f t="shared" si="0"/>
        <v>0</v>
      </c>
      <c r="H82" s="77" t="s">
        <v>104</v>
      </c>
      <c r="I82" s="85"/>
      <c r="J82" s="80"/>
      <c r="K82" s="81">
        <f>SUM('Prod. GEXCRI'!N16:Q16)</f>
        <v>1</v>
      </c>
      <c r="L82" s="82">
        <f t="shared" si="1"/>
        <v>0</v>
      </c>
    </row>
    <row r="83" spans="2:12" x14ac:dyDescent="0.2">
      <c r="B83" s="77" t="s">
        <v>105</v>
      </c>
      <c r="C83" s="72"/>
      <c r="D83" s="73"/>
      <c r="E83" s="74">
        <f>SUM('Prod. GEXCHA'!N18:Q18)</f>
        <v>2</v>
      </c>
      <c r="F83" s="68">
        <f t="shared" si="0"/>
        <v>0</v>
      </c>
      <c r="H83" s="88" t="s">
        <v>106</v>
      </c>
      <c r="J83" s="89" t="e">
        <f>AVERAGE(J70:J82)</f>
        <v>#DIV/0!</v>
      </c>
      <c r="K83" s="81">
        <f>SUM(K70:K82)-K75-K82+'Prod. GEXCRI'!U4</f>
        <v>32</v>
      </c>
      <c r="L83" s="82">
        <f>SUM(L70:L82)</f>
        <v>0</v>
      </c>
    </row>
    <row r="84" spans="2:12" x14ac:dyDescent="0.2">
      <c r="B84" s="77" t="s">
        <v>107</v>
      </c>
      <c r="C84" s="72"/>
      <c r="D84" s="73"/>
      <c r="E84" s="74">
        <f>SUM('Prod. GEXCHA'!N19:Q19)</f>
        <v>1</v>
      </c>
      <c r="F84" s="68">
        <f t="shared" si="0"/>
        <v>0</v>
      </c>
      <c r="H84" s="90" t="s">
        <v>108</v>
      </c>
      <c r="I84" s="91"/>
      <c r="J84" s="92">
        <f>L83/K83</f>
        <v>0</v>
      </c>
      <c r="K84" s="1"/>
      <c r="L84" s="1"/>
    </row>
    <row r="85" spans="2:12" x14ac:dyDescent="0.2">
      <c r="B85" s="77" t="s">
        <v>109</v>
      </c>
      <c r="C85" s="83"/>
      <c r="D85" s="73"/>
      <c r="E85" s="74">
        <f>SUM(E69:E84)-E75</f>
        <v>37</v>
      </c>
      <c r="F85" s="68">
        <f t="shared" si="0"/>
        <v>0</v>
      </c>
    </row>
    <row r="86" spans="2:12" x14ac:dyDescent="0.2">
      <c r="B86" s="88" t="s">
        <v>106</v>
      </c>
      <c r="D86" s="89" t="e">
        <f>AVERAGE(D69:D85)</f>
        <v>#DIV/0!</v>
      </c>
    </row>
    <row r="87" spans="2:12" x14ac:dyDescent="0.2">
      <c r="B87" s="90" t="s">
        <v>108</v>
      </c>
      <c r="C87" s="91"/>
      <c r="D87" s="92">
        <f>F85/E85</f>
        <v>0</v>
      </c>
    </row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65454" ht="12.75" customHeight="1" x14ac:dyDescent="0.2"/>
    <row r="65455" ht="12.75" customHeight="1" x14ac:dyDescent="0.2"/>
    <row r="6545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  <row r="1048509" ht="12.75" customHeight="1" x14ac:dyDescent="0.2"/>
    <row r="1048510" ht="12.75" customHeight="1" x14ac:dyDescent="0.2"/>
    <row r="1048511" ht="12.75" customHeight="1" x14ac:dyDescent="0.2"/>
  </sheetData>
  <mergeCells count="37">
    <mergeCell ref="B63:L63"/>
    <mergeCell ref="B67:L67"/>
    <mergeCell ref="C53:L53"/>
    <mergeCell ref="B54:E54"/>
    <mergeCell ref="C56:L56"/>
    <mergeCell ref="B58:L58"/>
    <mergeCell ref="C59:L59"/>
    <mergeCell ref="C48:D48"/>
    <mergeCell ref="C49:D49"/>
    <mergeCell ref="C50:D50"/>
    <mergeCell ref="C51:D51"/>
    <mergeCell ref="C52:D52"/>
    <mergeCell ref="C43:L43"/>
    <mergeCell ref="C44:D44"/>
    <mergeCell ref="C45:D45"/>
    <mergeCell ref="C46:D46"/>
    <mergeCell ref="C47:D47"/>
    <mergeCell ref="B37:L37"/>
    <mergeCell ref="B38:L38"/>
    <mergeCell ref="B40:L40"/>
    <mergeCell ref="B41:L41"/>
    <mergeCell ref="C42:L42"/>
    <mergeCell ref="B32:L32"/>
    <mergeCell ref="B33:L33"/>
    <mergeCell ref="B34:L34"/>
    <mergeCell ref="B35:L35"/>
    <mergeCell ref="B36:L36"/>
    <mergeCell ref="B15:L15"/>
    <mergeCell ref="B28:L28"/>
    <mergeCell ref="B29:L29"/>
    <mergeCell ref="B30:L30"/>
    <mergeCell ref="B31:L31"/>
    <mergeCell ref="B1:L1"/>
    <mergeCell ref="C3:D3"/>
    <mergeCell ref="C4:D4"/>
    <mergeCell ref="B6:L6"/>
    <mergeCell ref="C9:E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K146"/>
  <sheetViews>
    <sheetView showGridLines="0" topLeftCell="A79" zoomScale="80" zoomScaleNormal="80" workbookViewId="0">
      <pane xSplit="2" topLeftCell="C1" activePane="topRight" state="frozen"/>
      <selection pane="topRight" activeCell="J103" sqref="J103"/>
    </sheetView>
  </sheetViews>
  <sheetFormatPr defaultRowHeight="14.25" x14ac:dyDescent="0.2"/>
  <cols>
    <col min="1" max="1" width="51.125" style="93" customWidth="1"/>
    <col min="2" max="2" width="15.5" style="93" customWidth="1"/>
    <col min="3" max="4" width="15.625" style="93" customWidth="1"/>
    <col min="5" max="5" width="20.375" style="93" customWidth="1"/>
    <col min="6" max="6" width="17.375" style="93" customWidth="1"/>
    <col min="7" max="7" width="16.5" style="93" customWidth="1"/>
    <col min="8" max="9" width="15.25" style="93" customWidth="1"/>
    <col min="10" max="10" width="8.5" style="93" customWidth="1"/>
    <col min="11" max="11" width="74" style="93" customWidth="1"/>
    <col min="12" max="1025" width="9" style="93" customWidth="1"/>
  </cols>
  <sheetData>
    <row r="1" spans="1:11" s="96" customFormat="1" ht="20.25" customHeight="1" x14ac:dyDescent="0.2">
      <c r="A1" s="94" t="s">
        <v>110</v>
      </c>
      <c r="B1" s="94"/>
      <c r="C1" s="94"/>
      <c r="D1" s="94"/>
      <c r="E1" s="94"/>
      <c r="F1" s="94"/>
      <c r="G1" s="94"/>
      <c r="H1" s="94"/>
      <c r="I1" s="95" t="s">
        <v>111</v>
      </c>
      <c r="J1" s="95"/>
      <c r="K1" s="95"/>
    </row>
    <row r="2" spans="1:11" ht="52.5" customHeight="1" x14ac:dyDescent="0.2">
      <c r="A2" s="97" t="s">
        <v>112</v>
      </c>
      <c r="B2" s="98" t="s">
        <v>113</v>
      </c>
      <c r="C2" s="98" t="s">
        <v>114</v>
      </c>
      <c r="D2" s="98" t="s">
        <v>115</v>
      </c>
      <c r="E2" s="98" t="s">
        <v>116</v>
      </c>
      <c r="F2" s="99" t="s">
        <v>117</v>
      </c>
      <c r="G2" s="100" t="s">
        <v>118</v>
      </c>
      <c r="H2" s="101" t="s">
        <v>119</v>
      </c>
      <c r="I2" s="102" t="s">
        <v>120</v>
      </c>
      <c r="J2" s="102"/>
      <c r="K2" s="102"/>
    </row>
    <row r="3" spans="1:11" ht="15" customHeight="1" x14ac:dyDescent="0.2">
      <c r="A3" s="103" t="s">
        <v>121</v>
      </c>
      <c r="B3" s="104" t="s">
        <v>122</v>
      </c>
      <c r="C3" s="105">
        <v>0.31</v>
      </c>
      <c r="D3" s="106"/>
      <c r="E3" s="106"/>
      <c r="F3" s="107">
        <f t="shared" ref="F3:F36" si="0">(D3+E3)/2</f>
        <v>0</v>
      </c>
      <c r="G3" s="108">
        <f t="shared" ref="G3:G36" si="1">C3*F3</f>
        <v>0</v>
      </c>
      <c r="H3" s="109" t="s">
        <v>123</v>
      </c>
      <c r="I3" s="102" t="s">
        <v>124</v>
      </c>
      <c r="J3" s="102"/>
      <c r="K3" s="102"/>
    </row>
    <row r="4" spans="1:11" ht="15" customHeight="1" x14ac:dyDescent="0.2">
      <c r="A4" s="103" t="s">
        <v>125</v>
      </c>
      <c r="B4" s="104" t="s">
        <v>122</v>
      </c>
      <c r="C4" s="105">
        <v>4.74</v>
      </c>
      <c r="D4" s="106"/>
      <c r="E4" s="106"/>
      <c r="F4" s="107">
        <f t="shared" si="0"/>
        <v>0</v>
      </c>
      <c r="G4" s="108">
        <f t="shared" si="1"/>
        <v>0</v>
      </c>
      <c r="H4" s="110" t="s">
        <v>126</v>
      </c>
      <c r="I4" s="102" t="s">
        <v>127</v>
      </c>
      <c r="J4" s="102"/>
      <c r="K4" s="102"/>
    </row>
    <row r="5" spans="1:11" ht="15" customHeight="1" x14ac:dyDescent="0.2">
      <c r="A5" s="103" t="s">
        <v>128</v>
      </c>
      <c r="B5" s="104" t="s">
        <v>129</v>
      </c>
      <c r="C5" s="105">
        <v>2.02</v>
      </c>
      <c r="D5" s="106"/>
      <c r="E5" s="106"/>
      <c r="F5" s="107">
        <f t="shared" si="0"/>
        <v>0</v>
      </c>
      <c r="G5" s="108">
        <f t="shared" si="1"/>
        <v>0</v>
      </c>
      <c r="H5" s="110" t="s">
        <v>130</v>
      </c>
      <c r="I5" s="102" t="s">
        <v>131</v>
      </c>
      <c r="J5" s="111"/>
      <c r="K5" s="112"/>
    </row>
    <row r="6" spans="1:11" ht="15" customHeight="1" x14ac:dyDescent="0.2">
      <c r="A6" s="103" t="s">
        <v>132</v>
      </c>
      <c r="B6" s="104" t="s">
        <v>122</v>
      </c>
      <c r="C6" s="105">
        <v>2.52</v>
      </c>
      <c r="D6" s="106"/>
      <c r="E6" s="106"/>
      <c r="F6" s="107">
        <f t="shared" si="0"/>
        <v>0</v>
      </c>
      <c r="G6" s="108">
        <f t="shared" si="1"/>
        <v>0</v>
      </c>
      <c r="H6" s="110" t="s">
        <v>130</v>
      </c>
      <c r="I6" s="113" t="s">
        <v>133</v>
      </c>
      <c r="J6" s="113"/>
      <c r="K6" s="113"/>
    </row>
    <row r="7" spans="1:11" ht="15" customHeight="1" x14ac:dyDescent="0.2">
      <c r="A7" s="103" t="s">
        <v>134</v>
      </c>
      <c r="B7" s="104" t="s">
        <v>135</v>
      </c>
      <c r="C7" s="105">
        <v>0.3</v>
      </c>
      <c r="D7" s="106"/>
      <c r="E7" s="106"/>
      <c r="F7" s="107">
        <f t="shared" si="0"/>
        <v>0</v>
      </c>
      <c r="G7" s="108">
        <f t="shared" si="1"/>
        <v>0</v>
      </c>
      <c r="H7" s="110" t="s">
        <v>136</v>
      </c>
    </row>
    <row r="8" spans="1:11" ht="15" customHeight="1" x14ac:dyDescent="0.2">
      <c r="A8" s="103" t="s">
        <v>137</v>
      </c>
      <c r="B8" s="104" t="s">
        <v>135</v>
      </c>
      <c r="C8" s="105">
        <v>1.35</v>
      </c>
      <c r="D8" s="106"/>
      <c r="E8" s="106"/>
      <c r="F8" s="107">
        <f t="shared" si="0"/>
        <v>0</v>
      </c>
      <c r="G8" s="108">
        <f t="shared" si="1"/>
        <v>0</v>
      </c>
      <c r="H8" s="110" t="s">
        <v>138</v>
      </c>
    </row>
    <row r="9" spans="1:11" ht="15" customHeight="1" x14ac:dyDescent="0.2">
      <c r="A9" s="103" t="s">
        <v>139</v>
      </c>
      <c r="B9" s="104" t="s">
        <v>135</v>
      </c>
      <c r="C9" s="105">
        <v>0.2</v>
      </c>
      <c r="D9" s="106"/>
      <c r="E9" s="106"/>
      <c r="F9" s="107">
        <f t="shared" si="0"/>
        <v>0</v>
      </c>
      <c r="G9" s="108">
        <f t="shared" si="1"/>
        <v>0</v>
      </c>
      <c r="H9" s="110" t="s">
        <v>140</v>
      </c>
    </row>
    <row r="10" spans="1:11" ht="15" customHeight="1" x14ac:dyDescent="0.2">
      <c r="A10" s="103" t="s">
        <v>141</v>
      </c>
      <c r="B10" s="104" t="s">
        <v>135</v>
      </c>
      <c r="C10" s="105">
        <v>0.5</v>
      </c>
      <c r="D10" s="106"/>
      <c r="E10" s="106"/>
      <c r="F10" s="107">
        <f t="shared" si="0"/>
        <v>0</v>
      </c>
      <c r="G10" s="108">
        <f t="shared" si="1"/>
        <v>0</v>
      </c>
      <c r="H10" s="110" t="s">
        <v>142</v>
      </c>
    </row>
    <row r="11" spans="1:11" ht="15" customHeight="1" x14ac:dyDescent="0.2">
      <c r="A11" s="103" t="s">
        <v>143</v>
      </c>
      <c r="B11" s="104" t="s">
        <v>129</v>
      </c>
      <c r="C11" s="105">
        <v>1.43</v>
      </c>
      <c r="D11" s="106"/>
      <c r="E11" s="106"/>
      <c r="F11" s="107">
        <f t="shared" si="0"/>
        <v>0</v>
      </c>
      <c r="G11" s="108">
        <f t="shared" si="1"/>
        <v>0</v>
      </c>
      <c r="H11" s="110" t="s">
        <v>144</v>
      </c>
    </row>
    <row r="12" spans="1:11" ht="15" customHeight="1" x14ac:dyDescent="0.2">
      <c r="A12" s="103" t="s">
        <v>145</v>
      </c>
      <c r="B12" s="104" t="s">
        <v>146</v>
      </c>
      <c r="C12" s="105">
        <v>1.0900000000000001</v>
      </c>
      <c r="D12" s="106"/>
      <c r="E12" s="106"/>
      <c r="F12" s="107">
        <f t="shared" si="0"/>
        <v>0</v>
      </c>
      <c r="G12" s="108">
        <f t="shared" si="1"/>
        <v>0</v>
      </c>
      <c r="H12" s="110" t="s">
        <v>147</v>
      </c>
    </row>
    <row r="13" spans="1:11" ht="15" customHeight="1" x14ac:dyDescent="0.2">
      <c r="A13" s="103" t="s">
        <v>148</v>
      </c>
      <c r="B13" s="104" t="s">
        <v>146</v>
      </c>
      <c r="C13" s="105">
        <v>1.27</v>
      </c>
      <c r="D13" s="106"/>
      <c r="E13" s="106"/>
      <c r="F13" s="107">
        <f t="shared" si="0"/>
        <v>0</v>
      </c>
      <c r="G13" s="108">
        <f t="shared" si="1"/>
        <v>0</v>
      </c>
      <c r="H13" s="110" t="s">
        <v>149</v>
      </c>
    </row>
    <row r="14" spans="1:11" ht="15" customHeight="1" x14ac:dyDescent="0.2">
      <c r="A14" s="103" t="s">
        <v>150</v>
      </c>
      <c r="B14" s="104" t="s">
        <v>146</v>
      </c>
      <c r="C14" s="105">
        <v>2.2200000000000002</v>
      </c>
      <c r="D14" s="106"/>
      <c r="E14" s="106"/>
      <c r="F14" s="107">
        <f t="shared" si="0"/>
        <v>0</v>
      </c>
      <c r="G14" s="108">
        <f t="shared" si="1"/>
        <v>0</v>
      </c>
      <c r="H14" s="110" t="s">
        <v>138</v>
      </c>
    </row>
    <row r="15" spans="1:11" ht="15" customHeight="1" x14ac:dyDescent="0.2">
      <c r="A15" s="103" t="s">
        <v>151</v>
      </c>
      <c r="B15" s="104" t="s">
        <v>146</v>
      </c>
      <c r="C15" s="105">
        <v>2.41</v>
      </c>
      <c r="D15" s="106"/>
      <c r="E15" s="106"/>
      <c r="F15" s="107">
        <f t="shared" si="0"/>
        <v>0</v>
      </c>
      <c r="G15" s="108">
        <f t="shared" si="1"/>
        <v>0</v>
      </c>
      <c r="H15" s="110" t="s">
        <v>152</v>
      </c>
    </row>
    <row r="16" spans="1:11" ht="15" customHeight="1" x14ac:dyDescent="0.2">
      <c r="A16" s="103" t="s">
        <v>153</v>
      </c>
      <c r="B16" s="104" t="s">
        <v>146</v>
      </c>
      <c r="C16" s="105">
        <v>0.25</v>
      </c>
      <c r="D16" s="106"/>
      <c r="E16" s="106"/>
      <c r="F16" s="107">
        <f t="shared" si="0"/>
        <v>0</v>
      </c>
      <c r="G16" s="108">
        <f t="shared" si="1"/>
        <v>0</v>
      </c>
      <c r="H16" s="110" t="s">
        <v>154</v>
      </c>
    </row>
    <row r="17" spans="1:8" ht="15" customHeight="1" x14ac:dyDescent="0.2">
      <c r="A17" s="103" t="s">
        <v>155</v>
      </c>
      <c r="B17" s="104" t="s">
        <v>156</v>
      </c>
      <c r="C17" s="105">
        <v>0.65</v>
      </c>
      <c r="D17" s="106"/>
      <c r="E17" s="106"/>
      <c r="F17" s="107">
        <f t="shared" si="0"/>
        <v>0</v>
      </c>
      <c r="G17" s="108">
        <f t="shared" si="1"/>
        <v>0</v>
      </c>
      <c r="H17" s="110" t="s">
        <v>144</v>
      </c>
    </row>
    <row r="18" spans="1:8" ht="15" customHeight="1" x14ac:dyDescent="0.2">
      <c r="A18" s="103" t="s">
        <v>157</v>
      </c>
      <c r="B18" s="104" t="s">
        <v>129</v>
      </c>
      <c r="C18" s="105">
        <v>0.22</v>
      </c>
      <c r="D18" s="106"/>
      <c r="E18" s="106"/>
      <c r="F18" s="107">
        <f t="shared" si="0"/>
        <v>0</v>
      </c>
      <c r="G18" s="108">
        <f t="shared" si="1"/>
        <v>0</v>
      </c>
      <c r="H18" s="110" t="s">
        <v>158</v>
      </c>
    </row>
    <row r="19" spans="1:8" ht="15" customHeight="1" x14ac:dyDescent="0.2">
      <c r="A19" s="103" t="s">
        <v>159</v>
      </c>
      <c r="B19" s="104" t="s">
        <v>160</v>
      </c>
      <c r="C19" s="105">
        <v>1.61</v>
      </c>
      <c r="D19" s="106"/>
      <c r="E19" s="106"/>
      <c r="F19" s="107">
        <f t="shared" si="0"/>
        <v>0</v>
      </c>
      <c r="G19" s="108">
        <f t="shared" si="1"/>
        <v>0</v>
      </c>
      <c r="H19" s="110" t="s">
        <v>161</v>
      </c>
    </row>
    <row r="20" spans="1:8" ht="15" customHeight="1" x14ac:dyDescent="0.2">
      <c r="A20" s="103" t="s">
        <v>162</v>
      </c>
      <c r="B20" s="104" t="s">
        <v>129</v>
      </c>
      <c r="C20" s="105">
        <v>2.2000000000000002</v>
      </c>
      <c r="D20" s="106"/>
      <c r="E20" s="106"/>
      <c r="F20" s="107">
        <f t="shared" si="0"/>
        <v>0</v>
      </c>
      <c r="G20" s="108">
        <f t="shared" si="1"/>
        <v>0</v>
      </c>
      <c r="H20" s="110" t="s">
        <v>142</v>
      </c>
    </row>
    <row r="21" spans="1:8" ht="15" customHeight="1" x14ac:dyDescent="0.2">
      <c r="A21" s="103" t="s">
        <v>163</v>
      </c>
      <c r="B21" s="104" t="s">
        <v>164</v>
      </c>
      <c r="C21" s="105">
        <v>0.3</v>
      </c>
      <c r="D21" s="106"/>
      <c r="E21" s="106"/>
      <c r="F21" s="107">
        <f t="shared" si="0"/>
        <v>0</v>
      </c>
      <c r="G21" s="108">
        <f t="shared" si="1"/>
        <v>0</v>
      </c>
      <c r="H21" s="110" t="s">
        <v>130</v>
      </c>
    </row>
    <row r="22" spans="1:8" ht="15" customHeight="1" x14ac:dyDescent="0.2">
      <c r="A22" s="103" t="s">
        <v>165</v>
      </c>
      <c r="B22" s="104" t="s">
        <v>166</v>
      </c>
      <c r="C22" s="105">
        <v>2.2999999999999998</v>
      </c>
      <c r="D22" s="106"/>
      <c r="E22" s="106"/>
      <c r="F22" s="107">
        <f t="shared" si="0"/>
        <v>0</v>
      </c>
      <c r="G22" s="108">
        <f t="shared" si="1"/>
        <v>0</v>
      </c>
      <c r="H22" s="110" t="s">
        <v>142</v>
      </c>
    </row>
    <row r="23" spans="1:8" ht="15" customHeight="1" x14ac:dyDescent="0.2">
      <c r="A23" s="103" t="s">
        <v>167</v>
      </c>
      <c r="B23" s="104" t="s">
        <v>146</v>
      </c>
      <c r="C23" s="105">
        <v>1.48</v>
      </c>
      <c r="D23" s="106"/>
      <c r="E23" s="106"/>
      <c r="F23" s="107">
        <f t="shared" si="0"/>
        <v>0</v>
      </c>
      <c r="G23" s="108">
        <f t="shared" si="1"/>
        <v>0</v>
      </c>
      <c r="H23" s="110" t="s">
        <v>144</v>
      </c>
    </row>
    <row r="24" spans="1:8" ht="15" customHeight="1" x14ac:dyDescent="0.2">
      <c r="A24" s="103" t="s">
        <v>168</v>
      </c>
      <c r="B24" s="104" t="s">
        <v>146</v>
      </c>
      <c r="C24" s="105">
        <v>2.58</v>
      </c>
      <c r="D24" s="106"/>
      <c r="E24" s="106"/>
      <c r="F24" s="107">
        <f t="shared" si="0"/>
        <v>0</v>
      </c>
      <c r="G24" s="108">
        <f t="shared" si="1"/>
        <v>0</v>
      </c>
      <c r="H24" s="110" t="s">
        <v>142</v>
      </c>
    </row>
    <row r="25" spans="1:8" ht="15" customHeight="1" x14ac:dyDescent="0.2">
      <c r="A25" s="103" t="s">
        <v>169</v>
      </c>
      <c r="B25" s="104" t="s">
        <v>170</v>
      </c>
      <c r="C25" s="105">
        <v>0.62</v>
      </c>
      <c r="D25" s="106"/>
      <c r="E25" s="106"/>
      <c r="F25" s="107">
        <f t="shared" si="0"/>
        <v>0</v>
      </c>
      <c r="G25" s="108">
        <f t="shared" si="1"/>
        <v>0</v>
      </c>
      <c r="H25" s="110" t="s">
        <v>144</v>
      </c>
    </row>
    <row r="26" spans="1:8" ht="15" customHeight="1" x14ac:dyDescent="0.2">
      <c r="A26" s="103" t="s">
        <v>171</v>
      </c>
      <c r="B26" s="104" t="s">
        <v>172</v>
      </c>
      <c r="C26" s="105">
        <v>2.41</v>
      </c>
      <c r="D26" s="106"/>
      <c r="E26" s="106"/>
      <c r="F26" s="107">
        <f t="shared" si="0"/>
        <v>0</v>
      </c>
      <c r="G26" s="108">
        <f t="shared" si="1"/>
        <v>0</v>
      </c>
      <c r="H26" s="110" t="s">
        <v>144</v>
      </c>
    </row>
    <row r="27" spans="1:8" ht="15" customHeight="1" x14ac:dyDescent="0.2">
      <c r="A27" s="103" t="s">
        <v>173</v>
      </c>
      <c r="B27" s="104" t="s">
        <v>174</v>
      </c>
      <c r="C27" s="105">
        <v>5.88</v>
      </c>
      <c r="D27" s="106"/>
      <c r="E27" s="106"/>
      <c r="F27" s="107">
        <f t="shared" si="0"/>
        <v>0</v>
      </c>
      <c r="G27" s="108">
        <f t="shared" si="1"/>
        <v>0</v>
      </c>
      <c r="H27" s="110" t="s">
        <v>144</v>
      </c>
    </row>
    <row r="28" spans="1:8" ht="15" customHeight="1" x14ac:dyDescent="0.2">
      <c r="A28" s="103" t="s">
        <v>175</v>
      </c>
      <c r="B28" s="104" t="s">
        <v>176</v>
      </c>
      <c r="C28" s="105">
        <v>2.75</v>
      </c>
      <c r="D28" s="106"/>
      <c r="E28" s="106"/>
      <c r="F28" s="107">
        <f t="shared" si="0"/>
        <v>0</v>
      </c>
      <c r="G28" s="108">
        <f t="shared" si="1"/>
        <v>0</v>
      </c>
      <c r="H28" s="110" t="s">
        <v>144</v>
      </c>
    </row>
    <row r="29" spans="1:8" ht="15" customHeight="1" x14ac:dyDescent="0.2">
      <c r="A29" s="103" t="s">
        <v>177</v>
      </c>
      <c r="B29" s="104" t="s">
        <v>135</v>
      </c>
      <c r="C29" s="105">
        <v>0.67</v>
      </c>
      <c r="D29" s="106"/>
      <c r="E29" s="106"/>
      <c r="F29" s="107">
        <f t="shared" si="0"/>
        <v>0</v>
      </c>
      <c r="G29" s="108">
        <f t="shared" si="1"/>
        <v>0</v>
      </c>
      <c r="H29" s="110" t="s">
        <v>142</v>
      </c>
    </row>
    <row r="30" spans="1:8" ht="15" customHeight="1" x14ac:dyDescent="0.2">
      <c r="A30" s="103" t="s">
        <v>178</v>
      </c>
      <c r="B30" s="104" t="s">
        <v>146</v>
      </c>
      <c r="C30" s="105">
        <v>1.2</v>
      </c>
      <c r="D30" s="106"/>
      <c r="E30" s="106"/>
      <c r="F30" s="107">
        <f t="shared" si="0"/>
        <v>0</v>
      </c>
      <c r="G30" s="108">
        <f t="shared" si="1"/>
        <v>0</v>
      </c>
      <c r="H30" s="110" t="s">
        <v>142</v>
      </c>
    </row>
    <row r="31" spans="1:8" ht="15" customHeight="1" x14ac:dyDescent="0.2">
      <c r="A31" s="103" t="s">
        <v>179</v>
      </c>
      <c r="B31" s="104" t="s">
        <v>180</v>
      </c>
      <c r="C31" s="105">
        <v>0.79</v>
      </c>
      <c r="D31" s="106"/>
      <c r="E31" s="106"/>
      <c r="F31" s="107">
        <f t="shared" si="0"/>
        <v>0</v>
      </c>
      <c r="G31" s="108">
        <f t="shared" si="1"/>
        <v>0</v>
      </c>
      <c r="H31" s="110" t="s">
        <v>142</v>
      </c>
    </row>
    <row r="32" spans="1:8" ht="15" customHeight="1" x14ac:dyDescent="0.2">
      <c r="A32" s="103" t="s">
        <v>181</v>
      </c>
      <c r="B32" s="104" t="s">
        <v>135</v>
      </c>
      <c r="C32" s="105">
        <v>0.77</v>
      </c>
      <c r="D32" s="106"/>
      <c r="E32" s="106"/>
      <c r="F32" s="107">
        <f t="shared" si="0"/>
        <v>0</v>
      </c>
      <c r="G32" s="108">
        <f t="shared" si="1"/>
        <v>0</v>
      </c>
      <c r="H32" s="110" t="s">
        <v>144</v>
      </c>
    </row>
    <row r="33" spans="1:8" ht="15" customHeight="1" x14ac:dyDescent="0.2">
      <c r="A33" s="103" t="s">
        <v>182</v>
      </c>
      <c r="B33" s="104" t="s">
        <v>146</v>
      </c>
      <c r="C33" s="105">
        <v>1.53</v>
      </c>
      <c r="D33" s="106"/>
      <c r="E33" s="106"/>
      <c r="F33" s="107">
        <f t="shared" si="0"/>
        <v>0</v>
      </c>
      <c r="G33" s="108">
        <f t="shared" si="1"/>
        <v>0</v>
      </c>
      <c r="H33" s="110" t="s">
        <v>183</v>
      </c>
    </row>
    <row r="34" spans="1:8" ht="15" customHeight="1" x14ac:dyDescent="0.2">
      <c r="A34" s="103" t="s">
        <v>184</v>
      </c>
      <c r="B34" s="104" t="s">
        <v>185</v>
      </c>
      <c r="C34" s="105">
        <v>0.68</v>
      </c>
      <c r="D34" s="106"/>
      <c r="E34" s="106"/>
      <c r="F34" s="107">
        <f t="shared" si="0"/>
        <v>0</v>
      </c>
      <c r="G34" s="108">
        <f t="shared" si="1"/>
        <v>0</v>
      </c>
      <c r="H34" s="110" t="s">
        <v>186</v>
      </c>
    </row>
    <row r="35" spans="1:8" ht="15" customHeight="1" x14ac:dyDescent="0.2">
      <c r="A35" s="103" t="s">
        <v>187</v>
      </c>
      <c r="B35" s="104" t="s">
        <v>185</v>
      </c>
      <c r="C35" s="105">
        <v>0.65</v>
      </c>
      <c r="D35" s="106"/>
      <c r="E35" s="106"/>
      <c r="F35" s="107">
        <f t="shared" si="0"/>
        <v>0</v>
      </c>
      <c r="G35" s="108">
        <f t="shared" si="1"/>
        <v>0</v>
      </c>
      <c r="H35" s="110" t="s">
        <v>186</v>
      </c>
    </row>
    <row r="36" spans="1:8" ht="15" customHeight="1" x14ac:dyDescent="0.2">
      <c r="A36" s="114" t="s">
        <v>188</v>
      </c>
      <c r="B36" s="115" t="s">
        <v>185</v>
      </c>
      <c r="C36" s="116">
        <v>1.02</v>
      </c>
      <c r="D36" s="117"/>
      <c r="E36" s="117"/>
      <c r="F36" s="118">
        <f t="shared" si="0"/>
        <v>0</v>
      </c>
      <c r="G36" s="119">
        <f t="shared" si="1"/>
        <v>0</v>
      </c>
      <c r="H36" s="120" t="s">
        <v>142</v>
      </c>
    </row>
    <row r="37" spans="1:8" ht="20.25" customHeight="1" x14ac:dyDescent="0.2">
      <c r="A37" s="121" t="s">
        <v>189</v>
      </c>
      <c r="B37" s="122"/>
      <c r="C37" s="122"/>
      <c r="D37" s="122"/>
      <c r="E37" s="122"/>
      <c r="F37" s="122"/>
      <c r="G37" s="123">
        <f>SUM(G3:G36)</f>
        <v>0</v>
      </c>
      <c r="H37" s="124"/>
    </row>
    <row r="38" spans="1:8" ht="45.75" customHeight="1" x14ac:dyDescent="0.2">
      <c r="A38" s="97" t="s">
        <v>112</v>
      </c>
      <c r="B38" s="98" t="s">
        <v>113</v>
      </c>
      <c r="C38" s="98" t="s">
        <v>190</v>
      </c>
      <c r="D38" s="98" t="s">
        <v>115</v>
      </c>
      <c r="E38" s="98" t="s">
        <v>116</v>
      </c>
      <c r="F38" s="99" t="s">
        <v>117</v>
      </c>
      <c r="G38" s="125" t="s">
        <v>191</v>
      </c>
      <c r="H38" s="126" t="s">
        <v>119</v>
      </c>
    </row>
    <row r="39" spans="1:8" ht="15" customHeight="1" x14ac:dyDescent="0.2">
      <c r="A39" s="127" t="s">
        <v>192</v>
      </c>
      <c r="B39" s="128" t="s">
        <v>146</v>
      </c>
      <c r="C39" s="105">
        <v>3.19</v>
      </c>
      <c r="D39" s="129"/>
      <c r="E39" s="129"/>
      <c r="F39" s="107">
        <f t="shared" ref="F39:F57" si="2">(D39+E39)/2</f>
        <v>0</v>
      </c>
      <c r="G39" s="130">
        <f t="shared" ref="G39:G57" si="3">C39*F39/12</f>
        <v>0</v>
      </c>
      <c r="H39" s="131" t="s">
        <v>142</v>
      </c>
    </row>
    <row r="40" spans="1:8" ht="15" customHeight="1" x14ac:dyDescent="0.2">
      <c r="A40" s="132" t="s">
        <v>193</v>
      </c>
      <c r="B40" s="133" t="s">
        <v>146</v>
      </c>
      <c r="C40" s="105">
        <v>0.75</v>
      </c>
      <c r="D40" s="129"/>
      <c r="E40" s="129"/>
      <c r="F40" s="107">
        <f t="shared" si="2"/>
        <v>0</v>
      </c>
      <c r="G40" s="130">
        <f t="shared" si="3"/>
        <v>0</v>
      </c>
      <c r="H40" s="134" t="s">
        <v>144</v>
      </c>
    </row>
    <row r="41" spans="1:8" ht="15" customHeight="1" x14ac:dyDescent="0.2">
      <c r="A41" s="132" t="s">
        <v>194</v>
      </c>
      <c r="B41" s="133" t="s">
        <v>146</v>
      </c>
      <c r="C41" s="105">
        <v>0.75</v>
      </c>
      <c r="D41" s="129"/>
      <c r="E41" s="129"/>
      <c r="F41" s="107">
        <f t="shared" si="2"/>
        <v>0</v>
      </c>
      <c r="G41" s="130">
        <f t="shared" si="3"/>
        <v>0</v>
      </c>
      <c r="H41" s="134" t="s">
        <v>144</v>
      </c>
    </row>
    <row r="42" spans="1:8" ht="15" customHeight="1" x14ac:dyDescent="0.2">
      <c r="A42" s="132" t="s">
        <v>195</v>
      </c>
      <c r="B42" s="133" t="s">
        <v>146</v>
      </c>
      <c r="C42" s="105">
        <v>1.94</v>
      </c>
      <c r="D42" s="129"/>
      <c r="E42" s="129"/>
      <c r="F42" s="107">
        <f t="shared" si="2"/>
        <v>0</v>
      </c>
      <c r="G42" s="130">
        <f t="shared" si="3"/>
        <v>0</v>
      </c>
      <c r="H42" s="134" t="s">
        <v>142</v>
      </c>
    </row>
    <row r="43" spans="1:8" ht="15" customHeight="1" x14ac:dyDescent="0.2">
      <c r="A43" s="132" t="s">
        <v>196</v>
      </c>
      <c r="B43" s="133" t="s">
        <v>146</v>
      </c>
      <c r="C43" s="105">
        <v>2.85</v>
      </c>
      <c r="D43" s="129"/>
      <c r="E43" s="129"/>
      <c r="F43" s="107">
        <f t="shared" si="2"/>
        <v>0</v>
      </c>
      <c r="G43" s="130">
        <f t="shared" si="3"/>
        <v>0</v>
      </c>
      <c r="H43" s="134" t="s">
        <v>144</v>
      </c>
    </row>
    <row r="44" spans="1:8" ht="15" customHeight="1" x14ac:dyDescent="0.2">
      <c r="A44" s="132" t="s">
        <v>197</v>
      </c>
      <c r="B44" s="133" t="s">
        <v>146</v>
      </c>
      <c r="C44" s="105">
        <v>0.64</v>
      </c>
      <c r="D44" s="129"/>
      <c r="E44" s="129"/>
      <c r="F44" s="107">
        <f t="shared" si="2"/>
        <v>0</v>
      </c>
      <c r="G44" s="130">
        <f t="shared" si="3"/>
        <v>0</v>
      </c>
      <c r="H44" s="134" t="s">
        <v>142</v>
      </c>
    </row>
    <row r="45" spans="1:8" ht="15" customHeight="1" x14ac:dyDescent="0.2">
      <c r="A45" s="132" t="s">
        <v>198</v>
      </c>
      <c r="B45" s="133" t="s">
        <v>146</v>
      </c>
      <c r="C45" s="105">
        <v>1.6</v>
      </c>
      <c r="D45" s="129"/>
      <c r="E45" s="129"/>
      <c r="F45" s="107">
        <f t="shared" si="2"/>
        <v>0</v>
      </c>
      <c r="G45" s="130">
        <f t="shared" si="3"/>
        <v>0</v>
      </c>
      <c r="H45" s="134" t="s">
        <v>183</v>
      </c>
    </row>
    <row r="46" spans="1:8" ht="15" customHeight="1" x14ac:dyDescent="0.2">
      <c r="A46" s="132" t="s">
        <v>199</v>
      </c>
      <c r="B46" s="133" t="s">
        <v>146</v>
      </c>
      <c r="C46" s="105">
        <v>0.92</v>
      </c>
      <c r="D46" s="129"/>
      <c r="E46" s="129"/>
      <c r="F46" s="107">
        <f t="shared" si="2"/>
        <v>0</v>
      </c>
      <c r="G46" s="130">
        <f t="shared" si="3"/>
        <v>0</v>
      </c>
      <c r="H46" s="134" t="s">
        <v>142</v>
      </c>
    </row>
    <row r="47" spans="1:8" ht="15" customHeight="1" x14ac:dyDescent="0.2">
      <c r="A47" s="132" t="s">
        <v>200</v>
      </c>
      <c r="B47" s="133" t="s">
        <v>146</v>
      </c>
      <c r="C47" s="105">
        <v>1</v>
      </c>
      <c r="D47" s="129"/>
      <c r="E47" s="129"/>
      <c r="F47" s="107">
        <f t="shared" si="2"/>
        <v>0</v>
      </c>
      <c r="G47" s="130">
        <f t="shared" si="3"/>
        <v>0</v>
      </c>
      <c r="H47" s="134" t="s">
        <v>186</v>
      </c>
    </row>
    <row r="48" spans="1:8" ht="15" customHeight="1" x14ac:dyDescent="0.2">
      <c r="A48" s="132" t="s">
        <v>201</v>
      </c>
      <c r="B48" s="133" t="s">
        <v>146</v>
      </c>
      <c r="C48" s="105">
        <v>2.6</v>
      </c>
      <c r="D48" s="129"/>
      <c r="E48" s="129"/>
      <c r="F48" s="107">
        <f t="shared" si="2"/>
        <v>0</v>
      </c>
      <c r="G48" s="130">
        <f t="shared" si="3"/>
        <v>0</v>
      </c>
      <c r="H48" s="134" t="s">
        <v>186</v>
      </c>
    </row>
    <row r="49" spans="1:8" ht="15" customHeight="1" x14ac:dyDescent="0.25">
      <c r="A49" s="135" t="s">
        <v>202</v>
      </c>
      <c r="B49" s="136" t="s">
        <v>146</v>
      </c>
      <c r="C49" s="105">
        <v>4</v>
      </c>
      <c r="D49" s="129"/>
      <c r="E49" s="129"/>
      <c r="F49" s="107">
        <f t="shared" si="2"/>
        <v>0</v>
      </c>
      <c r="G49" s="130">
        <f t="shared" si="3"/>
        <v>0</v>
      </c>
      <c r="H49" s="137" t="s">
        <v>186</v>
      </c>
    </row>
    <row r="50" spans="1:8" ht="15" customHeight="1" x14ac:dyDescent="0.2">
      <c r="A50" s="132" t="s">
        <v>203</v>
      </c>
      <c r="B50" s="133" t="s">
        <v>146</v>
      </c>
      <c r="C50" s="105">
        <v>1</v>
      </c>
      <c r="D50" s="129"/>
      <c r="E50" s="129"/>
      <c r="F50" s="107">
        <f t="shared" si="2"/>
        <v>0</v>
      </c>
      <c r="G50" s="130">
        <f t="shared" si="3"/>
        <v>0</v>
      </c>
      <c r="H50" s="134" t="s">
        <v>142</v>
      </c>
    </row>
    <row r="51" spans="1:8" ht="15" customHeight="1" x14ac:dyDescent="0.2">
      <c r="A51" s="132" t="s">
        <v>204</v>
      </c>
      <c r="B51" s="133" t="s">
        <v>146</v>
      </c>
      <c r="C51" s="105">
        <v>1.24</v>
      </c>
      <c r="D51" s="129"/>
      <c r="E51" s="129"/>
      <c r="F51" s="107">
        <f t="shared" si="2"/>
        <v>0</v>
      </c>
      <c r="G51" s="130">
        <f t="shared" si="3"/>
        <v>0</v>
      </c>
      <c r="H51" s="134" t="s">
        <v>161</v>
      </c>
    </row>
    <row r="52" spans="1:8" ht="15" customHeight="1" x14ac:dyDescent="0.2">
      <c r="A52" s="132" t="s">
        <v>205</v>
      </c>
      <c r="B52" s="133" t="s">
        <v>146</v>
      </c>
      <c r="C52" s="105">
        <v>3.85</v>
      </c>
      <c r="D52" s="129"/>
      <c r="E52" s="129"/>
      <c r="F52" s="107">
        <f t="shared" si="2"/>
        <v>0</v>
      </c>
      <c r="G52" s="130">
        <f t="shared" si="3"/>
        <v>0</v>
      </c>
      <c r="H52" s="134" t="s">
        <v>186</v>
      </c>
    </row>
    <row r="53" spans="1:8" ht="15" customHeight="1" x14ac:dyDescent="0.2">
      <c r="A53" s="132" t="s">
        <v>206</v>
      </c>
      <c r="B53" s="133" t="s">
        <v>207</v>
      </c>
      <c r="C53" s="105">
        <v>0.64</v>
      </c>
      <c r="D53" s="129"/>
      <c r="E53" s="129"/>
      <c r="F53" s="107">
        <f t="shared" si="2"/>
        <v>0</v>
      </c>
      <c r="G53" s="130">
        <f t="shared" si="3"/>
        <v>0</v>
      </c>
      <c r="H53" s="134" t="s">
        <v>142</v>
      </c>
    </row>
    <row r="54" spans="1:8" ht="15" customHeight="1" x14ac:dyDescent="0.2">
      <c r="A54" s="132" t="s">
        <v>208</v>
      </c>
      <c r="B54" s="133" t="s">
        <v>146</v>
      </c>
      <c r="C54" s="105">
        <v>1.28</v>
      </c>
      <c r="D54" s="129"/>
      <c r="E54" s="129"/>
      <c r="F54" s="107">
        <f t="shared" si="2"/>
        <v>0</v>
      </c>
      <c r="G54" s="130">
        <f t="shared" si="3"/>
        <v>0</v>
      </c>
      <c r="H54" s="134" t="s">
        <v>209</v>
      </c>
    </row>
    <row r="55" spans="1:8" ht="15" customHeight="1" x14ac:dyDescent="0.2">
      <c r="A55" s="132" t="s">
        <v>210</v>
      </c>
      <c r="B55" s="133" t="s">
        <v>146</v>
      </c>
      <c r="C55" s="105">
        <v>0.99</v>
      </c>
      <c r="D55" s="129"/>
      <c r="E55" s="129"/>
      <c r="F55" s="107">
        <f t="shared" si="2"/>
        <v>0</v>
      </c>
      <c r="G55" s="130">
        <f t="shared" si="3"/>
        <v>0</v>
      </c>
      <c r="H55" s="134" t="s">
        <v>211</v>
      </c>
    </row>
    <row r="56" spans="1:8" ht="15" customHeight="1" x14ac:dyDescent="0.2">
      <c r="A56" s="132" t="s">
        <v>212</v>
      </c>
      <c r="B56" s="133" t="s">
        <v>146</v>
      </c>
      <c r="C56" s="105">
        <v>3.9</v>
      </c>
      <c r="D56" s="129"/>
      <c r="E56" s="129"/>
      <c r="F56" s="107">
        <f t="shared" si="2"/>
        <v>0</v>
      </c>
      <c r="G56" s="130">
        <f t="shared" si="3"/>
        <v>0</v>
      </c>
      <c r="H56" s="134" t="s">
        <v>213</v>
      </c>
    </row>
    <row r="57" spans="1:8" ht="15" customHeight="1" x14ac:dyDescent="0.2">
      <c r="A57" s="138" t="s">
        <v>214</v>
      </c>
      <c r="B57" s="139" t="s">
        <v>146</v>
      </c>
      <c r="C57" s="105">
        <v>1.48</v>
      </c>
      <c r="D57" s="140"/>
      <c r="E57" s="140"/>
      <c r="F57" s="118">
        <f t="shared" si="2"/>
        <v>0</v>
      </c>
      <c r="G57" s="141">
        <f t="shared" si="3"/>
        <v>0</v>
      </c>
      <c r="H57" s="142" t="s">
        <v>142</v>
      </c>
    </row>
    <row r="58" spans="1:8" ht="20.25" customHeight="1" x14ac:dyDescent="0.2">
      <c r="A58" s="765" t="s">
        <v>215</v>
      </c>
      <c r="B58" s="765"/>
      <c r="C58" s="765"/>
      <c r="D58" s="765"/>
      <c r="E58" s="765"/>
      <c r="F58" s="765"/>
      <c r="G58" s="143">
        <f>SUM(G39:G57)</f>
        <v>0</v>
      </c>
      <c r="H58" s="144"/>
    </row>
    <row r="59" spans="1:8" ht="20.25" customHeight="1" x14ac:dyDescent="0.2">
      <c r="A59" s="765" t="s">
        <v>216</v>
      </c>
      <c r="B59" s="765"/>
      <c r="C59" s="765"/>
      <c r="D59" s="765"/>
      <c r="E59" s="765"/>
      <c r="F59" s="765"/>
      <c r="G59" s="145">
        <f>G58+G37</f>
        <v>0</v>
      </c>
      <c r="H59" s="146"/>
    </row>
    <row r="60" spans="1:8" x14ac:dyDescent="0.2">
      <c r="A60" s="147"/>
      <c r="B60" s="148"/>
      <c r="C60" s="148"/>
      <c r="D60" s="148"/>
      <c r="E60" s="148"/>
      <c r="F60" s="148"/>
      <c r="G60" s="148"/>
      <c r="H60" s="149"/>
    </row>
    <row r="61" spans="1:8" ht="20.25" customHeight="1" x14ac:dyDescent="0.2">
      <c r="A61" s="766" t="s">
        <v>217</v>
      </c>
      <c r="B61" s="766"/>
      <c r="C61" s="766"/>
      <c r="D61" s="766"/>
      <c r="E61" s="766"/>
      <c r="F61" s="766"/>
      <c r="G61" s="766"/>
      <c r="H61" s="766"/>
    </row>
    <row r="62" spans="1:8" ht="54.75" customHeight="1" x14ac:dyDescent="0.2">
      <c r="A62" s="150" t="s">
        <v>112</v>
      </c>
      <c r="B62" s="151" t="s">
        <v>113</v>
      </c>
      <c r="C62" s="151" t="s">
        <v>218</v>
      </c>
      <c r="D62" s="98" t="s">
        <v>219</v>
      </c>
      <c r="E62" s="98" t="s">
        <v>116</v>
      </c>
      <c r="F62" s="99" t="s">
        <v>117</v>
      </c>
      <c r="G62" s="100" t="s">
        <v>220</v>
      </c>
      <c r="H62" s="152" t="s">
        <v>119</v>
      </c>
    </row>
    <row r="63" spans="1:8" ht="15" customHeight="1" x14ac:dyDescent="0.2">
      <c r="A63" s="135" t="s">
        <v>221</v>
      </c>
      <c r="B63" s="133" t="s">
        <v>122</v>
      </c>
      <c r="C63" s="153">
        <f>0.1*22</f>
        <v>2.2000000000000002</v>
      </c>
      <c r="D63" s="129"/>
      <c r="E63" s="129"/>
      <c r="F63" s="107">
        <f>(D63+E63)/2</f>
        <v>0</v>
      </c>
      <c r="G63" s="108">
        <f>C63*F63</f>
        <v>0</v>
      </c>
      <c r="H63" s="110" t="s">
        <v>222</v>
      </c>
    </row>
    <row r="64" spans="1:8" ht="15" customHeight="1" x14ac:dyDescent="0.2">
      <c r="A64" s="154" t="s">
        <v>132</v>
      </c>
      <c r="B64" s="133" t="s">
        <v>122</v>
      </c>
      <c r="C64" s="153">
        <f>0.5*22</f>
        <v>11</v>
      </c>
      <c r="D64" s="129"/>
      <c r="E64" s="129"/>
      <c r="F64" s="107">
        <f>(D64+E64)/2</f>
        <v>0</v>
      </c>
      <c r="G64" s="108">
        <f>C64*F64</f>
        <v>0</v>
      </c>
      <c r="H64" s="110" t="s">
        <v>130</v>
      </c>
    </row>
    <row r="65" spans="1:10" ht="15" customHeight="1" x14ac:dyDescent="0.2">
      <c r="A65" s="155" t="s">
        <v>151</v>
      </c>
      <c r="B65" s="139" t="s">
        <v>146</v>
      </c>
      <c r="C65" s="153">
        <v>4</v>
      </c>
      <c r="D65" s="129"/>
      <c r="E65" s="129"/>
      <c r="F65" s="107">
        <f>(D65+E65)/2</f>
        <v>0</v>
      </c>
      <c r="G65" s="108">
        <f>C65*F65</f>
        <v>0</v>
      </c>
      <c r="H65" s="120" t="s">
        <v>223</v>
      </c>
    </row>
    <row r="66" spans="1:10" ht="15" customHeight="1" x14ac:dyDescent="0.2">
      <c r="A66" s="156" t="s">
        <v>224</v>
      </c>
      <c r="B66" s="133" t="s">
        <v>185</v>
      </c>
      <c r="C66" s="153">
        <f>4*2*22</f>
        <v>176</v>
      </c>
      <c r="D66" s="140"/>
      <c r="E66" s="140"/>
      <c r="F66" s="107">
        <f>(D66+E66)/2</f>
        <v>0</v>
      </c>
      <c r="G66" s="108">
        <f>C66*F66</f>
        <v>0</v>
      </c>
      <c r="H66" s="120" t="s">
        <v>225</v>
      </c>
    </row>
    <row r="67" spans="1:10" ht="35.25" customHeight="1" x14ac:dyDescent="0.2">
      <c r="A67" s="150" t="s">
        <v>112</v>
      </c>
      <c r="B67" s="151" t="s">
        <v>113</v>
      </c>
      <c r="C67" s="151" t="s">
        <v>226</v>
      </c>
      <c r="D67" s="151" t="s">
        <v>219</v>
      </c>
      <c r="E67" s="151" t="s">
        <v>116</v>
      </c>
      <c r="F67" s="157" t="s">
        <v>117</v>
      </c>
      <c r="G67" s="100" t="s">
        <v>227</v>
      </c>
      <c r="H67" s="152" t="s">
        <v>119</v>
      </c>
    </row>
    <row r="68" spans="1:10" ht="15" customHeight="1" x14ac:dyDescent="0.2">
      <c r="A68" s="127" t="s">
        <v>228</v>
      </c>
      <c r="B68" s="128" t="s">
        <v>146</v>
      </c>
      <c r="C68" s="153">
        <f>2*4</f>
        <v>8</v>
      </c>
      <c r="D68" s="129"/>
      <c r="E68" s="129"/>
      <c r="F68" s="107">
        <f>(D68+E68)/2</f>
        <v>0</v>
      </c>
      <c r="G68" s="141">
        <f>C68*F68/12</f>
        <v>0</v>
      </c>
      <c r="H68" s="158" t="s">
        <v>225</v>
      </c>
    </row>
    <row r="69" spans="1:10" ht="20.25" customHeight="1" x14ac:dyDescent="0.2">
      <c r="A69" s="767" t="s">
        <v>229</v>
      </c>
      <c r="B69" s="767"/>
      <c r="C69" s="767"/>
      <c r="D69" s="767"/>
      <c r="E69" s="767"/>
      <c r="F69" s="767"/>
      <c r="G69" s="159">
        <f>G63+G64+G65+G66+G68</f>
        <v>0</v>
      </c>
      <c r="H69" s="148"/>
    </row>
    <row r="70" spans="1:10" x14ac:dyDescent="0.2">
      <c r="A70" s="147"/>
      <c r="B70" s="148"/>
      <c r="C70" s="148"/>
      <c r="D70" s="148"/>
      <c r="E70" s="148"/>
      <c r="F70" s="148"/>
      <c r="G70" s="148"/>
      <c r="H70" s="148"/>
      <c r="I70" s="148"/>
      <c r="J70" s="148"/>
    </row>
    <row r="71" spans="1:10" x14ac:dyDescent="0.2">
      <c r="A71" s="148" t="s">
        <v>230</v>
      </c>
      <c r="B71" s="148"/>
      <c r="C71" s="148"/>
      <c r="D71" s="148"/>
      <c r="E71" s="160"/>
      <c r="F71" s="148"/>
      <c r="G71" s="148"/>
      <c r="H71" s="149"/>
      <c r="I71" s="149"/>
      <c r="J71" s="148"/>
    </row>
    <row r="72" spans="1:10" x14ac:dyDescent="0.2">
      <c r="A72" s="148"/>
      <c r="B72" s="148"/>
      <c r="C72" s="148"/>
      <c r="D72" s="148"/>
      <c r="E72" s="160"/>
      <c r="F72" s="148"/>
      <c r="G72" s="160"/>
      <c r="H72" s="149"/>
      <c r="I72" s="149"/>
      <c r="J72" s="148"/>
    </row>
    <row r="73" spans="1:10" x14ac:dyDescent="0.2">
      <c r="A73" s="148" t="s">
        <v>231</v>
      </c>
      <c r="B73" s="148"/>
      <c r="C73" s="148"/>
      <c r="D73" s="148"/>
      <c r="E73" s="148"/>
      <c r="F73" s="148"/>
      <c r="G73" s="148"/>
      <c r="H73" s="148"/>
      <c r="I73" s="148"/>
      <c r="J73" s="148"/>
    </row>
    <row r="74" spans="1:10" x14ac:dyDescent="0.2">
      <c r="A74" s="148" t="s">
        <v>232</v>
      </c>
      <c r="B74" s="148"/>
      <c r="C74" s="148"/>
      <c r="D74" s="148"/>
      <c r="E74" s="148"/>
      <c r="F74" s="148"/>
      <c r="G74" s="148"/>
      <c r="H74" s="160"/>
      <c r="I74" s="160"/>
      <c r="J74" s="148"/>
    </row>
    <row r="75" spans="1:10" x14ac:dyDescent="0.2">
      <c r="A75" s="148" t="s">
        <v>233</v>
      </c>
      <c r="B75" s="148"/>
      <c r="C75" s="148"/>
      <c r="D75" s="148"/>
      <c r="E75" s="148"/>
      <c r="F75" s="148"/>
      <c r="G75" s="148"/>
      <c r="H75" s="161"/>
      <c r="I75" s="161"/>
      <c r="J75" s="148"/>
    </row>
    <row r="76" spans="1:10" x14ac:dyDescent="0.2">
      <c r="A76" s="148" t="s">
        <v>234</v>
      </c>
      <c r="B76" s="148"/>
      <c r="C76" s="148"/>
      <c r="D76" s="148"/>
      <c r="E76" s="148"/>
      <c r="F76" s="148"/>
      <c r="G76" s="148"/>
      <c r="H76" s="160"/>
      <c r="I76" s="160"/>
      <c r="J76" s="148"/>
    </row>
    <row r="77" spans="1:10" x14ac:dyDescent="0.2">
      <c r="A77" s="148" t="s">
        <v>235</v>
      </c>
      <c r="B77" s="148"/>
      <c r="C77" s="148"/>
      <c r="D77" s="148"/>
      <c r="E77" s="148"/>
      <c r="F77" s="148"/>
      <c r="G77" s="148"/>
      <c r="H77" s="148"/>
      <c r="I77" s="148"/>
      <c r="J77" s="148"/>
    </row>
    <row r="78" spans="1:10" x14ac:dyDescent="0.2">
      <c r="A78" s="148" t="s">
        <v>236</v>
      </c>
      <c r="B78" s="148"/>
      <c r="C78" s="148"/>
      <c r="D78" s="148"/>
      <c r="E78" s="148"/>
      <c r="F78" s="148"/>
      <c r="G78" s="148"/>
      <c r="H78" s="148"/>
      <c r="I78" s="148"/>
      <c r="J78" s="148"/>
    </row>
    <row r="79" spans="1:10" x14ac:dyDescent="0.2">
      <c r="A79" s="148" t="s">
        <v>237</v>
      </c>
      <c r="B79" s="148"/>
      <c r="C79" s="148"/>
      <c r="D79" s="148"/>
      <c r="E79" s="148"/>
      <c r="F79" s="148"/>
      <c r="G79" s="148"/>
      <c r="H79" s="148"/>
      <c r="I79" s="148"/>
      <c r="J79" s="148"/>
    </row>
    <row r="80" spans="1:10" x14ac:dyDescent="0.2">
      <c r="A80" s="148" t="s">
        <v>238</v>
      </c>
      <c r="B80" s="148"/>
      <c r="C80" s="148"/>
      <c r="D80" s="148"/>
      <c r="E80" s="148"/>
      <c r="F80" s="148"/>
      <c r="G80" s="148"/>
      <c r="H80" s="148"/>
      <c r="I80" s="148"/>
      <c r="J80" s="148"/>
    </row>
    <row r="81" spans="1:10" x14ac:dyDescent="0.2">
      <c r="A81" s="148" t="s">
        <v>239</v>
      </c>
      <c r="B81" s="148"/>
      <c r="C81" s="148"/>
      <c r="D81" s="148"/>
      <c r="E81" s="148"/>
      <c r="F81" s="148"/>
      <c r="G81" s="148"/>
      <c r="H81" s="148"/>
      <c r="I81" s="148"/>
      <c r="J81" s="148"/>
    </row>
    <row r="82" spans="1:10" x14ac:dyDescent="0.2">
      <c r="A82" s="148" t="s">
        <v>240</v>
      </c>
      <c r="B82" s="148"/>
      <c r="C82" s="148"/>
      <c r="D82" s="148"/>
      <c r="E82" s="148"/>
      <c r="F82" s="148"/>
      <c r="G82" s="148"/>
      <c r="H82" s="148"/>
      <c r="I82" s="148"/>
      <c r="J82" s="148"/>
    </row>
    <row r="83" spans="1:10" x14ac:dyDescent="0.2">
      <c r="A83" s="147"/>
      <c r="B83" s="148"/>
      <c r="C83" s="148"/>
      <c r="D83" s="148"/>
      <c r="E83" s="148"/>
      <c r="F83" s="148"/>
      <c r="G83" s="148"/>
      <c r="H83" s="148"/>
      <c r="I83" s="148"/>
      <c r="J83" s="148"/>
    </row>
    <row r="84" spans="1:10" x14ac:dyDescent="0.2">
      <c r="A84" s="147"/>
      <c r="B84" s="148"/>
      <c r="C84" s="148"/>
      <c r="D84" s="148"/>
      <c r="E84" s="148"/>
      <c r="F84" s="148"/>
      <c r="G84" s="148"/>
      <c r="H84" s="148"/>
      <c r="I84" s="148"/>
      <c r="J84" s="148"/>
    </row>
    <row r="85" spans="1:10" ht="20.25" customHeight="1" x14ac:dyDescent="0.2">
      <c r="A85" s="162" t="s">
        <v>241</v>
      </c>
      <c r="B85" s="163"/>
      <c r="C85" s="163"/>
      <c r="D85" s="163"/>
      <c r="E85" s="163"/>
      <c r="F85" s="163"/>
      <c r="G85" s="163"/>
      <c r="H85" s="163"/>
      <c r="I85" s="164"/>
      <c r="J85" s="165"/>
    </row>
    <row r="86" spans="1:10" s="170" customFormat="1" ht="36" x14ac:dyDescent="0.2">
      <c r="A86" s="166" t="s">
        <v>112</v>
      </c>
      <c r="B86" s="167" t="s">
        <v>113</v>
      </c>
      <c r="C86" s="167" t="s">
        <v>242</v>
      </c>
      <c r="D86" s="167" t="s">
        <v>243</v>
      </c>
      <c r="E86" s="167" t="s">
        <v>219</v>
      </c>
      <c r="F86" s="168" t="s">
        <v>116</v>
      </c>
      <c r="G86" s="168" t="s">
        <v>117</v>
      </c>
      <c r="H86" s="169" t="s">
        <v>244</v>
      </c>
      <c r="I86" s="169" t="s">
        <v>245</v>
      </c>
    </row>
    <row r="87" spans="1:10" ht="15" customHeight="1" x14ac:dyDescent="0.2">
      <c r="A87" s="154" t="s">
        <v>246</v>
      </c>
      <c r="B87" s="128" t="s">
        <v>146</v>
      </c>
      <c r="C87" s="128">
        <v>16</v>
      </c>
      <c r="D87" s="128">
        <v>13</v>
      </c>
      <c r="E87" s="129"/>
      <c r="F87" s="171"/>
      <c r="G87" s="107">
        <f t="shared" ref="G87:G96" si="4">(E87+F87)/2</f>
        <v>0</v>
      </c>
      <c r="H87" s="108">
        <f t="shared" ref="H87:H96" si="5">(C87*G87)</f>
        <v>0</v>
      </c>
      <c r="I87" s="108">
        <f t="shared" ref="I87:I96" si="6">D87*G87</f>
        <v>0</v>
      </c>
    </row>
    <row r="88" spans="1:10" ht="15" customHeight="1" x14ac:dyDescent="0.2">
      <c r="A88" s="154" t="s">
        <v>247</v>
      </c>
      <c r="B88" s="133" t="s">
        <v>146</v>
      </c>
      <c r="C88" s="128">
        <v>16</v>
      </c>
      <c r="D88" s="128">
        <v>13</v>
      </c>
      <c r="E88" s="129"/>
      <c r="F88" s="171"/>
      <c r="G88" s="107">
        <f t="shared" si="4"/>
        <v>0</v>
      </c>
      <c r="H88" s="108">
        <f t="shared" si="5"/>
        <v>0</v>
      </c>
      <c r="I88" s="108">
        <f t="shared" si="6"/>
        <v>0</v>
      </c>
    </row>
    <row r="89" spans="1:10" ht="15" customHeight="1" x14ac:dyDescent="0.2">
      <c r="A89" s="154" t="s">
        <v>248</v>
      </c>
      <c r="B89" s="133" t="s">
        <v>146</v>
      </c>
      <c r="C89" s="128">
        <v>16</v>
      </c>
      <c r="D89" s="128">
        <v>13</v>
      </c>
      <c r="E89" s="129"/>
      <c r="F89" s="171"/>
      <c r="G89" s="107">
        <f t="shared" si="4"/>
        <v>0</v>
      </c>
      <c r="H89" s="108">
        <f t="shared" si="5"/>
        <v>0</v>
      </c>
      <c r="I89" s="108">
        <f t="shared" si="6"/>
        <v>0</v>
      </c>
    </row>
    <row r="90" spans="1:10" ht="15" customHeight="1" x14ac:dyDescent="0.2">
      <c r="A90" s="154" t="s">
        <v>249</v>
      </c>
      <c r="B90" s="133" t="s">
        <v>146</v>
      </c>
      <c r="C90" s="128">
        <v>16</v>
      </c>
      <c r="D90" s="128">
        <v>13</v>
      </c>
      <c r="E90" s="129"/>
      <c r="F90" s="171"/>
      <c r="G90" s="107">
        <f t="shared" si="4"/>
        <v>0</v>
      </c>
      <c r="H90" s="108">
        <f t="shared" si="5"/>
        <v>0</v>
      </c>
      <c r="I90" s="108">
        <f t="shared" si="6"/>
        <v>0</v>
      </c>
    </row>
    <row r="91" spans="1:10" ht="15" customHeight="1" x14ac:dyDescent="0.2">
      <c r="A91" s="154" t="s">
        <v>250</v>
      </c>
      <c r="B91" s="133" t="s">
        <v>146</v>
      </c>
      <c r="C91" s="128">
        <v>16</v>
      </c>
      <c r="D91" s="128">
        <v>13</v>
      </c>
      <c r="E91" s="129"/>
      <c r="F91" s="171"/>
      <c r="G91" s="107">
        <f t="shared" si="4"/>
        <v>0</v>
      </c>
      <c r="H91" s="108">
        <f t="shared" si="5"/>
        <v>0</v>
      </c>
      <c r="I91" s="108">
        <f t="shared" si="6"/>
        <v>0</v>
      </c>
    </row>
    <row r="92" spans="1:10" ht="15" customHeight="1" x14ac:dyDescent="0.2">
      <c r="A92" s="154" t="s">
        <v>251</v>
      </c>
      <c r="B92" s="133" t="s">
        <v>146</v>
      </c>
      <c r="C92" s="128">
        <v>16</v>
      </c>
      <c r="D92" s="128">
        <v>13</v>
      </c>
      <c r="E92" s="129"/>
      <c r="F92" s="171"/>
      <c r="G92" s="107">
        <f t="shared" si="4"/>
        <v>0</v>
      </c>
      <c r="H92" s="108">
        <f t="shared" si="5"/>
        <v>0</v>
      </c>
      <c r="I92" s="108">
        <f t="shared" si="6"/>
        <v>0</v>
      </c>
    </row>
    <row r="93" spans="1:10" ht="15" customHeight="1" x14ac:dyDescent="0.2">
      <c r="A93" s="154" t="s">
        <v>252</v>
      </c>
      <c r="B93" s="133" t="s">
        <v>146</v>
      </c>
      <c r="C93" s="128">
        <v>16</v>
      </c>
      <c r="D93" s="128">
        <v>13</v>
      </c>
      <c r="E93" s="129"/>
      <c r="F93" s="171"/>
      <c r="G93" s="107">
        <f t="shared" si="4"/>
        <v>0</v>
      </c>
      <c r="H93" s="108">
        <f t="shared" si="5"/>
        <v>0</v>
      </c>
      <c r="I93" s="108">
        <f t="shared" si="6"/>
        <v>0</v>
      </c>
    </row>
    <row r="94" spans="1:10" ht="15" customHeight="1" x14ac:dyDescent="0.2">
      <c r="A94" s="154" t="s">
        <v>253</v>
      </c>
      <c r="B94" s="133" t="s">
        <v>146</v>
      </c>
      <c r="C94" s="128">
        <v>16</v>
      </c>
      <c r="D94" s="128">
        <v>13</v>
      </c>
      <c r="E94" s="129"/>
      <c r="F94" s="171"/>
      <c r="G94" s="107">
        <f t="shared" si="4"/>
        <v>0</v>
      </c>
      <c r="H94" s="108">
        <f t="shared" si="5"/>
        <v>0</v>
      </c>
      <c r="I94" s="108">
        <f t="shared" si="6"/>
        <v>0</v>
      </c>
    </row>
    <row r="95" spans="1:10" ht="15" customHeight="1" x14ac:dyDescent="0.2">
      <c r="A95" s="154" t="s">
        <v>254</v>
      </c>
      <c r="B95" s="133" t="s">
        <v>146</v>
      </c>
      <c r="C95" s="128">
        <f>16*2</f>
        <v>32</v>
      </c>
      <c r="D95" s="128">
        <f>13*2</f>
        <v>26</v>
      </c>
      <c r="E95" s="129"/>
      <c r="F95" s="171"/>
      <c r="G95" s="107">
        <f t="shared" si="4"/>
        <v>0</v>
      </c>
      <c r="H95" s="108">
        <f t="shared" si="5"/>
        <v>0</v>
      </c>
      <c r="I95" s="108">
        <f t="shared" si="6"/>
        <v>0</v>
      </c>
    </row>
    <row r="96" spans="1:10" ht="15" customHeight="1" x14ac:dyDescent="0.2">
      <c r="A96" s="172" t="s">
        <v>255</v>
      </c>
      <c r="B96" s="133" t="s">
        <v>146</v>
      </c>
      <c r="C96" s="128">
        <v>13</v>
      </c>
      <c r="D96" s="128">
        <v>0</v>
      </c>
      <c r="E96" s="173"/>
      <c r="F96" s="174"/>
      <c r="G96" s="107">
        <f t="shared" si="4"/>
        <v>0</v>
      </c>
      <c r="H96" s="108">
        <f t="shared" si="5"/>
        <v>0</v>
      </c>
      <c r="I96" s="108">
        <f t="shared" si="6"/>
        <v>0</v>
      </c>
    </row>
    <row r="97" spans="1:10" ht="20.25" customHeight="1" x14ac:dyDescent="0.2">
      <c r="A97" s="768" t="s">
        <v>256</v>
      </c>
      <c r="B97" s="768"/>
      <c r="C97" s="768"/>
      <c r="D97" s="768"/>
      <c r="E97" s="768"/>
      <c r="F97" s="768"/>
      <c r="G97" s="768"/>
      <c r="H97" s="175">
        <f>SUM(H87:H96)</f>
        <v>0</v>
      </c>
      <c r="I97" s="176">
        <f>SUM(H87:H96)</f>
        <v>0</v>
      </c>
      <c r="J97" s="177"/>
    </row>
    <row r="98" spans="1:10" ht="20.25" customHeight="1" x14ac:dyDescent="0.2">
      <c r="A98" s="769" t="s">
        <v>257</v>
      </c>
      <c r="B98" s="769"/>
      <c r="C98" s="769"/>
      <c r="D98" s="769"/>
      <c r="E98" s="769"/>
      <c r="F98" s="178">
        <v>0.1</v>
      </c>
      <c r="G98" s="179"/>
      <c r="H98" s="180">
        <f>(H97*F98)/12</f>
        <v>0</v>
      </c>
      <c r="I98" s="181">
        <f>I97/120</f>
        <v>0</v>
      </c>
      <c r="J98" s="177"/>
    </row>
    <row r="99" spans="1:10" ht="20.25" customHeight="1" x14ac:dyDescent="0.2">
      <c r="A99" s="770" t="s">
        <v>258</v>
      </c>
      <c r="B99" s="770"/>
      <c r="C99" s="770"/>
      <c r="D99" s="770"/>
      <c r="E99" s="770"/>
      <c r="F99" s="770"/>
      <c r="G99" s="770"/>
      <c r="H99" s="175">
        <f>H98/'Prod. GEXCHA'!O22</f>
        <v>0</v>
      </c>
      <c r="I99" s="176">
        <f>I98/'Prod. GEXCRI'!O18</f>
        <v>0</v>
      </c>
      <c r="J99" s="177"/>
    </row>
    <row r="100" spans="1:10" x14ac:dyDescent="0.2">
      <c r="A100" s="147"/>
      <c r="B100" s="148"/>
      <c r="C100" s="148"/>
      <c r="D100" s="148"/>
      <c r="E100" s="148"/>
      <c r="F100" s="148"/>
      <c r="G100" s="160"/>
      <c r="H100" s="148"/>
      <c r="I100" s="148"/>
      <c r="J100" s="148"/>
    </row>
    <row r="101" spans="1:10" x14ac:dyDescent="0.2">
      <c r="A101" s="147"/>
      <c r="B101" s="148"/>
      <c r="C101" s="148"/>
      <c r="D101" s="148"/>
      <c r="E101" s="148"/>
      <c r="F101" s="148"/>
      <c r="G101" s="148"/>
      <c r="H101" s="148"/>
      <c r="I101" s="148"/>
      <c r="J101" s="148"/>
    </row>
    <row r="102" spans="1:10" x14ac:dyDescent="0.2">
      <c r="A102" s="147"/>
      <c r="B102" s="148"/>
      <c r="C102" s="148"/>
      <c r="D102" s="148"/>
      <c r="E102" s="148"/>
      <c r="F102" s="148"/>
      <c r="G102" s="148"/>
      <c r="H102" s="148"/>
      <c r="I102" s="148"/>
      <c r="J102" s="148"/>
    </row>
    <row r="103" spans="1:10" ht="20.25" customHeight="1" x14ac:dyDescent="0.2">
      <c r="A103" s="771" t="s">
        <v>259</v>
      </c>
      <c r="B103" s="771"/>
      <c r="C103" s="771"/>
      <c r="D103" s="771"/>
      <c r="E103" s="771"/>
      <c r="F103" s="771"/>
      <c r="G103" s="771"/>
      <c r="H103" s="771"/>
      <c r="I103" s="771"/>
      <c r="J103" s="148"/>
    </row>
    <row r="104" spans="1:10" s="170" customFormat="1" ht="47.25" customHeight="1" x14ac:dyDescent="0.2">
      <c r="A104" s="182" t="s">
        <v>112</v>
      </c>
      <c r="B104" s="183" t="s">
        <v>113</v>
      </c>
      <c r="C104" s="183" t="s">
        <v>260</v>
      </c>
      <c r="D104" s="183" t="s">
        <v>260</v>
      </c>
      <c r="E104" s="183" t="s">
        <v>261</v>
      </c>
      <c r="F104" s="184" t="s">
        <v>262</v>
      </c>
      <c r="G104" s="184" t="s">
        <v>263</v>
      </c>
      <c r="H104" s="185" t="s">
        <v>264</v>
      </c>
      <c r="I104" s="185" t="s">
        <v>265</v>
      </c>
      <c r="J104" s="186"/>
    </row>
    <row r="105" spans="1:10" ht="20.25" customHeight="1" x14ac:dyDescent="0.2">
      <c r="A105" s="772" t="s">
        <v>266</v>
      </c>
      <c r="B105" s="772"/>
      <c r="C105" s="772"/>
      <c r="D105" s="772"/>
      <c r="E105" s="772"/>
      <c r="F105" s="772"/>
      <c r="G105" s="772"/>
      <c r="H105" s="187">
        <f>SUM(H106:H111)</f>
        <v>0</v>
      </c>
      <c r="I105" s="187">
        <f>SUM(I106:I111)</f>
        <v>0</v>
      </c>
      <c r="J105" s="148"/>
    </row>
    <row r="106" spans="1:10" ht="15" customHeight="1" x14ac:dyDescent="0.2">
      <c r="A106" s="127" t="s">
        <v>267</v>
      </c>
      <c r="B106" s="128" t="s">
        <v>146</v>
      </c>
      <c r="C106" s="128">
        <v>2</v>
      </c>
      <c r="D106" s="128">
        <v>2</v>
      </c>
      <c r="E106" s="173"/>
      <c r="F106" s="188"/>
      <c r="G106" s="107">
        <f t="shared" ref="G106:G111" si="7">(E106+F106)/2</f>
        <v>0</v>
      </c>
      <c r="H106" s="108">
        <f t="shared" ref="H106:H111" si="8">(C106*G106)/12</f>
        <v>0</v>
      </c>
      <c r="I106" s="108">
        <f t="shared" ref="I106:I111" si="9">D106*G106/12</f>
        <v>0</v>
      </c>
      <c r="J106" s="148"/>
    </row>
    <row r="107" spans="1:10" ht="15" customHeight="1" x14ac:dyDescent="0.2">
      <c r="A107" s="132" t="s">
        <v>268</v>
      </c>
      <c r="B107" s="133" t="s">
        <v>146</v>
      </c>
      <c r="C107" s="133">
        <v>1</v>
      </c>
      <c r="D107" s="133">
        <v>1</v>
      </c>
      <c r="E107" s="173"/>
      <c r="F107" s="188"/>
      <c r="G107" s="107">
        <f t="shared" si="7"/>
        <v>0</v>
      </c>
      <c r="H107" s="108">
        <f t="shared" si="8"/>
        <v>0</v>
      </c>
      <c r="I107" s="108">
        <f t="shared" si="9"/>
        <v>0</v>
      </c>
      <c r="J107" s="148"/>
    </row>
    <row r="108" spans="1:10" ht="15" customHeight="1" x14ac:dyDescent="0.2">
      <c r="A108" s="132" t="s">
        <v>269</v>
      </c>
      <c r="B108" s="133" t="s">
        <v>146</v>
      </c>
      <c r="C108" s="133">
        <v>2</v>
      </c>
      <c r="D108" s="133">
        <v>2</v>
      </c>
      <c r="E108" s="173"/>
      <c r="F108" s="188"/>
      <c r="G108" s="107">
        <f t="shared" si="7"/>
        <v>0</v>
      </c>
      <c r="H108" s="108">
        <f t="shared" si="8"/>
        <v>0</v>
      </c>
      <c r="I108" s="108">
        <f t="shared" si="9"/>
        <v>0</v>
      </c>
      <c r="J108" s="160"/>
    </row>
    <row r="109" spans="1:10" ht="15" customHeight="1" x14ac:dyDescent="0.2">
      <c r="A109" s="132" t="s">
        <v>270</v>
      </c>
      <c r="B109" s="133" t="s">
        <v>146</v>
      </c>
      <c r="C109" s="133">
        <v>2</v>
      </c>
      <c r="D109" s="133">
        <v>2</v>
      </c>
      <c r="E109" s="173"/>
      <c r="F109" s="188"/>
      <c r="G109" s="107">
        <f t="shared" si="7"/>
        <v>0</v>
      </c>
      <c r="H109" s="108">
        <f t="shared" si="8"/>
        <v>0</v>
      </c>
      <c r="I109" s="108">
        <f t="shared" si="9"/>
        <v>0</v>
      </c>
      <c r="J109" s="148"/>
    </row>
    <row r="110" spans="1:10" ht="15" customHeight="1" x14ac:dyDescent="0.2">
      <c r="A110" s="138" t="s">
        <v>271</v>
      </c>
      <c r="B110" s="139" t="s">
        <v>146</v>
      </c>
      <c r="C110" s="139">
        <v>1</v>
      </c>
      <c r="D110" s="139">
        <v>1</v>
      </c>
      <c r="E110" s="189"/>
      <c r="F110" s="190"/>
      <c r="G110" s="107">
        <f t="shared" si="7"/>
        <v>0</v>
      </c>
      <c r="H110" s="108">
        <f t="shared" si="8"/>
        <v>0</v>
      </c>
      <c r="I110" s="108">
        <f t="shared" si="9"/>
        <v>0</v>
      </c>
      <c r="J110" s="148"/>
    </row>
    <row r="111" spans="1:10" ht="15" customHeight="1" x14ac:dyDescent="0.2">
      <c r="A111" s="191" t="s">
        <v>272</v>
      </c>
      <c r="B111" s="192" t="s">
        <v>166</v>
      </c>
      <c r="C111" s="192">
        <v>2</v>
      </c>
      <c r="D111" s="192">
        <v>2</v>
      </c>
      <c r="E111" s="193"/>
      <c r="F111" s="194"/>
      <c r="G111" s="195">
        <f t="shared" si="7"/>
        <v>0</v>
      </c>
      <c r="H111" s="108">
        <f t="shared" si="8"/>
        <v>0</v>
      </c>
      <c r="I111" s="108">
        <f t="shared" si="9"/>
        <v>0</v>
      </c>
      <c r="J111" s="148"/>
    </row>
    <row r="112" spans="1:10" ht="20.25" customHeight="1" x14ac:dyDescent="0.2">
      <c r="A112" s="772" t="s">
        <v>273</v>
      </c>
      <c r="B112" s="772"/>
      <c r="C112" s="772"/>
      <c r="D112" s="772"/>
      <c r="E112" s="772"/>
      <c r="F112" s="772"/>
      <c r="G112" s="772"/>
      <c r="H112" s="187">
        <f>SUM(H113:H116)</f>
        <v>0</v>
      </c>
      <c r="I112" s="187">
        <f>SUM(I113:I116)</f>
        <v>0</v>
      </c>
      <c r="J112" s="148"/>
    </row>
    <row r="113" spans="1:10" ht="15" customHeight="1" x14ac:dyDescent="0.2">
      <c r="A113" s="154" t="s">
        <v>274</v>
      </c>
      <c r="B113" s="128" t="s">
        <v>146</v>
      </c>
      <c r="C113" s="128">
        <v>2</v>
      </c>
      <c r="D113" s="128">
        <v>2</v>
      </c>
      <c r="E113" s="173"/>
      <c r="F113" s="188"/>
      <c r="G113" s="107">
        <f>(E113+F113)/2</f>
        <v>0</v>
      </c>
      <c r="H113" s="108">
        <f>(C113*G113)/12</f>
        <v>0</v>
      </c>
      <c r="I113" s="108">
        <f>(D113*G113)/12</f>
        <v>0</v>
      </c>
      <c r="J113" s="148"/>
    </row>
    <row r="114" spans="1:10" ht="15" customHeight="1" x14ac:dyDescent="0.2">
      <c r="A114" s="154" t="s">
        <v>275</v>
      </c>
      <c r="B114" s="133" t="s">
        <v>146</v>
      </c>
      <c r="C114" s="133">
        <v>2</v>
      </c>
      <c r="D114" s="133">
        <v>2</v>
      </c>
      <c r="E114" s="173"/>
      <c r="F114" s="188"/>
      <c r="G114" s="107">
        <f>(E114+F114)/2</f>
        <v>0</v>
      </c>
      <c r="H114" s="108">
        <f>(C114*G114)/12</f>
        <v>0</v>
      </c>
      <c r="I114" s="108">
        <f>(D114*G114)/12</f>
        <v>0</v>
      </c>
      <c r="J114" s="148"/>
    </row>
    <row r="115" spans="1:10" ht="15" customHeight="1" x14ac:dyDescent="0.2">
      <c r="A115" s="154" t="s">
        <v>276</v>
      </c>
      <c r="B115" s="133" t="s">
        <v>146</v>
      </c>
      <c r="C115" s="133">
        <v>1</v>
      </c>
      <c r="D115" s="133">
        <v>1</v>
      </c>
      <c r="E115" s="173"/>
      <c r="F115" s="188"/>
      <c r="G115" s="107">
        <f>(E115+F115)/2</f>
        <v>0</v>
      </c>
      <c r="H115" s="108">
        <f>(C115*G115)/12</f>
        <v>0</v>
      </c>
      <c r="I115" s="108">
        <f>(D115*G115)/12</f>
        <v>0</v>
      </c>
      <c r="J115" s="148"/>
    </row>
    <row r="116" spans="1:10" ht="15" customHeight="1" x14ac:dyDescent="0.2">
      <c r="A116" s="155" t="s">
        <v>277</v>
      </c>
      <c r="B116" s="139" t="s">
        <v>166</v>
      </c>
      <c r="C116" s="139">
        <v>2</v>
      </c>
      <c r="D116" s="139">
        <v>2</v>
      </c>
      <c r="E116" s="189"/>
      <c r="F116" s="190"/>
      <c r="G116" s="107">
        <f>(E116+F116)/2</f>
        <v>0</v>
      </c>
      <c r="H116" s="108">
        <f>(C116*G116)/12</f>
        <v>0</v>
      </c>
      <c r="I116" s="108">
        <f>(D116*G116)/12</f>
        <v>0</v>
      </c>
      <c r="J116" s="148"/>
    </row>
    <row r="117" spans="1:10" ht="20.25" customHeight="1" x14ac:dyDescent="0.2">
      <c r="A117" s="773" t="s">
        <v>278</v>
      </c>
      <c r="B117" s="773"/>
      <c r="C117" s="773"/>
      <c r="D117" s="773"/>
      <c r="E117" s="773"/>
      <c r="F117" s="773"/>
      <c r="G117" s="773"/>
      <c r="H117" s="196">
        <f>H105</f>
        <v>0</v>
      </c>
      <c r="I117" s="197">
        <f>I105</f>
        <v>0</v>
      </c>
      <c r="J117" s="148"/>
    </row>
    <row r="118" spans="1:10" ht="20.25" customHeight="1" x14ac:dyDescent="0.2">
      <c r="A118" s="773" t="s">
        <v>279</v>
      </c>
      <c r="B118" s="773"/>
      <c r="C118" s="773"/>
      <c r="D118" s="773"/>
      <c r="E118" s="773"/>
      <c r="F118" s="773"/>
      <c r="G118" s="773"/>
      <c r="H118" s="196">
        <f>H112</f>
        <v>0</v>
      </c>
      <c r="I118" s="197">
        <f>I112</f>
        <v>0</v>
      </c>
      <c r="J118" s="148"/>
    </row>
    <row r="119" spans="1:10" x14ac:dyDescent="0.2">
      <c r="A119" s="147"/>
      <c r="B119" s="148"/>
      <c r="C119" s="148"/>
      <c r="D119" s="148"/>
      <c r="E119" s="148"/>
      <c r="F119" s="148"/>
      <c r="G119" s="148"/>
      <c r="H119" s="148"/>
      <c r="I119" s="148"/>
      <c r="J119" s="148"/>
    </row>
    <row r="120" spans="1:10" ht="20.25" customHeight="1" x14ac:dyDescent="0.2">
      <c r="A120" s="774" t="s">
        <v>280</v>
      </c>
      <c r="B120" s="774"/>
      <c r="C120" s="774"/>
      <c r="D120" s="774"/>
      <c r="E120" s="774"/>
      <c r="F120" s="774"/>
      <c r="G120" s="774"/>
      <c r="H120" s="774"/>
      <c r="I120" s="774"/>
    </row>
    <row r="121" spans="1:10" s="170" customFormat="1" ht="59.25" customHeight="1" x14ac:dyDescent="0.2">
      <c r="A121" s="198" t="s">
        <v>112</v>
      </c>
      <c r="B121" s="199" t="s">
        <v>113</v>
      </c>
      <c r="C121" s="199" t="s">
        <v>281</v>
      </c>
      <c r="D121" s="199" t="s">
        <v>282</v>
      </c>
      <c r="E121" s="199" t="s">
        <v>219</v>
      </c>
      <c r="F121" s="200" t="s">
        <v>283</v>
      </c>
      <c r="G121" s="200" t="s">
        <v>263</v>
      </c>
      <c r="H121" s="201" t="s">
        <v>284</v>
      </c>
      <c r="I121" s="201" t="s">
        <v>285</v>
      </c>
    </row>
    <row r="122" spans="1:10" ht="20.25" customHeight="1" x14ac:dyDescent="0.2">
      <c r="A122" s="775" t="s">
        <v>286</v>
      </c>
      <c r="B122" s="775"/>
      <c r="C122" s="775"/>
      <c r="D122" s="775"/>
      <c r="E122" s="775"/>
      <c r="F122" s="775"/>
      <c r="G122" s="775"/>
      <c r="H122" s="202">
        <f>SUM(H123:H127)</f>
        <v>0</v>
      </c>
      <c r="I122" s="202">
        <f>SUM(I123:I127)</f>
        <v>0</v>
      </c>
    </row>
    <row r="123" spans="1:10" ht="15" customHeight="1" x14ac:dyDescent="0.2">
      <c r="A123" s="154" t="s">
        <v>287</v>
      </c>
      <c r="B123" s="203" t="s">
        <v>146</v>
      </c>
      <c r="C123" s="128">
        <f>22</f>
        <v>22</v>
      </c>
      <c r="D123" s="128">
        <f>22</f>
        <v>22</v>
      </c>
      <c r="E123" s="173"/>
      <c r="F123" s="129"/>
      <c r="G123" s="107">
        <f>(E123+F123)/2</f>
        <v>0</v>
      </c>
      <c r="H123" s="204">
        <f>C123*G123</f>
        <v>0</v>
      </c>
      <c r="I123" s="204">
        <f>D123*G123</f>
        <v>0</v>
      </c>
    </row>
    <row r="124" spans="1:10" ht="15" customHeight="1" x14ac:dyDescent="0.2">
      <c r="A124" s="154" t="s">
        <v>288</v>
      </c>
      <c r="B124" s="205" t="s">
        <v>146</v>
      </c>
      <c r="C124" s="206">
        <f>1/6</f>
        <v>0.16666666666666666</v>
      </c>
      <c r="D124" s="207">
        <f>1/6</f>
        <v>0.16666666666666666</v>
      </c>
      <c r="E124" s="173"/>
      <c r="F124" s="129"/>
      <c r="G124" s="208">
        <f>(E124+F124)/2</f>
        <v>0</v>
      </c>
      <c r="H124" s="209">
        <f>C124*G124</f>
        <v>0</v>
      </c>
      <c r="I124" s="210">
        <f>D124*G124</f>
        <v>0</v>
      </c>
    </row>
    <row r="125" spans="1:10" ht="15" customHeight="1" x14ac:dyDescent="0.2">
      <c r="A125" s="154" t="s">
        <v>289</v>
      </c>
      <c r="B125" s="205" t="s">
        <v>166</v>
      </c>
      <c r="C125" s="133">
        <f>2*22</f>
        <v>44</v>
      </c>
      <c r="D125" s="128">
        <f>3*22</f>
        <v>66</v>
      </c>
      <c r="E125" s="173"/>
      <c r="F125" s="129"/>
      <c r="G125" s="208">
        <f>(E125+F125)/2</f>
        <v>0</v>
      </c>
      <c r="H125" s="209">
        <f>C125*G125</f>
        <v>0</v>
      </c>
      <c r="I125" s="210">
        <f>D125*G125</f>
        <v>0</v>
      </c>
    </row>
    <row r="126" spans="1:10" ht="15" customHeight="1" x14ac:dyDescent="0.2">
      <c r="A126" s="154" t="s">
        <v>290</v>
      </c>
      <c r="B126" s="205" t="s">
        <v>146</v>
      </c>
      <c r="C126" s="139">
        <f>2*22</f>
        <v>44</v>
      </c>
      <c r="D126" s="211">
        <f>3*22</f>
        <v>66</v>
      </c>
      <c r="E126" s="189"/>
      <c r="F126" s="129"/>
      <c r="G126" s="208">
        <f>(E126+F126)/2</f>
        <v>0</v>
      </c>
      <c r="H126" s="209">
        <f>C126*G126</f>
        <v>0</v>
      </c>
      <c r="I126" s="210">
        <f>D126*G126</f>
        <v>0</v>
      </c>
    </row>
    <row r="127" spans="1:10" ht="15" customHeight="1" x14ac:dyDescent="0.2">
      <c r="A127" s="155" t="s">
        <v>291</v>
      </c>
      <c r="B127" s="212" t="s">
        <v>146</v>
      </c>
      <c r="C127" s="139">
        <f>22</f>
        <v>22</v>
      </c>
      <c r="D127" s="139">
        <f>22</f>
        <v>22</v>
      </c>
      <c r="E127" s="213"/>
      <c r="F127" s="140"/>
      <c r="G127" s="214">
        <f>(E127+F127)/2</f>
        <v>0</v>
      </c>
      <c r="H127" s="215">
        <f>C127*G127</f>
        <v>0</v>
      </c>
      <c r="I127" s="216">
        <f>D127*G127</f>
        <v>0</v>
      </c>
    </row>
    <row r="128" spans="1:10" s="170" customFormat="1" ht="56.25" customHeight="1" x14ac:dyDescent="0.2">
      <c r="A128" s="217" t="s">
        <v>112</v>
      </c>
      <c r="B128" s="218" t="s">
        <v>113</v>
      </c>
      <c r="C128" s="218" t="s">
        <v>292</v>
      </c>
      <c r="D128" s="218" t="s">
        <v>293</v>
      </c>
      <c r="E128" s="218" t="s">
        <v>294</v>
      </c>
      <c r="F128" s="219" t="s">
        <v>283</v>
      </c>
      <c r="G128" s="219" t="s">
        <v>263</v>
      </c>
      <c r="H128" s="220" t="s">
        <v>284</v>
      </c>
      <c r="I128" s="220" t="s">
        <v>285</v>
      </c>
    </row>
    <row r="129" spans="1:10" ht="20.25" customHeight="1" x14ac:dyDescent="0.2">
      <c r="A129" s="776" t="s">
        <v>295</v>
      </c>
      <c r="B129" s="776"/>
      <c r="C129" s="776"/>
      <c r="D129" s="776"/>
      <c r="E129" s="776"/>
      <c r="F129" s="776"/>
      <c r="G129" s="776"/>
      <c r="H129" s="221">
        <f>SUM(H130:H133)</f>
        <v>0</v>
      </c>
      <c r="I129" s="221">
        <f>SUM(I130:I133)</f>
        <v>0</v>
      </c>
    </row>
    <row r="130" spans="1:10" ht="15" customHeight="1" x14ac:dyDescent="0.2">
      <c r="A130" s="154" t="s">
        <v>296</v>
      </c>
      <c r="B130" s="128" t="s">
        <v>146</v>
      </c>
      <c r="C130" s="207">
        <v>1</v>
      </c>
      <c r="D130" s="207">
        <v>1</v>
      </c>
      <c r="E130" s="173"/>
      <c r="F130" s="129"/>
      <c r="G130" s="107">
        <f>(E130+F130)/2</f>
        <v>0</v>
      </c>
      <c r="H130" s="204">
        <f>(C130*G130)/12</f>
        <v>0</v>
      </c>
      <c r="I130" s="204">
        <f>(D130*G130)/12</f>
        <v>0</v>
      </c>
    </row>
    <row r="131" spans="1:10" ht="15" customHeight="1" x14ac:dyDescent="0.2">
      <c r="A131" s="154" t="s">
        <v>297</v>
      </c>
      <c r="B131" s="133" t="s">
        <v>166</v>
      </c>
      <c r="C131" s="206">
        <v>2</v>
      </c>
      <c r="D131" s="206">
        <v>2</v>
      </c>
      <c r="E131" s="173"/>
      <c r="F131" s="129"/>
      <c r="G131" s="208">
        <f>(E131+F131)/2</f>
        <v>0</v>
      </c>
      <c r="H131" s="204">
        <f>(C131*G131)/12</f>
        <v>0</v>
      </c>
      <c r="I131" s="204">
        <f>(D131*G131)/12</f>
        <v>0</v>
      </c>
    </row>
    <row r="132" spans="1:10" ht="15" customHeight="1" x14ac:dyDescent="0.2">
      <c r="A132" s="154" t="s">
        <v>290</v>
      </c>
      <c r="B132" s="133" t="s">
        <v>146</v>
      </c>
      <c r="C132" s="133">
        <f>2*22*12</f>
        <v>528</v>
      </c>
      <c r="D132" s="133">
        <f>3*22*12</f>
        <v>792</v>
      </c>
      <c r="E132" s="173"/>
      <c r="F132" s="129"/>
      <c r="G132" s="208">
        <f>(E132+F132)/2</f>
        <v>0</v>
      </c>
      <c r="H132" s="204">
        <f>(C132*G132)/12</f>
        <v>0</v>
      </c>
      <c r="I132" s="204">
        <f>(D132*G132)/12</f>
        <v>0</v>
      </c>
    </row>
    <row r="133" spans="1:10" ht="15" customHeight="1" x14ac:dyDescent="0.2">
      <c r="A133" s="154" t="s">
        <v>298</v>
      </c>
      <c r="B133" s="133" t="s">
        <v>146</v>
      </c>
      <c r="C133" s="206">
        <v>1</v>
      </c>
      <c r="D133" s="206">
        <v>1</v>
      </c>
      <c r="E133" s="173"/>
      <c r="F133" s="129"/>
      <c r="G133" s="208">
        <f>(E133+F133)/2</f>
        <v>0</v>
      </c>
      <c r="H133" s="204">
        <f>(C133*G133)/12</f>
        <v>0</v>
      </c>
      <c r="I133" s="204">
        <f>(D133*G133)/12</f>
        <v>0</v>
      </c>
    </row>
    <row r="134" spans="1:10" x14ac:dyDescent="0.2">
      <c r="A134" s="147"/>
      <c r="B134" s="148"/>
      <c r="C134" s="148"/>
      <c r="D134" s="148"/>
      <c r="E134" s="148"/>
      <c r="F134" s="148"/>
      <c r="G134" s="148"/>
    </row>
    <row r="135" spans="1:10" ht="12.75" customHeight="1" x14ac:dyDescent="0.2">
      <c r="A135" s="777" t="s">
        <v>299</v>
      </c>
      <c r="B135" s="777"/>
      <c r="C135" s="777"/>
      <c r="D135" s="777"/>
      <c r="E135" s="777"/>
      <c r="F135" s="777"/>
      <c r="G135" s="148"/>
    </row>
    <row r="136" spans="1:10" ht="12.75" customHeight="1" x14ac:dyDescent="0.2">
      <c r="A136" s="222" t="s">
        <v>287</v>
      </c>
      <c r="B136" s="778" t="s">
        <v>300</v>
      </c>
      <c r="C136" s="778"/>
      <c r="D136" s="778"/>
      <c r="E136" s="778"/>
      <c r="F136" s="778"/>
      <c r="G136" s="148"/>
    </row>
    <row r="137" spans="1:10" ht="12.75" customHeight="1" x14ac:dyDescent="0.2">
      <c r="A137" s="222" t="s">
        <v>288</v>
      </c>
      <c r="B137" s="778" t="s">
        <v>301</v>
      </c>
      <c r="C137" s="778"/>
      <c r="D137" s="778"/>
      <c r="E137" s="778"/>
      <c r="F137" s="778"/>
      <c r="G137" s="148"/>
    </row>
    <row r="138" spans="1:10" ht="12.75" customHeight="1" x14ac:dyDescent="0.2">
      <c r="A138" s="222" t="s">
        <v>289</v>
      </c>
      <c r="B138" s="778" t="s">
        <v>302</v>
      </c>
      <c r="C138" s="778"/>
      <c r="D138" s="778"/>
      <c r="E138" s="778"/>
      <c r="F138" s="778"/>
      <c r="G138" s="148"/>
    </row>
    <row r="139" spans="1:10" ht="12.75" customHeight="1" x14ac:dyDescent="0.2">
      <c r="A139" s="222" t="s">
        <v>290</v>
      </c>
      <c r="B139" s="778" t="s">
        <v>303</v>
      </c>
      <c r="C139" s="778"/>
      <c r="D139" s="778"/>
      <c r="E139" s="778"/>
      <c r="F139" s="778"/>
      <c r="G139" s="148"/>
    </row>
    <row r="140" spans="1:10" ht="12.75" customHeight="1" x14ac:dyDescent="0.2">
      <c r="A140" s="222" t="s">
        <v>291</v>
      </c>
      <c r="B140" s="778" t="s">
        <v>300</v>
      </c>
      <c r="C140" s="778"/>
      <c r="D140" s="778"/>
      <c r="E140" s="778"/>
      <c r="F140" s="778"/>
      <c r="G140" s="148"/>
    </row>
    <row r="141" spans="1:10" ht="12.75" customHeight="1" x14ac:dyDescent="0.2">
      <c r="A141" s="222" t="s">
        <v>304</v>
      </c>
      <c r="B141" s="778" t="s">
        <v>305</v>
      </c>
      <c r="C141" s="778"/>
      <c r="D141" s="778"/>
      <c r="E141" s="778"/>
      <c r="F141" s="778"/>
      <c r="G141" s="148"/>
    </row>
    <row r="142" spans="1:10" ht="12.75" customHeight="1" x14ac:dyDescent="0.2">
      <c r="A142" s="222" t="s">
        <v>306</v>
      </c>
      <c r="B142" s="778" t="s">
        <v>307</v>
      </c>
      <c r="C142" s="778"/>
      <c r="D142" s="778"/>
      <c r="E142" s="778"/>
      <c r="F142" s="778"/>
      <c r="G142" s="148"/>
      <c r="H142" s="148"/>
      <c r="I142" s="148"/>
      <c r="J142" s="148"/>
    </row>
    <row r="143" spans="1:10" ht="12.75" customHeight="1" x14ac:dyDescent="0.2">
      <c r="A143" s="222" t="s">
        <v>308</v>
      </c>
      <c r="B143" s="778" t="s">
        <v>309</v>
      </c>
      <c r="C143" s="778"/>
      <c r="D143" s="778"/>
      <c r="E143" s="778"/>
      <c r="F143" s="778"/>
      <c r="G143" s="148"/>
      <c r="H143" s="148"/>
      <c r="I143" s="148"/>
      <c r="J143" s="148"/>
    </row>
    <row r="144" spans="1:10" x14ac:dyDescent="0.2">
      <c r="A144" s="147"/>
      <c r="B144" s="148"/>
      <c r="C144" s="148"/>
      <c r="D144" s="148"/>
      <c r="E144" s="148"/>
      <c r="F144" s="148"/>
      <c r="G144" s="148"/>
      <c r="H144" s="148"/>
      <c r="I144" s="148"/>
      <c r="J144" s="148"/>
    </row>
    <row r="145" spans="1:10" ht="20.25" customHeight="1" x14ac:dyDescent="0.2">
      <c r="A145" s="780" t="s">
        <v>310</v>
      </c>
      <c r="B145" s="780"/>
      <c r="C145" s="780"/>
      <c r="D145" s="780"/>
      <c r="E145" s="780"/>
      <c r="F145" s="780"/>
      <c r="G145" s="780"/>
      <c r="H145" s="223">
        <f>SUM(H146:H146)</f>
        <v>0</v>
      </c>
      <c r="I145" s="224"/>
      <c r="J145" s="148"/>
    </row>
    <row r="146" spans="1:10" ht="15" customHeight="1" x14ac:dyDescent="0.2">
      <c r="A146" s="225" t="s">
        <v>311</v>
      </c>
      <c r="B146" s="226" t="s">
        <v>146</v>
      </c>
      <c r="C146" s="226">
        <v>1</v>
      </c>
      <c r="D146" s="779"/>
      <c r="E146" s="779"/>
      <c r="F146" s="779"/>
      <c r="G146" s="779"/>
      <c r="H146" s="227">
        <f>D146</f>
        <v>0</v>
      </c>
      <c r="I146" s="228"/>
      <c r="J146" s="148"/>
    </row>
  </sheetData>
  <mergeCells count="26">
    <mergeCell ref="D146:G146"/>
    <mergeCell ref="B140:F140"/>
    <mergeCell ref="B141:F141"/>
    <mergeCell ref="B142:F142"/>
    <mergeCell ref="B143:F143"/>
    <mergeCell ref="A145:G145"/>
    <mergeCell ref="A135:F135"/>
    <mergeCell ref="B136:F136"/>
    <mergeCell ref="B137:F137"/>
    <mergeCell ref="B138:F138"/>
    <mergeCell ref="B139:F139"/>
    <mergeCell ref="A117:G117"/>
    <mergeCell ref="A118:G118"/>
    <mergeCell ref="A120:I120"/>
    <mergeCell ref="A122:G122"/>
    <mergeCell ref="A129:G129"/>
    <mergeCell ref="A98:E98"/>
    <mergeCell ref="A99:G99"/>
    <mergeCell ref="A103:I103"/>
    <mergeCell ref="A105:G105"/>
    <mergeCell ref="A112:G112"/>
    <mergeCell ref="A58:F58"/>
    <mergeCell ref="A59:F59"/>
    <mergeCell ref="A61:H61"/>
    <mergeCell ref="A69:F69"/>
    <mergeCell ref="A97:G9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AMJ42"/>
  <sheetViews>
    <sheetView showGridLines="0" zoomScale="80" zoomScaleNormal="80" workbookViewId="0">
      <pane xSplit="4" ySplit="5" topLeftCell="I6" activePane="bottomRight" state="frozen"/>
      <selection pane="topRight" activeCell="E1" sqref="E1"/>
      <selection pane="bottomLeft" activeCell="A6" sqref="A6"/>
      <selection pane="bottomRight" activeCell="V45" sqref="V45"/>
    </sheetView>
  </sheetViews>
  <sheetFormatPr defaultRowHeight="14.25" x14ac:dyDescent="0.2"/>
  <cols>
    <col min="1" max="1" width="6.875" customWidth="1"/>
    <col min="2" max="2" width="27.75" customWidth="1"/>
    <col min="3" max="3" width="59.25" customWidth="1"/>
    <col min="4" max="5" width="8.375" customWidth="1"/>
    <col min="6" max="6" width="8" customWidth="1"/>
    <col min="7" max="7" width="8.5" customWidth="1"/>
    <col min="8" max="8" width="6.625" customWidth="1"/>
    <col min="9" max="9" width="7.875" customWidth="1"/>
    <col min="10" max="10" width="7.375" customWidth="1"/>
    <col min="11" max="11" width="9.25" customWidth="1"/>
    <col min="12" max="12" width="7" customWidth="1"/>
    <col min="13" max="13" width="8.25" customWidth="1"/>
    <col min="14" max="14" width="6.875" customWidth="1"/>
    <col min="15" max="15" width="7.5" customWidth="1"/>
    <col min="16" max="16" width="7.375" customWidth="1"/>
    <col min="17" max="17" width="8.625" customWidth="1"/>
    <col min="18" max="18" width="6.875" customWidth="1"/>
    <col min="19" max="19" width="7.5" customWidth="1"/>
    <col min="20" max="20" width="7.375" customWidth="1"/>
    <col min="21" max="21" width="7.5" customWidth="1"/>
    <col min="22" max="22" width="7" customWidth="1"/>
    <col min="23" max="23" width="8.875" customWidth="1"/>
    <col min="24" max="24" width="7.25" customWidth="1"/>
    <col min="25" max="29" width="12.375" customWidth="1"/>
    <col min="30" max="1014" width="10.625" customWidth="1"/>
    <col min="1015" max="1015" width="8.375" customWidth="1"/>
    <col min="1016" max="1025" width="10.5" customWidth="1"/>
  </cols>
  <sheetData>
    <row r="1" spans="1:30" ht="23.25" x14ac:dyDescent="0.2">
      <c r="A1" s="781" t="s">
        <v>312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  <c r="Y1" s="781"/>
      <c r="Z1" s="781"/>
      <c r="AA1" s="781"/>
      <c r="AB1" s="781"/>
      <c r="AC1" s="781"/>
    </row>
    <row r="2" spans="1:30" ht="15" customHeight="1" x14ac:dyDescent="0.2">
      <c r="A2" s="782" t="s">
        <v>113</v>
      </c>
      <c r="B2" s="782"/>
      <c r="C2" s="229"/>
      <c r="D2" s="229"/>
      <c r="E2" s="783" t="s">
        <v>313</v>
      </c>
      <c r="F2" s="783"/>
      <c r="G2" s="783"/>
      <c r="H2" s="783"/>
      <c r="I2" s="783"/>
      <c r="J2" s="783"/>
      <c r="K2" s="783"/>
      <c r="L2" s="783"/>
      <c r="M2" s="784" t="s">
        <v>314</v>
      </c>
      <c r="N2" s="784"/>
      <c r="O2" s="784"/>
      <c r="P2" s="784"/>
      <c r="Q2" s="784"/>
      <c r="R2" s="784"/>
      <c r="S2" s="785" t="s">
        <v>315</v>
      </c>
      <c r="T2" s="785"/>
      <c r="U2" s="785"/>
      <c r="V2" s="785"/>
      <c r="W2" s="785"/>
      <c r="X2" s="785"/>
      <c r="Y2" s="230" t="s">
        <v>316</v>
      </c>
      <c r="Z2" s="231" t="s">
        <v>317</v>
      </c>
      <c r="AA2" s="230" t="s">
        <v>318</v>
      </c>
      <c r="AB2" s="230" t="s">
        <v>319</v>
      </c>
      <c r="AC2" s="230" t="s">
        <v>320</v>
      </c>
    </row>
    <row r="3" spans="1:30" ht="59.25" customHeight="1" x14ac:dyDescent="0.2">
      <c r="A3" s="787" t="s">
        <v>321</v>
      </c>
      <c r="B3" s="788" t="s">
        <v>322</v>
      </c>
      <c r="C3" s="232"/>
      <c r="D3" s="789" t="s">
        <v>323</v>
      </c>
      <c r="E3" s="790" t="s">
        <v>324</v>
      </c>
      <c r="F3" s="790"/>
      <c r="G3" s="791" t="s">
        <v>325</v>
      </c>
      <c r="H3" s="791"/>
      <c r="I3" s="791" t="s">
        <v>326</v>
      </c>
      <c r="J3" s="791"/>
      <c r="K3" s="791" t="s">
        <v>327</v>
      </c>
      <c r="L3" s="791"/>
      <c r="M3" s="786" t="s">
        <v>328</v>
      </c>
      <c r="N3" s="786"/>
      <c r="O3" s="802" t="s">
        <v>329</v>
      </c>
      <c r="P3" s="802"/>
      <c r="Q3" s="786" t="s">
        <v>330</v>
      </c>
      <c r="R3" s="786"/>
      <c r="S3" s="798" t="s">
        <v>331</v>
      </c>
      <c r="T3" s="798"/>
      <c r="U3" s="798" t="s">
        <v>332</v>
      </c>
      <c r="V3" s="798"/>
      <c r="W3" s="799" t="s">
        <v>333</v>
      </c>
      <c r="X3" s="799"/>
      <c r="Y3" s="800" t="s">
        <v>334</v>
      </c>
      <c r="Z3" s="801" t="s">
        <v>335</v>
      </c>
      <c r="AA3" s="794" t="s">
        <v>336</v>
      </c>
      <c r="AB3" s="795" t="s">
        <v>337</v>
      </c>
      <c r="AC3" s="796" t="s">
        <v>338</v>
      </c>
      <c r="AD3" s="238"/>
    </row>
    <row r="4" spans="1:30" ht="15" customHeight="1" x14ac:dyDescent="0.2">
      <c r="A4" s="787"/>
      <c r="B4" s="788"/>
      <c r="C4" s="239"/>
      <c r="D4" s="789"/>
      <c r="E4" s="790"/>
      <c r="F4" s="790"/>
      <c r="G4" s="791"/>
      <c r="H4" s="791"/>
      <c r="I4" s="791"/>
      <c r="J4" s="791"/>
      <c r="K4" s="791"/>
      <c r="L4" s="791"/>
      <c r="M4" s="786"/>
      <c r="N4" s="786"/>
      <c r="O4" s="802"/>
      <c r="P4" s="802"/>
      <c r="Q4" s="786"/>
      <c r="R4" s="786"/>
      <c r="S4" s="798"/>
      <c r="T4" s="798"/>
      <c r="U4" s="798"/>
      <c r="V4" s="798"/>
      <c r="W4" s="799"/>
      <c r="X4" s="799"/>
      <c r="Y4" s="800"/>
      <c r="Z4" s="801"/>
      <c r="AA4" s="794"/>
      <c r="AB4" s="795"/>
      <c r="AC4" s="796"/>
      <c r="AD4" s="238"/>
    </row>
    <row r="5" spans="1:30" x14ac:dyDescent="0.2">
      <c r="A5" s="787"/>
      <c r="B5" s="788"/>
      <c r="C5" s="240"/>
      <c r="D5" s="789"/>
      <c r="E5" s="241" t="s">
        <v>339</v>
      </c>
      <c r="F5" s="242" t="s">
        <v>340</v>
      </c>
      <c r="G5" s="233" t="s">
        <v>339</v>
      </c>
      <c r="H5" s="234" t="s">
        <v>340</v>
      </c>
      <c r="I5" s="233" t="s">
        <v>339</v>
      </c>
      <c r="J5" s="234" t="s">
        <v>340</v>
      </c>
      <c r="K5" s="233" t="s">
        <v>339</v>
      </c>
      <c r="L5" s="234" t="s">
        <v>340</v>
      </c>
      <c r="M5" s="235" t="s">
        <v>339</v>
      </c>
      <c r="N5" s="235" t="s">
        <v>340</v>
      </c>
      <c r="O5" s="235" t="s">
        <v>339</v>
      </c>
      <c r="P5" s="235" t="s">
        <v>340</v>
      </c>
      <c r="Q5" s="235" t="s">
        <v>339</v>
      </c>
      <c r="R5" s="235" t="s">
        <v>340</v>
      </c>
      <c r="S5" s="236" t="s">
        <v>339</v>
      </c>
      <c r="T5" s="236" t="s">
        <v>340</v>
      </c>
      <c r="U5" s="236" t="s">
        <v>339</v>
      </c>
      <c r="V5" s="236" t="s">
        <v>340</v>
      </c>
      <c r="W5" s="236" t="s">
        <v>339</v>
      </c>
      <c r="X5" s="243" t="s">
        <v>340</v>
      </c>
      <c r="Y5" s="244" t="s">
        <v>341</v>
      </c>
      <c r="Z5" s="245" t="s">
        <v>341</v>
      </c>
      <c r="AA5" s="246" t="s">
        <v>341</v>
      </c>
      <c r="AB5" s="247" t="s">
        <v>341</v>
      </c>
      <c r="AC5" s="248" t="s">
        <v>341</v>
      </c>
      <c r="AD5" s="249"/>
    </row>
    <row r="6" spans="1:30" ht="14.25" customHeight="1" x14ac:dyDescent="0.2">
      <c r="A6" s="250">
        <v>1</v>
      </c>
      <c r="B6" s="250" t="s">
        <v>77</v>
      </c>
      <c r="C6" s="250" t="s">
        <v>342</v>
      </c>
      <c r="D6" s="251">
        <f>MC!C69</f>
        <v>0</v>
      </c>
      <c r="E6" s="252">
        <v>995</v>
      </c>
      <c r="F6" s="253">
        <f>'GEXCHA Limp.Ord. '!D149</f>
        <v>0</v>
      </c>
      <c r="G6" s="254">
        <v>155</v>
      </c>
      <c r="H6" s="253">
        <f>'GEXCHA Limp.Ord. '!D155</f>
        <v>0</v>
      </c>
      <c r="I6" s="254">
        <v>5</v>
      </c>
      <c r="J6" s="253">
        <f>'GEXCHA Limp.Ord. '!D161</f>
        <v>0</v>
      </c>
      <c r="K6" s="254">
        <v>32</v>
      </c>
      <c r="L6" s="253">
        <f>'GEXCHA Limp.Ord. '!D167</f>
        <v>0</v>
      </c>
      <c r="M6" s="254">
        <v>27</v>
      </c>
      <c r="N6" s="253">
        <f>'GEXCHA Limp.Ord. '!D173</f>
        <v>0</v>
      </c>
      <c r="O6" s="254">
        <v>1817</v>
      </c>
      <c r="P6" s="253">
        <f>'GEXCHA Limp.Ord. '!D176</f>
        <v>0</v>
      </c>
      <c r="Q6" s="254">
        <v>692</v>
      </c>
      <c r="R6" s="253">
        <f>'GEXCHA Limp.Ord. '!D179</f>
        <v>0</v>
      </c>
      <c r="S6" s="254">
        <v>82</v>
      </c>
      <c r="T6" s="255">
        <f>'GEXCHA Limp.Ord. '!D185</f>
        <v>0</v>
      </c>
      <c r="U6" s="254">
        <v>172</v>
      </c>
      <c r="V6" s="255">
        <f>'GEXCHA Limp.Ord. '!D188</f>
        <v>0</v>
      </c>
      <c r="W6" s="256">
        <v>254</v>
      </c>
      <c r="X6" s="255">
        <f>'GEXCHA Limp.Ord. '!D191</f>
        <v>0</v>
      </c>
      <c r="Y6" s="257">
        <f t="shared" ref="Y6:Y22" si="0">(E6*F6)+(G6*H6)+(I6*J6)+(K6*L6)+(M6*N6)+(O6*P6)+(Q6*R6)+(S6*T6)+(U6*V6)+(W6*X6)</f>
        <v>0</v>
      </c>
      <c r="Z6" s="258"/>
      <c r="AA6" s="259">
        <f>'Prod. GEXCHA'!R4*'GEXCHA Limp.Ord. '!C139</f>
        <v>0</v>
      </c>
      <c r="AB6" s="260">
        <f>'Prod. GEXCHA'!S4*'GEXCHA Covid  '!C139</f>
        <v>0</v>
      </c>
      <c r="AC6" s="261">
        <f>'Prod. GEXCHA'!T4*MC!I7</f>
        <v>0</v>
      </c>
      <c r="AD6" s="249"/>
    </row>
    <row r="7" spans="1:30" ht="14.25" customHeight="1" x14ac:dyDescent="0.2">
      <c r="A7" s="262">
        <v>2</v>
      </c>
      <c r="B7" s="262" t="s">
        <v>79</v>
      </c>
      <c r="C7" s="262" t="s">
        <v>343</v>
      </c>
      <c r="D7" s="263">
        <f>MC!C70</f>
        <v>0</v>
      </c>
      <c r="E7" s="252">
        <v>577</v>
      </c>
      <c r="F7" s="264">
        <f>'GEXCHA Limp.Ord. '!D149</f>
        <v>0</v>
      </c>
      <c r="G7" s="254">
        <v>577</v>
      </c>
      <c r="H7" s="264">
        <f>'GEXCHA Limp.Ord. '!D155</f>
        <v>0</v>
      </c>
      <c r="I7" s="254">
        <v>542</v>
      </c>
      <c r="J7" s="264">
        <f>'GEXCHA Limp.Ord. '!D161</f>
        <v>0</v>
      </c>
      <c r="K7" s="254">
        <v>80</v>
      </c>
      <c r="L7" s="264">
        <f>'GEXCHA Limp.Ord. '!D167</f>
        <v>0</v>
      </c>
      <c r="M7" s="254">
        <v>14</v>
      </c>
      <c r="N7" s="264">
        <f>'GEXCHA Limp.Ord. '!D173</f>
        <v>0</v>
      </c>
      <c r="O7" s="254">
        <v>0</v>
      </c>
      <c r="P7" s="264">
        <f>'GEXCHA Limp.Ord. '!D176</f>
        <v>0</v>
      </c>
      <c r="Q7" s="254">
        <v>0</v>
      </c>
      <c r="R7" s="264">
        <f>'GEXCHA Limp.Ord. '!D179</f>
        <v>0</v>
      </c>
      <c r="S7" s="254">
        <v>204</v>
      </c>
      <c r="T7" s="265">
        <f>'GEXCHA Limp.Ord. '!D185</f>
        <v>0</v>
      </c>
      <c r="U7" s="254">
        <v>291</v>
      </c>
      <c r="V7" s="265">
        <f>'GEXCHA Limp.Ord. '!D188</f>
        <v>0</v>
      </c>
      <c r="W7" s="256">
        <v>495</v>
      </c>
      <c r="X7" s="265">
        <f>'GEXCHA Limp.Ord. '!D191</f>
        <v>0</v>
      </c>
      <c r="Y7" s="257">
        <f t="shared" si="0"/>
        <v>0</v>
      </c>
      <c r="Z7" s="258">
        <f>'Prod. GEXCHA'!P5*'GEXCHA Covid  '!D134</f>
        <v>0</v>
      </c>
      <c r="AA7" s="266">
        <f>'Prod. GEXCHA'!R5*'GEXCHA Limp.Ord. '!C139</f>
        <v>0</v>
      </c>
      <c r="AB7" s="267">
        <f>'Prod. GEXCHA'!S5*'GEXCHA Covid  '!C139</f>
        <v>0</v>
      </c>
      <c r="AC7" s="268"/>
      <c r="AD7" s="269"/>
    </row>
    <row r="8" spans="1:30" ht="14.25" customHeight="1" x14ac:dyDescent="0.2">
      <c r="A8" s="262">
        <v>3</v>
      </c>
      <c r="B8" s="262" t="s">
        <v>81</v>
      </c>
      <c r="C8" s="262" t="s">
        <v>344</v>
      </c>
      <c r="D8" s="263">
        <f>MC!C71</f>
        <v>0</v>
      </c>
      <c r="E8" s="252">
        <v>694</v>
      </c>
      <c r="F8" s="264">
        <f>'GEXCHA Limp.Ord. '!D149</f>
        <v>0</v>
      </c>
      <c r="G8" s="254">
        <v>817</v>
      </c>
      <c r="H8" s="264">
        <f>'GEXCHA Limp.Ord. '!D155</f>
        <v>0</v>
      </c>
      <c r="I8" s="254">
        <v>1420</v>
      </c>
      <c r="J8" s="264">
        <f>'GEXCHA Limp.Ord. '!D161</f>
        <v>0</v>
      </c>
      <c r="K8" s="254">
        <v>76</v>
      </c>
      <c r="L8" s="264">
        <f>'GEXCHA Limp.Ord. '!D167</f>
        <v>0</v>
      </c>
      <c r="M8" s="254">
        <v>50</v>
      </c>
      <c r="N8" s="264">
        <f>'GEXCHA Limp.Ord. '!D173</f>
        <v>0</v>
      </c>
      <c r="O8" s="254">
        <v>110</v>
      </c>
      <c r="P8" s="264">
        <f>'GEXCHA Limp.Ord. '!D176</f>
        <v>0</v>
      </c>
      <c r="Q8" s="254">
        <v>96</v>
      </c>
      <c r="R8" s="264">
        <f>'GEXCHA Limp.Ord. '!D179</f>
        <v>0</v>
      </c>
      <c r="S8" s="254">
        <v>102</v>
      </c>
      <c r="T8" s="265">
        <f>'GEXCHA Limp.Ord. '!D185</f>
        <v>0</v>
      </c>
      <c r="U8" s="254">
        <v>546</v>
      </c>
      <c r="V8" s="265">
        <f>'GEXCHA Limp.Ord. '!D188</f>
        <v>0</v>
      </c>
      <c r="W8" s="256">
        <v>648</v>
      </c>
      <c r="X8" s="265">
        <f>'GEXCHA Limp.Ord. '!D191</f>
        <v>0</v>
      </c>
      <c r="Y8" s="257">
        <f t="shared" si="0"/>
        <v>0</v>
      </c>
      <c r="Z8" s="258">
        <f>'Prod. GEXCHA'!Q6*'GEXCHA Covid  '!C134</f>
        <v>0</v>
      </c>
      <c r="AA8" s="266">
        <f>'Prod. GEXCHA'!R6*'GEXCHA Limp.Ord. '!C139</f>
        <v>0</v>
      </c>
      <c r="AB8" s="267">
        <f>'Prod. GEXCHA'!S6*'GEXCHA Covid  '!C139</f>
        <v>0</v>
      </c>
      <c r="AC8" s="268"/>
      <c r="AD8" s="249"/>
    </row>
    <row r="9" spans="1:30" ht="14.25" customHeight="1" x14ac:dyDescent="0.2">
      <c r="A9" s="262">
        <v>4</v>
      </c>
      <c r="B9" s="262" t="s">
        <v>83</v>
      </c>
      <c r="C9" s="262" t="s">
        <v>345</v>
      </c>
      <c r="D9" s="263">
        <f>MC!C72</f>
        <v>0</v>
      </c>
      <c r="E9" s="252">
        <v>658</v>
      </c>
      <c r="F9" s="264">
        <f>'GEXCHA Limp.Ord. '!H149</f>
        <v>0</v>
      </c>
      <c r="G9" s="254">
        <v>93</v>
      </c>
      <c r="H9" s="264">
        <f>'GEXCHA Limp.Ord. '!H155</f>
        <v>0</v>
      </c>
      <c r="I9" s="254">
        <v>0</v>
      </c>
      <c r="J9" s="264">
        <f>'GEXCHA Limp.Ord. '!H161</f>
        <v>0</v>
      </c>
      <c r="K9" s="254">
        <v>83</v>
      </c>
      <c r="L9" s="264">
        <f>'GEXCHA Limp.Ord. '!H167</f>
        <v>0</v>
      </c>
      <c r="M9" s="254">
        <v>63</v>
      </c>
      <c r="N9" s="264">
        <f>'GEXCHA Limp.Ord. '!H173</f>
        <v>0</v>
      </c>
      <c r="O9" s="254">
        <v>126</v>
      </c>
      <c r="P9" s="264">
        <f>'GEXCHA Limp.Ord. '!H176</f>
        <v>0</v>
      </c>
      <c r="Q9" s="254">
        <v>0</v>
      </c>
      <c r="R9" s="264">
        <f>'GEXCHA Limp.Ord. '!H179</f>
        <v>0</v>
      </c>
      <c r="S9" s="254">
        <v>136</v>
      </c>
      <c r="T9" s="265">
        <f>'GEXCHA Limp.Ord. '!H185</f>
        <v>0</v>
      </c>
      <c r="U9" s="254">
        <v>10</v>
      </c>
      <c r="V9" s="265">
        <f>'GEXCHA Limp.Ord. '!H188</f>
        <v>0</v>
      </c>
      <c r="W9" s="256">
        <v>146</v>
      </c>
      <c r="X9" s="265">
        <f>'GEXCHA Limp.Ord. '!H191</f>
        <v>0</v>
      </c>
      <c r="Y9" s="257">
        <f t="shared" si="0"/>
        <v>0</v>
      </c>
      <c r="Z9" s="258">
        <f>'Prod. GEXCHA'!P7*'GEXCHA Covid  '!D136</f>
        <v>0</v>
      </c>
      <c r="AA9" s="266">
        <f>'Prod. GEXCHA'!R7*'GEXCHA Limp.Ord. '!C141</f>
        <v>0</v>
      </c>
      <c r="AB9" s="267">
        <f>'Prod. GEXCHA'!S7*'GEXCHA Covid  '!C141</f>
        <v>0</v>
      </c>
      <c r="AC9" s="268"/>
      <c r="AD9" s="270"/>
    </row>
    <row r="10" spans="1:30" ht="14.25" customHeight="1" x14ac:dyDescent="0.2">
      <c r="A10" s="262">
        <v>5</v>
      </c>
      <c r="B10" s="262" t="s">
        <v>85</v>
      </c>
      <c r="C10" s="262" t="s">
        <v>346</v>
      </c>
      <c r="D10" s="263">
        <f>MC!C73</f>
        <v>0</v>
      </c>
      <c r="E10" s="252">
        <v>707</v>
      </c>
      <c r="F10" s="264">
        <f>'GEXCHA Limp.Ord. '!H149</f>
        <v>0</v>
      </c>
      <c r="G10" s="254">
        <v>299</v>
      </c>
      <c r="H10" s="264">
        <f>'GEXCHA Limp.Ord. '!H155</f>
        <v>0</v>
      </c>
      <c r="I10" s="254">
        <v>800</v>
      </c>
      <c r="J10" s="264">
        <f>'GEXCHA Limp.Ord. '!H161</f>
        <v>0</v>
      </c>
      <c r="K10" s="254">
        <v>47</v>
      </c>
      <c r="L10" s="264">
        <f>'GEXCHA Limp.Ord. '!H167</f>
        <v>0</v>
      </c>
      <c r="M10" s="254">
        <v>0</v>
      </c>
      <c r="N10" s="264">
        <f>'GEXCHA Limp.Ord. '!H173</f>
        <v>0</v>
      </c>
      <c r="O10" s="254">
        <v>0</v>
      </c>
      <c r="P10" s="264">
        <f>'GEXCHA Limp.Ord. '!H176</f>
        <v>0</v>
      </c>
      <c r="Q10" s="254">
        <v>71</v>
      </c>
      <c r="R10" s="264">
        <f>'GEXCHA Limp.Ord. '!H179</f>
        <v>0</v>
      </c>
      <c r="S10" s="254">
        <v>86</v>
      </c>
      <c r="T10" s="265">
        <f>'GEXCHA Limp.Ord. '!H185</f>
        <v>0</v>
      </c>
      <c r="U10" s="254">
        <v>85</v>
      </c>
      <c r="V10" s="265">
        <f>'GEXCHA Limp.Ord. '!H188</f>
        <v>0</v>
      </c>
      <c r="W10" s="256">
        <v>171</v>
      </c>
      <c r="X10" s="265">
        <f>'GEXCHA Limp.Ord. '!H191</f>
        <v>0</v>
      </c>
      <c r="Y10" s="257">
        <f t="shared" si="0"/>
        <v>0</v>
      </c>
      <c r="Z10" s="258">
        <f>'Prod. GEXCHA'!Q8*'GEXCHA Covid  '!C136</f>
        <v>0</v>
      </c>
      <c r="AA10" s="266">
        <f>'Prod. GEXCHA'!R8*'GEXCHA Limp.Ord. '!C141</f>
        <v>0</v>
      </c>
      <c r="AB10" s="267">
        <f>'Prod. GEXCHA'!S8*'GEXCHA Covid  '!C141</f>
        <v>0</v>
      </c>
      <c r="AC10" s="268"/>
      <c r="AD10" s="249"/>
    </row>
    <row r="11" spans="1:30" ht="14.25" customHeight="1" x14ac:dyDescent="0.2">
      <c r="A11" s="262">
        <v>6</v>
      </c>
      <c r="B11" s="262" t="s">
        <v>347</v>
      </c>
      <c r="C11" s="262" t="s">
        <v>348</v>
      </c>
      <c r="D11" s="263">
        <f>MC!C74</f>
        <v>0</v>
      </c>
      <c r="E11" s="252">
        <v>396</v>
      </c>
      <c r="F11" s="264">
        <f>'GEXCHA Limp.Ord. '!L149</f>
        <v>0</v>
      </c>
      <c r="G11" s="254">
        <v>74</v>
      </c>
      <c r="H11" s="264">
        <f>'GEXCHA Limp.Ord. '!L155</f>
        <v>0</v>
      </c>
      <c r="I11" s="254">
        <v>398</v>
      </c>
      <c r="J11" s="264">
        <f>'GEXCHA Limp.Ord. '!L161</f>
        <v>0</v>
      </c>
      <c r="K11" s="254">
        <v>51</v>
      </c>
      <c r="L11" s="264">
        <f>'GEXCHA Limp.Ord. '!L167</f>
        <v>0</v>
      </c>
      <c r="M11" s="254">
        <v>54</v>
      </c>
      <c r="N11" s="264">
        <f>'GEXCHA Limp.Ord. '!L173</f>
        <v>0</v>
      </c>
      <c r="O11" s="254">
        <v>263</v>
      </c>
      <c r="P11" s="264">
        <f>'GEXCHA Limp.Ord. '!L176</f>
        <v>0</v>
      </c>
      <c r="Q11" s="254">
        <v>139</v>
      </c>
      <c r="R11" s="264">
        <f>'GEXCHA Limp.Ord. '!L179</f>
        <v>0</v>
      </c>
      <c r="S11" s="254">
        <v>0</v>
      </c>
      <c r="T11" s="265">
        <f>'GEXCHA Limp.Ord. '!L185</f>
        <v>0</v>
      </c>
      <c r="U11" s="254">
        <v>80</v>
      </c>
      <c r="V11" s="265">
        <f>'GEXCHA Limp.Ord. '!L188</f>
        <v>0</v>
      </c>
      <c r="W11" s="256">
        <v>80</v>
      </c>
      <c r="X11" s="265">
        <f>'GEXCHA Limp.Ord. '!L191</f>
        <v>0</v>
      </c>
      <c r="Y11" s="257">
        <f t="shared" si="0"/>
        <v>0</v>
      </c>
      <c r="Z11" s="258">
        <f>'Prod. GEXCHA'!P9*'GEXCHA Covid  '!D138</f>
        <v>0</v>
      </c>
      <c r="AA11" s="266">
        <f>'Prod. GEXCHA'!R9*'GEXCHA Limp.Ord. '!C143</f>
        <v>0</v>
      </c>
      <c r="AB11" s="267">
        <f>'Prod. GEXCHA'!S9*'GEXCHA Covid  '!C143</f>
        <v>0</v>
      </c>
      <c r="AC11" s="268"/>
      <c r="AD11" s="249"/>
    </row>
    <row r="12" spans="1:30" ht="14.25" customHeight="1" x14ac:dyDescent="0.2">
      <c r="A12" s="262">
        <v>7</v>
      </c>
      <c r="B12" s="262" t="s">
        <v>89</v>
      </c>
      <c r="C12" s="262" t="s">
        <v>349</v>
      </c>
      <c r="D12" s="263">
        <f>MC!C75</f>
        <v>0</v>
      </c>
      <c r="E12" s="252">
        <v>524</v>
      </c>
      <c r="F12" s="264">
        <f>'GEXCHA Limp.Ord. '!H149</f>
        <v>0</v>
      </c>
      <c r="G12" s="254">
        <v>97</v>
      </c>
      <c r="H12" s="264">
        <f>'GEXCHA Limp.Ord. '!H155</f>
        <v>0</v>
      </c>
      <c r="I12" s="254">
        <v>288</v>
      </c>
      <c r="J12" s="264">
        <f>'GEXCHA Limp.Ord. '!H161</f>
        <v>0</v>
      </c>
      <c r="K12" s="254">
        <v>54</v>
      </c>
      <c r="L12" s="264">
        <f>'GEXCHA Limp.Ord. '!H167</f>
        <v>0</v>
      </c>
      <c r="M12" s="254">
        <v>167</v>
      </c>
      <c r="N12" s="264">
        <f>'GEXCHA Limp.Ord. '!H173</f>
        <v>0</v>
      </c>
      <c r="O12" s="254">
        <v>244</v>
      </c>
      <c r="P12" s="264">
        <f>'GEXCHA Limp.Ord. '!H176</f>
        <v>0</v>
      </c>
      <c r="Q12" s="254">
        <v>344</v>
      </c>
      <c r="R12" s="264">
        <f>'GEXCHA Limp.Ord. '!H179</f>
        <v>0</v>
      </c>
      <c r="S12" s="254">
        <v>0</v>
      </c>
      <c r="T12" s="265">
        <f>'GEXCHA Limp.Ord. '!H185</f>
        <v>0</v>
      </c>
      <c r="U12" s="254">
        <v>182</v>
      </c>
      <c r="V12" s="265">
        <f>'GEXCHA Limp.Ord. '!H188</f>
        <v>0</v>
      </c>
      <c r="W12" s="256">
        <v>182</v>
      </c>
      <c r="X12" s="265">
        <f>'GEXCHA Limp.Ord. '!H191</f>
        <v>0</v>
      </c>
      <c r="Y12" s="257">
        <f t="shared" si="0"/>
        <v>0</v>
      </c>
      <c r="Z12" s="258"/>
      <c r="AA12" s="266">
        <f>'Prod. GEXCHA'!R10*'GEXCHA Limp.Ord. '!C141</f>
        <v>0</v>
      </c>
      <c r="AB12" s="267">
        <f>'Prod. GEXCHA'!S10*'GEXCHA Covid  '!C141</f>
        <v>0</v>
      </c>
      <c r="AC12" s="268"/>
      <c r="AD12" s="249"/>
    </row>
    <row r="13" spans="1:30" ht="14.25" customHeight="1" x14ac:dyDescent="0.2">
      <c r="A13" s="262">
        <v>8</v>
      </c>
      <c r="B13" s="262" t="s">
        <v>91</v>
      </c>
      <c r="C13" s="262" t="s">
        <v>350</v>
      </c>
      <c r="D13" s="263">
        <f>MC!C76</f>
        <v>0</v>
      </c>
      <c r="E13" s="252">
        <v>661</v>
      </c>
      <c r="F13" s="264">
        <f>'GEXCHA Limp.Ord. '!J149</f>
        <v>0</v>
      </c>
      <c r="G13" s="254">
        <v>290</v>
      </c>
      <c r="H13" s="264">
        <f>'GEXCHA Limp.Ord. '!J155</f>
        <v>0</v>
      </c>
      <c r="I13" s="254">
        <v>1237</v>
      </c>
      <c r="J13" s="264">
        <f>'GEXCHA Limp.Ord. '!J161</f>
        <v>0</v>
      </c>
      <c r="K13" s="254">
        <v>65</v>
      </c>
      <c r="L13" s="264">
        <f>'GEXCHA Limp.Ord. '!J167</f>
        <v>0</v>
      </c>
      <c r="M13" s="254">
        <v>196</v>
      </c>
      <c r="N13" s="264">
        <f>'GEXCHA Limp.Ord. '!J173</f>
        <v>0</v>
      </c>
      <c r="O13" s="254">
        <v>93</v>
      </c>
      <c r="P13" s="264">
        <f>'GEXCHA Limp.Ord. '!J176</f>
        <v>0</v>
      </c>
      <c r="Q13" s="254">
        <v>824</v>
      </c>
      <c r="R13" s="264">
        <f>'GEXCHA Limp.Ord. '!J179</f>
        <v>0</v>
      </c>
      <c r="S13" s="254">
        <v>129</v>
      </c>
      <c r="T13" s="265">
        <f>'GEXCHA Limp.Ord. '!J185</f>
        <v>0</v>
      </c>
      <c r="U13" s="254">
        <v>5</v>
      </c>
      <c r="V13" s="265">
        <f>'GEXCHA Limp.Ord. '!J188</f>
        <v>0</v>
      </c>
      <c r="W13" s="256">
        <v>134</v>
      </c>
      <c r="X13" s="265">
        <f>'GEXCHA Limp.Ord. '!J191</f>
        <v>0</v>
      </c>
      <c r="Y13" s="257">
        <f t="shared" si="0"/>
        <v>0</v>
      </c>
      <c r="Z13" s="258">
        <f>'Prod. GEXCHA'!P11*'GEXCHA Covid  '!D137</f>
        <v>0</v>
      </c>
      <c r="AA13" s="266">
        <f>'Prod. GEXCHA'!R11*'GEXCHA Limp.Ord. '!C142</f>
        <v>0</v>
      </c>
      <c r="AB13" s="267">
        <f>'Prod. GEXCHA'!S11*'GEXCHA Covid  '!C142</f>
        <v>0</v>
      </c>
      <c r="AC13" s="268"/>
      <c r="AD13" s="249"/>
    </row>
    <row r="14" spans="1:30" ht="14.25" customHeight="1" x14ac:dyDescent="0.2">
      <c r="A14" s="262">
        <v>9</v>
      </c>
      <c r="B14" s="262" t="s">
        <v>93</v>
      </c>
      <c r="C14" s="262" t="s">
        <v>351</v>
      </c>
      <c r="D14" s="263">
        <f>MC!C77</f>
        <v>0</v>
      </c>
      <c r="E14" s="252">
        <v>498</v>
      </c>
      <c r="F14" s="264">
        <f>'GEXCHA Limp.Ord. '!D149</f>
        <v>0</v>
      </c>
      <c r="G14" s="254">
        <v>687</v>
      </c>
      <c r="H14" s="264">
        <f>'GEXCHA Limp.Ord. '!D155</f>
        <v>0</v>
      </c>
      <c r="I14" s="254">
        <v>536</v>
      </c>
      <c r="J14" s="264">
        <f>'GEXCHA Limp.Ord. '!D161</f>
        <v>0</v>
      </c>
      <c r="K14" s="254">
        <v>97</v>
      </c>
      <c r="L14" s="264">
        <f>'GEXCHA Limp.Ord. '!D167</f>
        <v>0</v>
      </c>
      <c r="M14" s="254">
        <v>71</v>
      </c>
      <c r="N14" s="264">
        <f>'GEXCHA Limp.Ord. '!D173</f>
        <v>0</v>
      </c>
      <c r="O14" s="254">
        <v>0</v>
      </c>
      <c r="P14" s="264">
        <f>'GEXCHA Limp.Ord. '!D176</f>
        <v>0</v>
      </c>
      <c r="Q14" s="254">
        <v>323</v>
      </c>
      <c r="R14" s="264">
        <f>'GEXCHA Limp.Ord. '!D179</f>
        <v>0</v>
      </c>
      <c r="S14" s="254">
        <v>23</v>
      </c>
      <c r="T14" s="265">
        <f>'GEXCHA Limp.Ord. '!D185</f>
        <v>0</v>
      </c>
      <c r="U14" s="254">
        <v>223</v>
      </c>
      <c r="V14" s="265">
        <f>'GEXCHA Limp.Ord. '!D188</f>
        <v>0</v>
      </c>
      <c r="W14" s="256">
        <v>246</v>
      </c>
      <c r="X14" s="265">
        <f>'GEXCHA Limp.Ord. '!D191</f>
        <v>0</v>
      </c>
      <c r="Y14" s="257">
        <f t="shared" si="0"/>
        <v>0</v>
      </c>
      <c r="Z14" s="258">
        <f>'Prod. GEXCHA'!P12*'GEXCHA Covid  '!D134</f>
        <v>0</v>
      </c>
      <c r="AA14" s="266">
        <f>'Prod. GEXCHA'!R12*'GEXCHA Limp.Ord. '!C139</f>
        <v>0</v>
      </c>
      <c r="AB14" s="267">
        <f>'Prod. GEXCHA'!S12*'GEXCHA Covid  '!C139</f>
        <v>0</v>
      </c>
      <c r="AC14" s="268"/>
      <c r="AD14" s="269"/>
    </row>
    <row r="15" spans="1:30" ht="14.25" customHeight="1" x14ac:dyDescent="0.2">
      <c r="A15" s="262">
        <v>10</v>
      </c>
      <c r="B15" s="262" t="s">
        <v>95</v>
      </c>
      <c r="C15" s="262" t="s">
        <v>352</v>
      </c>
      <c r="D15" s="263">
        <f>MC!C78</f>
        <v>0</v>
      </c>
      <c r="E15" s="252">
        <v>629</v>
      </c>
      <c r="F15" s="264">
        <f>'GEXCHA Limp.Ord. '!H149</f>
        <v>0</v>
      </c>
      <c r="G15" s="254">
        <v>65</v>
      </c>
      <c r="H15" s="264">
        <f>'GEXCHA Limp.Ord. '!H155</f>
        <v>0</v>
      </c>
      <c r="I15" s="254">
        <v>697</v>
      </c>
      <c r="J15" s="264">
        <f>'GEXCHA Limp.Ord. '!H161</f>
        <v>0</v>
      </c>
      <c r="K15" s="254">
        <v>85</v>
      </c>
      <c r="L15" s="264">
        <f>'GEXCHA Limp.Ord. '!H167</f>
        <v>0</v>
      </c>
      <c r="M15" s="254">
        <v>76</v>
      </c>
      <c r="N15" s="264">
        <f>'GEXCHA Limp.Ord. '!H173</f>
        <v>0</v>
      </c>
      <c r="O15" s="254">
        <v>627</v>
      </c>
      <c r="P15" s="264">
        <f>'GEXCHA Limp.Ord. '!H176</f>
        <v>0</v>
      </c>
      <c r="Q15" s="254">
        <v>53</v>
      </c>
      <c r="R15" s="264">
        <f>'GEXCHA Limp.Ord. '!H179</f>
        <v>0</v>
      </c>
      <c r="S15" s="254">
        <v>143</v>
      </c>
      <c r="T15" s="265">
        <f>'GEXCHA Limp.Ord. '!H185</f>
        <v>0</v>
      </c>
      <c r="U15" s="254">
        <v>46</v>
      </c>
      <c r="V15" s="265">
        <f>'GEXCHA Limp.Ord. '!H188</f>
        <v>0</v>
      </c>
      <c r="W15" s="256">
        <v>97</v>
      </c>
      <c r="X15" s="265">
        <f>'GEXCHA Limp.Ord. '!H191</f>
        <v>0</v>
      </c>
      <c r="Y15" s="257">
        <f t="shared" si="0"/>
        <v>0</v>
      </c>
      <c r="Z15" s="258">
        <f>'Prod. GEXCHA'!Q13*'GEXCHA Covid  '!C136</f>
        <v>0</v>
      </c>
      <c r="AA15" s="266">
        <f>'Prod. GEXCHA'!R13*'GEXCHA Limp.Ord. '!C141</f>
        <v>0</v>
      </c>
      <c r="AB15" s="267">
        <f>'Prod. GEXCHA'!S13*'GEXCHA Covid  '!C141</f>
        <v>0</v>
      </c>
      <c r="AC15" s="268"/>
      <c r="AD15" s="249"/>
    </row>
    <row r="16" spans="1:30" ht="14.25" customHeight="1" x14ac:dyDescent="0.2">
      <c r="A16" s="262">
        <v>11</v>
      </c>
      <c r="B16" s="262" t="s">
        <v>97</v>
      </c>
      <c r="C16" s="262" t="s">
        <v>353</v>
      </c>
      <c r="D16" s="263">
        <f>MC!C79</f>
        <v>0</v>
      </c>
      <c r="E16" s="252">
        <v>617</v>
      </c>
      <c r="F16" s="264">
        <f>'GEXCHA Limp.Ord. '!H149</f>
        <v>0</v>
      </c>
      <c r="G16" s="254">
        <v>79</v>
      </c>
      <c r="H16" s="264">
        <f>'GEXCHA Limp.Ord. '!H155</f>
        <v>0</v>
      </c>
      <c r="I16" s="254">
        <v>629</v>
      </c>
      <c r="J16" s="264">
        <f>'GEXCHA Limp.Ord. '!H161</f>
        <v>0</v>
      </c>
      <c r="K16" s="254">
        <v>62</v>
      </c>
      <c r="L16" s="264">
        <f>'GEXCHA Limp.Ord. '!H167</f>
        <v>0</v>
      </c>
      <c r="M16" s="254">
        <v>46</v>
      </c>
      <c r="N16" s="264">
        <f>'GEXCHA Limp.Ord. '!H173</f>
        <v>0</v>
      </c>
      <c r="O16" s="254">
        <v>490</v>
      </c>
      <c r="P16" s="264">
        <f>'GEXCHA Limp.Ord. '!H176</f>
        <v>0</v>
      </c>
      <c r="Q16" s="254">
        <v>225</v>
      </c>
      <c r="R16" s="264">
        <f>'GEXCHA Limp.Ord. '!H179</f>
        <v>0</v>
      </c>
      <c r="S16" s="254">
        <v>156</v>
      </c>
      <c r="T16" s="265">
        <f>'GEXCHA Limp.Ord. '!H185</f>
        <v>0</v>
      </c>
      <c r="U16" s="254">
        <v>248</v>
      </c>
      <c r="V16" s="265">
        <f>'GEXCHA Limp.Ord. '!H188</f>
        <v>0</v>
      </c>
      <c r="W16" s="256">
        <v>404</v>
      </c>
      <c r="X16" s="265">
        <f>'GEXCHA Limp.Ord. '!H191</f>
        <v>0</v>
      </c>
      <c r="Y16" s="257">
        <f t="shared" si="0"/>
        <v>0</v>
      </c>
      <c r="Z16" s="258">
        <f>'Prod. GEXCHA'!P14*'GEXCHA Covid  '!D136</f>
        <v>0</v>
      </c>
      <c r="AA16" s="266">
        <f>'Prod. GEXCHA'!R14*'GEXCHA Limp.Ord. '!C141</f>
        <v>0</v>
      </c>
      <c r="AB16" s="267">
        <f>'Prod. GEXCHA'!S14*'GEXCHA Covid  '!C141</f>
        <v>0</v>
      </c>
      <c r="AC16" s="268"/>
      <c r="AD16" s="249"/>
    </row>
    <row r="17" spans="1:1024" ht="14.25" customHeight="1" x14ac:dyDescent="0.2">
      <c r="A17" s="262">
        <v>12</v>
      </c>
      <c r="B17" s="262" t="s">
        <v>99</v>
      </c>
      <c r="C17" s="262" t="s">
        <v>354</v>
      </c>
      <c r="D17" s="263">
        <f>MC!C80</f>
        <v>0</v>
      </c>
      <c r="E17" s="252">
        <v>403</v>
      </c>
      <c r="F17" s="264">
        <f>'GEXCHA Limp.Ord. '!D149</f>
        <v>0</v>
      </c>
      <c r="G17" s="254">
        <v>42</v>
      </c>
      <c r="H17" s="264">
        <f>'GEXCHA Limp.Ord. '!D155</f>
        <v>0</v>
      </c>
      <c r="I17" s="254">
        <v>675</v>
      </c>
      <c r="J17" s="264">
        <f>'GEXCHA Limp.Ord. '!D161</f>
        <v>0</v>
      </c>
      <c r="K17" s="254">
        <v>69</v>
      </c>
      <c r="L17" s="264">
        <f>'GEXCHA Limp.Ord. '!D167</f>
        <v>0</v>
      </c>
      <c r="M17" s="254">
        <v>61</v>
      </c>
      <c r="N17" s="264">
        <f>'GEXCHA Limp.Ord. '!D173</f>
        <v>0</v>
      </c>
      <c r="O17" s="254">
        <v>39</v>
      </c>
      <c r="P17" s="264">
        <f>'GEXCHA Limp.Ord. '!D176</f>
        <v>0</v>
      </c>
      <c r="Q17" s="254">
        <v>138</v>
      </c>
      <c r="R17" s="264">
        <f>'GEXCHA Limp.Ord. '!D179</f>
        <v>0</v>
      </c>
      <c r="S17" s="254">
        <v>153</v>
      </c>
      <c r="T17" s="265">
        <f>'GEXCHA Limp.Ord. '!D185</f>
        <v>0</v>
      </c>
      <c r="U17" s="254">
        <v>50</v>
      </c>
      <c r="V17" s="265">
        <f>'GEXCHA Limp.Ord. '!D188</f>
        <v>0</v>
      </c>
      <c r="W17" s="256">
        <v>103</v>
      </c>
      <c r="X17" s="265">
        <f>'GEXCHA Limp.Ord. '!D191</f>
        <v>0</v>
      </c>
      <c r="Y17" s="257">
        <f t="shared" si="0"/>
        <v>0</v>
      </c>
      <c r="Z17" s="258">
        <f>'Prod. GEXCHA'!P15*'GEXCHA Covid  '!D134</f>
        <v>0</v>
      </c>
      <c r="AA17" s="266">
        <f>'Prod. GEXCHA'!R15*'GEXCHA Limp.Ord. '!C139</f>
        <v>0</v>
      </c>
      <c r="AB17" s="267">
        <f>'Prod. GEXCHA'!S15*'GEXCHA Covid  '!C139</f>
        <v>0</v>
      </c>
      <c r="AC17" s="268"/>
      <c r="AD17" s="270"/>
    </row>
    <row r="18" spans="1:1024" s="271" customFormat="1" ht="14.25" customHeight="1" x14ac:dyDescent="0.2">
      <c r="A18" s="262">
        <v>13</v>
      </c>
      <c r="B18" s="262" t="s">
        <v>101</v>
      </c>
      <c r="C18" s="262" t="s">
        <v>355</v>
      </c>
      <c r="D18" s="263">
        <f>MC!C81</f>
        <v>0</v>
      </c>
      <c r="E18" s="252">
        <v>506</v>
      </c>
      <c r="F18" s="264">
        <f>'GEXCHA Limp.Ord. '!H149</f>
        <v>0</v>
      </c>
      <c r="G18" s="254">
        <v>76</v>
      </c>
      <c r="H18" s="264">
        <f>'GEXCHA Limp.Ord. '!H155</f>
        <v>0</v>
      </c>
      <c r="I18" s="254">
        <v>0</v>
      </c>
      <c r="J18" s="264">
        <f>'GEXCHA Limp.Ord. '!H161</f>
        <v>0</v>
      </c>
      <c r="K18" s="254">
        <v>41</v>
      </c>
      <c r="L18" s="264">
        <f>'GEXCHA Limp.Ord. '!H167</f>
        <v>0</v>
      </c>
      <c r="M18" s="254">
        <v>96</v>
      </c>
      <c r="N18" s="264">
        <f>'GEXCHA Limp.Ord. '!H173</f>
        <v>0</v>
      </c>
      <c r="O18" s="254">
        <v>132</v>
      </c>
      <c r="P18" s="264">
        <f>'GEXCHA Limp.Ord. '!H176</f>
        <v>0</v>
      </c>
      <c r="Q18" s="254">
        <v>851</v>
      </c>
      <c r="R18" s="264">
        <f>'GEXCHA Limp.Ord. '!H179</f>
        <v>0</v>
      </c>
      <c r="S18" s="254">
        <v>0</v>
      </c>
      <c r="T18" s="265">
        <f>'GEXCHA Limp.Ord. '!H185</f>
        <v>0</v>
      </c>
      <c r="U18" s="254">
        <v>269</v>
      </c>
      <c r="V18" s="265">
        <f>'GEXCHA Limp.Ord. '!H188</f>
        <v>0</v>
      </c>
      <c r="W18" s="256">
        <v>269</v>
      </c>
      <c r="X18" s="265">
        <f>'GEXCHA Limp.Ord. '!H191</f>
        <v>0</v>
      </c>
      <c r="Y18" s="257">
        <f t="shared" si="0"/>
        <v>0</v>
      </c>
      <c r="Z18" s="258">
        <f>'Prod. GEXCHA'!Q16*'GEXCHA Covid  '!C136</f>
        <v>0</v>
      </c>
      <c r="AA18" s="266">
        <f>'Prod. GEXCHA'!R16*'GEXCHA Limp.Ord. '!C141</f>
        <v>0</v>
      </c>
      <c r="AB18" s="267">
        <f>'Prod. GEXCHA'!S16*'GEXCHA Covid  '!C141</f>
        <v>0</v>
      </c>
      <c r="AC18" s="268"/>
      <c r="AD18" s="249"/>
      <c r="ALM18" s="272"/>
      <c r="ALN18" s="272"/>
      <c r="ALO18" s="272"/>
      <c r="ALP18" s="272"/>
      <c r="ALQ18" s="272"/>
      <c r="ALR18" s="272"/>
      <c r="ALS18" s="272"/>
      <c r="ALT18" s="272"/>
      <c r="ALU18" s="272"/>
      <c r="ALV18" s="272"/>
      <c r="ALW18" s="272"/>
      <c r="ALX18" s="272"/>
      <c r="ALY18" s="272"/>
      <c r="AMB18"/>
      <c r="AMC18"/>
      <c r="AMD18"/>
      <c r="AME18"/>
      <c r="AMF18"/>
      <c r="AMG18"/>
      <c r="AMH18"/>
      <c r="AMI18"/>
      <c r="AMJ18"/>
    </row>
    <row r="19" spans="1:1024" s="271" customFormat="1" ht="14.25" customHeight="1" x14ac:dyDescent="0.2">
      <c r="A19" s="262">
        <v>14</v>
      </c>
      <c r="B19" s="262" t="s">
        <v>356</v>
      </c>
      <c r="C19" s="262" t="s">
        <v>357</v>
      </c>
      <c r="D19" s="263">
        <f>MC!C82</f>
        <v>0</v>
      </c>
      <c r="E19" s="252">
        <v>399</v>
      </c>
      <c r="F19" s="264">
        <f>'GEXCHA Limp.Ord. '!D149</f>
        <v>0</v>
      </c>
      <c r="G19" s="254">
        <v>24</v>
      </c>
      <c r="H19" s="264">
        <f>'GEXCHA Limp.Ord. '!D155</f>
        <v>0</v>
      </c>
      <c r="I19" s="254">
        <v>0</v>
      </c>
      <c r="J19" s="264">
        <f>'GEXCHA Limp.Ord. '!D161</f>
        <v>0</v>
      </c>
      <c r="K19" s="254">
        <v>37</v>
      </c>
      <c r="L19" s="264">
        <f>'GEXCHA Limp.Ord. '!D167</f>
        <v>0</v>
      </c>
      <c r="M19" s="254">
        <v>36</v>
      </c>
      <c r="N19" s="264">
        <f>'GEXCHA Limp.Ord. '!D173</f>
        <v>0</v>
      </c>
      <c r="O19" s="254">
        <v>132</v>
      </c>
      <c r="P19" s="264">
        <f>'GEXCHA Limp.Ord. '!D176</f>
        <v>0</v>
      </c>
      <c r="Q19" s="254">
        <v>446</v>
      </c>
      <c r="R19" s="264">
        <f>'GEXCHA Limp.Ord. '!D179</f>
        <v>0</v>
      </c>
      <c r="S19" s="254">
        <v>0</v>
      </c>
      <c r="T19" s="265">
        <f>'GEXCHA Limp.Ord. '!D185</f>
        <v>0</v>
      </c>
      <c r="U19" s="254">
        <v>178</v>
      </c>
      <c r="V19" s="265">
        <f>'GEXCHA Limp.Ord. '!D188</f>
        <v>0</v>
      </c>
      <c r="W19" s="256">
        <v>178</v>
      </c>
      <c r="X19" s="265">
        <f>'GEXCHA Limp.Ord. '!D191</f>
        <v>0</v>
      </c>
      <c r="Y19" s="257">
        <f t="shared" si="0"/>
        <v>0</v>
      </c>
      <c r="Z19" s="258">
        <f>'Prod. GEXCHA'!N17*'GEXCHA Covid  '!D134</f>
        <v>0</v>
      </c>
      <c r="AA19" s="266">
        <f>'Prod. GEXCHA'!R17*'GEXCHA Limp.Ord. '!C139</f>
        <v>0</v>
      </c>
      <c r="AB19" s="267">
        <f>'Prod. GEXCHA'!S17*'GEXCHA Covid  '!C139</f>
        <v>0</v>
      </c>
      <c r="AC19" s="268"/>
      <c r="AD19" s="249"/>
      <c r="ALM19" s="272"/>
      <c r="ALN19" s="272"/>
      <c r="ALO19" s="272"/>
      <c r="ALP19" s="272"/>
      <c r="ALQ19" s="272"/>
      <c r="ALR19" s="272"/>
      <c r="ALS19" s="272"/>
      <c r="ALT19" s="272"/>
      <c r="ALU19" s="272"/>
      <c r="ALV19" s="272"/>
      <c r="ALW19" s="272"/>
      <c r="ALX19" s="272"/>
      <c r="ALY19" s="272"/>
      <c r="AMB19"/>
      <c r="AMC19"/>
      <c r="AMD19"/>
      <c r="AME19"/>
      <c r="AMF19"/>
      <c r="AMG19"/>
      <c r="AMH19"/>
      <c r="AMI19"/>
      <c r="AMJ19"/>
    </row>
    <row r="20" spans="1:1024" s="271" customFormat="1" ht="14.25" customHeight="1" x14ac:dyDescent="0.2">
      <c r="A20" s="262">
        <v>15</v>
      </c>
      <c r="B20" s="273" t="s">
        <v>105</v>
      </c>
      <c r="C20" s="262" t="s">
        <v>358</v>
      </c>
      <c r="D20" s="263">
        <f>MC!C83</f>
        <v>0</v>
      </c>
      <c r="E20" s="252">
        <v>375</v>
      </c>
      <c r="F20" s="274">
        <f>'GEXCHA Limp.Ord. '!L149</f>
        <v>0</v>
      </c>
      <c r="G20" s="254">
        <v>42</v>
      </c>
      <c r="H20" s="274">
        <f>'GEXCHA Limp.Ord. '!L155</f>
        <v>0</v>
      </c>
      <c r="I20" s="254">
        <v>288</v>
      </c>
      <c r="J20" s="274">
        <f>'GEXCHA Limp.Ord. '!L161</f>
        <v>0</v>
      </c>
      <c r="K20" s="254">
        <v>81</v>
      </c>
      <c r="L20" s="274">
        <f>'GEXCHA Limp.Ord. '!L167</f>
        <v>0</v>
      </c>
      <c r="M20" s="254">
        <v>96</v>
      </c>
      <c r="N20" s="274">
        <f>'GEXCHA Limp.Ord. '!L173</f>
        <v>0</v>
      </c>
      <c r="O20" s="254">
        <v>1275</v>
      </c>
      <c r="P20" s="274">
        <f>'GEXCHA Limp.Ord. '!L176</f>
        <v>0</v>
      </c>
      <c r="Q20" s="254">
        <v>526</v>
      </c>
      <c r="R20" s="274">
        <f>'GEXCHA Limp.Ord. '!L179</f>
        <v>0</v>
      </c>
      <c r="S20" s="254">
        <v>148</v>
      </c>
      <c r="T20" s="275">
        <f>'GEXCHA Limp.Ord. '!L185</f>
        <v>0</v>
      </c>
      <c r="U20" s="254">
        <v>36</v>
      </c>
      <c r="V20" s="275">
        <f>'GEXCHA Limp.Ord. '!L188</f>
        <v>0</v>
      </c>
      <c r="W20" s="256">
        <v>112</v>
      </c>
      <c r="X20" s="275">
        <f>'GEXCHA Limp.Ord. '!L191</f>
        <v>0</v>
      </c>
      <c r="Y20" s="257">
        <f t="shared" si="0"/>
        <v>0</v>
      </c>
      <c r="Z20" s="276">
        <f>'Prod. GEXCHA'!P18*'GEXCHA Covid  '!D138</f>
        <v>0</v>
      </c>
      <c r="AA20" s="277">
        <f>'Prod. GEXCHA'!R18*'GEXCHA Limp.Ord. '!C143</f>
        <v>0</v>
      </c>
      <c r="AB20" s="278">
        <f>'Prod. GEXCHA'!S18*'GEXCHA Covid  '!C143</f>
        <v>0</v>
      </c>
      <c r="AC20" s="279"/>
      <c r="AD20" s="249"/>
      <c r="ALM20" s="272"/>
      <c r="ALN20" s="272"/>
      <c r="ALO20" s="272"/>
      <c r="ALP20" s="272"/>
      <c r="ALQ20" s="272"/>
      <c r="ALR20" s="272"/>
      <c r="ALS20" s="272"/>
      <c r="ALT20" s="272"/>
      <c r="ALU20" s="272"/>
      <c r="ALV20" s="272"/>
      <c r="ALW20" s="272"/>
      <c r="ALX20" s="272"/>
      <c r="ALY20" s="272"/>
      <c r="AMB20"/>
      <c r="AMC20"/>
      <c r="AMD20"/>
      <c r="AME20"/>
      <c r="AMF20"/>
      <c r="AMG20"/>
      <c r="AMH20"/>
      <c r="AMI20"/>
      <c r="AMJ20"/>
    </row>
    <row r="21" spans="1:1024" s="271" customFormat="1" ht="14.25" customHeight="1" x14ac:dyDescent="0.2">
      <c r="A21" s="262">
        <v>16</v>
      </c>
      <c r="B21" s="262" t="s">
        <v>107</v>
      </c>
      <c r="C21" s="262" t="s">
        <v>359</v>
      </c>
      <c r="D21" s="263">
        <f>MC!C84</f>
        <v>0</v>
      </c>
      <c r="E21" s="252">
        <v>294</v>
      </c>
      <c r="F21" s="274">
        <f>'GEXCHA Limp.Ord. '!H149</f>
        <v>0</v>
      </c>
      <c r="G21" s="254">
        <v>40</v>
      </c>
      <c r="H21" s="274">
        <f>'GEXCHA Limp.Ord. '!H155</f>
        <v>0</v>
      </c>
      <c r="I21" s="254">
        <v>0</v>
      </c>
      <c r="J21" s="274">
        <f>'GEXCHA Limp.Ord. '!H161</f>
        <v>0</v>
      </c>
      <c r="K21" s="254">
        <v>25</v>
      </c>
      <c r="L21" s="274">
        <f>'GEXCHA Limp.Ord. '!H167</f>
        <v>0</v>
      </c>
      <c r="M21" s="254">
        <v>40</v>
      </c>
      <c r="N21" s="274">
        <f>'GEXCHA Limp.Ord. '!H173</f>
        <v>0</v>
      </c>
      <c r="O21" s="254">
        <v>384</v>
      </c>
      <c r="P21" s="274">
        <f>'GEXCHA Limp.Ord. '!H176</f>
        <v>0</v>
      </c>
      <c r="Q21" s="254">
        <v>350</v>
      </c>
      <c r="R21" s="274">
        <f>'GEXCHA Limp.Ord. '!H179</f>
        <v>0</v>
      </c>
      <c r="S21" s="254">
        <v>0</v>
      </c>
      <c r="T21" s="275">
        <f>'GEXCHA Limp.Ord. '!H185</f>
        <v>0</v>
      </c>
      <c r="U21" s="254">
        <v>236</v>
      </c>
      <c r="V21" s="275">
        <f>'GEXCHA Limp.Ord. '!H188</f>
        <v>0</v>
      </c>
      <c r="W21" s="256">
        <v>236</v>
      </c>
      <c r="X21" s="275">
        <f>'GEXCHA Limp.Ord. '!H191</f>
        <v>0</v>
      </c>
      <c r="Y21" s="257">
        <f t="shared" si="0"/>
        <v>0</v>
      </c>
      <c r="Z21" s="276"/>
      <c r="AA21" s="277">
        <f>'Prod. GEXCHA'!R19*'GEXCHA Limp.Ord. '!C141</f>
        <v>0</v>
      </c>
      <c r="AB21" s="278">
        <f>'Prod. GEXCHA'!S19*'GEXCHA Covid  '!C141</f>
        <v>0</v>
      </c>
      <c r="AC21" s="279"/>
      <c r="AD21" s="249"/>
      <c r="ALM21" s="272"/>
      <c r="ALN21" s="272"/>
      <c r="ALO21" s="272"/>
      <c r="ALP21" s="272"/>
      <c r="ALQ21" s="272"/>
      <c r="ALR21" s="272"/>
      <c r="ALS21" s="272"/>
      <c r="ALT21" s="272"/>
      <c r="ALU21" s="272"/>
      <c r="ALV21" s="272"/>
      <c r="ALW21" s="272"/>
      <c r="ALX21" s="272"/>
      <c r="ALY21" s="272"/>
      <c r="AMB21"/>
      <c r="AMC21"/>
      <c r="AMD21"/>
      <c r="AME21"/>
      <c r="AMF21"/>
      <c r="AMG21"/>
      <c r="AMH21"/>
      <c r="AMI21"/>
      <c r="AMJ21"/>
    </row>
    <row r="22" spans="1:1024" s="271" customFormat="1" ht="14.25" customHeight="1" x14ac:dyDescent="0.2">
      <c r="A22" s="262">
        <v>17</v>
      </c>
      <c r="B22" s="262" t="s">
        <v>109</v>
      </c>
      <c r="C22" s="262" t="s">
        <v>360</v>
      </c>
      <c r="D22" s="263">
        <f>MC!C85</f>
        <v>0</v>
      </c>
      <c r="E22" s="280">
        <v>313</v>
      </c>
      <c r="F22" s="281">
        <f>'GEXCHA Limp.Ord. '!H149</f>
        <v>0</v>
      </c>
      <c r="G22" s="282">
        <v>21</v>
      </c>
      <c r="H22" s="281">
        <f>'GEXCHA Limp.Ord. '!H155</f>
        <v>0</v>
      </c>
      <c r="I22" s="282">
        <v>0</v>
      </c>
      <c r="J22" s="281">
        <f>'GEXCHA Limp.Ord. '!H161</f>
        <v>0</v>
      </c>
      <c r="K22" s="282">
        <v>25</v>
      </c>
      <c r="L22" s="281">
        <f>'GEXCHA Limp.Ord. '!H167</f>
        <v>0</v>
      </c>
      <c r="M22" s="282">
        <v>36</v>
      </c>
      <c r="N22" s="281">
        <f>'GEXCHA Limp.Ord. '!H173</f>
        <v>0</v>
      </c>
      <c r="O22" s="282">
        <v>127</v>
      </c>
      <c r="P22" s="281">
        <f>'GEXCHA Limp.Ord. '!H176</f>
        <v>0</v>
      </c>
      <c r="Q22" s="282">
        <v>74</v>
      </c>
      <c r="R22" s="281">
        <f>'GEXCHA Limp.Ord. '!H179</f>
        <v>0</v>
      </c>
      <c r="S22" s="283">
        <v>0</v>
      </c>
      <c r="T22" s="275">
        <f>'GEXCHA Limp.Ord. '!H185</f>
        <v>0</v>
      </c>
      <c r="U22" s="282">
        <v>236</v>
      </c>
      <c r="V22" s="275">
        <f>'GEXCHA Limp.Ord. '!H188</f>
        <v>0</v>
      </c>
      <c r="W22" s="284">
        <v>236</v>
      </c>
      <c r="X22" s="275">
        <f>'GEXCHA Limp.Ord. '!H191</f>
        <v>0</v>
      </c>
      <c r="Y22" s="257">
        <f t="shared" si="0"/>
        <v>0</v>
      </c>
      <c r="Z22" s="285"/>
      <c r="AA22" s="286">
        <f>'Prod. GEXCHA'!R20*'GEXCHA Limp.Ord. '!C141</f>
        <v>0</v>
      </c>
      <c r="AB22" s="287">
        <f>'Prod. GEXCHA'!S20*'GEXCHA Covid  '!C141</f>
        <v>0</v>
      </c>
      <c r="AC22" s="288"/>
      <c r="ALM22" s="272"/>
      <c r="ALN22" s="272"/>
      <c r="ALO22" s="272"/>
      <c r="ALP22" s="272"/>
      <c r="ALQ22" s="272"/>
      <c r="ALR22" s="272"/>
      <c r="ALS22" s="272"/>
      <c r="ALT22" s="272"/>
      <c r="ALU22" s="272"/>
      <c r="ALV22" s="272"/>
      <c r="ALW22" s="272"/>
      <c r="ALX22" s="272"/>
      <c r="ALY22" s="272"/>
      <c r="AMB22"/>
      <c r="AMC22"/>
      <c r="AMD22"/>
      <c r="AME22"/>
      <c r="AMF22"/>
      <c r="AMG22"/>
      <c r="AMH22"/>
      <c r="AMI22"/>
      <c r="AMJ22"/>
    </row>
    <row r="23" spans="1:1024" s="271" customFormat="1" ht="14.25" customHeight="1" x14ac:dyDescent="0.2">
      <c r="A23" s="797" t="s">
        <v>361</v>
      </c>
      <c r="B23" s="797"/>
      <c r="C23" s="797"/>
      <c r="D23" s="797"/>
      <c r="E23" s="289">
        <f>SUM(E6:E22)</f>
        <v>9246</v>
      </c>
      <c r="F23" s="289"/>
      <c r="G23" s="290">
        <f>SUM(G6:G22)</f>
        <v>3478</v>
      </c>
      <c r="H23" s="291"/>
      <c r="I23" s="290">
        <f>SUM(I6:I22)</f>
        <v>7515</v>
      </c>
      <c r="J23" s="291"/>
      <c r="K23" s="290">
        <f>SUM(K6:K22)</f>
        <v>1010</v>
      </c>
      <c r="L23" s="291"/>
      <c r="M23" s="290">
        <f>SUM(M6:M22)</f>
        <v>1129</v>
      </c>
      <c r="N23" s="291"/>
      <c r="O23" s="290">
        <f>SUM(O6:O22)</f>
        <v>5859</v>
      </c>
      <c r="P23" s="291"/>
      <c r="Q23" s="290">
        <f>SUM(Q6:Q22)</f>
        <v>5152</v>
      </c>
      <c r="R23" s="291"/>
      <c r="S23" s="290">
        <f>SUM(S6:S22)</f>
        <v>1362</v>
      </c>
      <c r="T23" s="292"/>
      <c r="U23" s="290">
        <f>SUM(U6:U22)</f>
        <v>2893</v>
      </c>
      <c r="V23" s="291"/>
      <c r="W23" s="293">
        <f>SUM(W6:W22)</f>
        <v>3991</v>
      </c>
      <c r="X23" s="291"/>
      <c r="Y23" s="291">
        <f>SUM(Y6:Y22)</f>
        <v>0</v>
      </c>
      <c r="Z23" s="294">
        <f>SUM(Z6:Z22)</f>
        <v>0</v>
      </c>
      <c r="AA23" s="293">
        <f>SUM(AA6:AA22)</f>
        <v>0</v>
      </c>
      <c r="AB23" s="295">
        <f>SUM(AB6:AB22)</f>
        <v>0</v>
      </c>
      <c r="AC23" s="291">
        <f>SUM(AC6:AC22)</f>
        <v>0</v>
      </c>
      <c r="ALM23" s="272"/>
      <c r="ALN23" s="272"/>
      <c r="ALO23" s="272"/>
      <c r="ALP23" s="272"/>
      <c r="ALQ23" s="272"/>
      <c r="ALR23" s="272"/>
      <c r="ALS23" s="272"/>
      <c r="ALT23" s="272"/>
      <c r="ALU23" s="272"/>
      <c r="ALV23" s="272"/>
      <c r="ALW23" s="272"/>
      <c r="ALX23" s="272"/>
      <c r="ALY23" s="272"/>
      <c r="AMB23"/>
      <c r="AMC23"/>
      <c r="AMD23"/>
      <c r="AME23"/>
      <c r="AMF23"/>
      <c r="AMG23"/>
      <c r="AMH23"/>
      <c r="AMI23"/>
      <c r="AMJ23"/>
    </row>
    <row r="24" spans="1:1024" s="271" customFormat="1" x14ac:dyDescent="0.2">
      <c r="A24" s="250">
        <v>16</v>
      </c>
      <c r="B24" s="250" t="s">
        <v>80</v>
      </c>
      <c r="C24" s="250" t="s">
        <v>362</v>
      </c>
      <c r="D24" s="251">
        <f>MC!I70</f>
        <v>0</v>
      </c>
      <c r="E24" s="296">
        <v>2821</v>
      </c>
      <c r="F24" s="297">
        <f>'GEXCRI Limp.Ord. '!L149</f>
        <v>0</v>
      </c>
      <c r="G24" s="298">
        <v>203</v>
      </c>
      <c r="H24" s="299">
        <f>'GEXCRI Limp.Ord. '!L155</f>
        <v>0</v>
      </c>
      <c r="I24" s="298"/>
      <c r="J24" s="299"/>
      <c r="K24" s="298">
        <v>96.31</v>
      </c>
      <c r="L24" s="299">
        <f>'GEXCRI Limp.Ord. '!L167</f>
        <v>0</v>
      </c>
      <c r="M24" s="298">
        <v>746.9</v>
      </c>
      <c r="N24" s="299">
        <f>'GEXCRI Limp.Ord. '!L173</f>
        <v>0</v>
      </c>
      <c r="O24" s="300"/>
      <c r="P24" s="299"/>
      <c r="Q24" s="300"/>
      <c r="R24" s="299"/>
      <c r="S24" s="301"/>
      <c r="T24" s="299"/>
      <c r="U24" s="300"/>
      <c r="V24" s="299"/>
      <c r="W24" s="302">
        <v>1152.56</v>
      </c>
      <c r="X24" s="299">
        <f>'GEXCRI Limp.Ord. '!L191</f>
        <v>0</v>
      </c>
      <c r="Y24" s="257">
        <f t="shared" ref="Y24:Y36" si="1">(E24*F24)+(G24*H24)+(I24*J24)+(K24*L24)+(M24*N24)+(O24*P24)+(Q24*R24)+(S24*T24)+(U24*V24)+(W24*X24)</f>
        <v>0</v>
      </c>
      <c r="Z24" s="258">
        <f>'Prod. GEXCRI'!Q4*'GEXCRI Covid '!C138</f>
        <v>0</v>
      </c>
      <c r="AA24" s="303">
        <f>'Prod. GEXCRI'!R4*'GEXCRI Limp.Ord. '!C143</f>
        <v>0</v>
      </c>
      <c r="AB24" s="260">
        <f>'Prod. GEXCRI'!S4*'GEXCRI Covid '!C143</f>
        <v>0</v>
      </c>
      <c r="AC24" s="304">
        <f>'Prod. GEXCRI'!T4*MC!I7</f>
        <v>0</v>
      </c>
      <c r="ALM24" s="272"/>
      <c r="ALN24" s="272"/>
      <c r="ALO24" s="272"/>
      <c r="ALP24" s="272"/>
      <c r="ALQ24" s="272"/>
      <c r="ALR24" s="272"/>
      <c r="ALS24" s="272"/>
      <c r="ALT24" s="272"/>
      <c r="ALU24" s="272"/>
      <c r="ALV24" s="272"/>
      <c r="ALW24" s="272"/>
      <c r="ALX24" s="272"/>
      <c r="ALY24" s="272"/>
      <c r="AMB24"/>
      <c r="AMC24"/>
      <c r="AMD24"/>
      <c r="AME24"/>
      <c r="AMF24"/>
      <c r="AMG24"/>
      <c r="AMH24"/>
      <c r="AMI24"/>
      <c r="AMJ24"/>
    </row>
    <row r="25" spans="1:1024" s="271" customFormat="1" x14ac:dyDescent="0.2">
      <c r="A25" s="262">
        <v>17</v>
      </c>
      <c r="B25" s="262" t="s">
        <v>82</v>
      </c>
      <c r="C25" s="262" t="s">
        <v>363</v>
      </c>
      <c r="D25" s="263">
        <f>MC!I71</f>
        <v>0</v>
      </c>
      <c r="E25" s="305">
        <v>165</v>
      </c>
      <c r="F25" s="306">
        <f>'GEXCRI Limp.Ord. '!L149</f>
        <v>0</v>
      </c>
      <c r="G25" s="254">
        <v>1835</v>
      </c>
      <c r="H25" s="307">
        <f>'GEXCRI Limp.Ord. '!L155</f>
        <v>0</v>
      </c>
      <c r="I25" s="254"/>
      <c r="J25" s="307"/>
      <c r="K25" s="254">
        <v>24.5</v>
      </c>
      <c r="L25" s="307">
        <f>'GEXCRI Limp.Ord. '!L167</f>
        <v>0</v>
      </c>
      <c r="M25" s="254">
        <v>135</v>
      </c>
      <c r="N25" s="307">
        <f>'GEXCRI Limp.Ord. '!L173</f>
        <v>0</v>
      </c>
      <c r="O25" s="308"/>
      <c r="P25" s="307"/>
      <c r="Q25" s="308"/>
      <c r="R25" s="307"/>
      <c r="S25" s="309"/>
      <c r="T25" s="307"/>
      <c r="U25" s="308"/>
      <c r="V25" s="307"/>
      <c r="W25" s="310">
        <v>30</v>
      </c>
      <c r="X25" s="307">
        <f>'GEXCRI Limp.Ord. '!L191</f>
        <v>0</v>
      </c>
      <c r="Y25" s="257">
        <f t="shared" si="1"/>
        <v>0</v>
      </c>
      <c r="Z25" s="258"/>
      <c r="AA25" s="311">
        <f>'Prod. GEXCRI'!R5*'GEXCRI Limp.Ord. '!C143</f>
        <v>0</v>
      </c>
      <c r="AB25" s="267">
        <f>'Prod. GEXCRI'!S5*'GEXCRI Covid '!C143</f>
        <v>0</v>
      </c>
      <c r="AC25" s="312"/>
      <c r="ALM25" s="272"/>
      <c r="ALN25" s="272"/>
      <c r="ALO25" s="272"/>
      <c r="ALP25" s="272"/>
      <c r="ALQ25" s="272"/>
      <c r="ALR25" s="272"/>
      <c r="ALS25" s="272"/>
      <c r="ALT25" s="272"/>
      <c r="ALU25" s="272"/>
      <c r="ALV25" s="272"/>
      <c r="ALW25" s="272"/>
      <c r="ALX25" s="272"/>
      <c r="ALY25" s="272"/>
      <c r="AMB25"/>
      <c r="AMC25"/>
      <c r="AMD25"/>
      <c r="AME25"/>
      <c r="AMF25"/>
      <c r="AMG25"/>
      <c r="AMH25"/>
      <c r="AMI25"/>
      <c r="AMJ25"/>
    </row>
    <row r="26" spans="1:1024" s="271" customFormat="1" x14ac:dyDescent="0.2">
      <c r="A26" s="262">
        <v>18</v>
      </c>
      <c r="B26" s="262" t="s">
        <v>84</v>
      </c>
      <c r="C26" s="262" t="s">
        <v>364</v>
      </c>
      <c r="D26" s="263">
        <f>MC!I72</f>
        <v>0</v>
      </c>
      <c r="E26" s="305">
        <v>1516</v>
      </c>
      <c r="F26" s="306">
        <f>'GEXCRI Limp.Ord. '!H149</f>
        <v>0</v>
      </c>
      <c r="G26" s="254">
        <v>666.5</v>
      </c>
      <c r="H26" s="307">
        <f>'GEXCRI Limp.Ord. '!H155</f>
        <v>0</v>
      </c>
      <c r="I26" s="254">
        <v>542.46</v>
      </c>
      <c r="J26" s="299">
        <f>'GEXCRI Limp.Ord. '!H161</f>
        <v>0</v>
      </c>
      <c r="K26" s="254">
        <v>60.67</v>
      </c>
      <c r="L26" s="307">
        <f>'GEXCRI Limp.Ord. '!H167</f>
        <v>0</v>
      </c>
      <c r="M26" s="254">
        <v>700</v>
      </c>
      <c r="N26" s="307">
        <f>'GEXCRI Limp.Ord. '!H173</f>
        <v>0</v>
      </c>
      <c r="O26" s="308"/>
      <c r="P26" s="307"/>
      <c r="Q26" s="308"/>
      <c r="R26" s="307"/>
      <c r="S26" s="309"/>
      <c r="T26" s="307"/>
      <c r="U26" s="308"/>
      <c r="V26" s="307"/>
      <c r="W26" s="310">
        <v>241.7</v>
      </c>
      <c r="X26" s="307">
        <f>'GEXCRI Limp.Ord. '!H191</f>
        <v>0</v>
      </c>
      <c r="Y26" s="257">
        <f t="shared" si="1"/>
        <v>0</v>
      </c>
      <c r="Z26" s="258">
        <f>'Prod. GEXCRI'!Q6*'GEXCRI Covid '!C136</f>
        <v>0</v>
      </c>
      <c r="AA26" s="311">
        <f>'Prod. GEXCRI'!R6*'GEXCRI Limp.Ord. '!C141</f>
        <v>0</v>
      </c>
      <c r="AB26" s="267">
        <f>'Prod. GEXCRI'!S6*'GEXCRI Covid '!C141</f>
        <v>0</v>
      </c>
      <c r="AC26" s="312"/>
      <c r="ALM26" s="272"/>
      <c r="ALN26" s="272"/>
      <c r="ALO26" s="272"/>
      <c r="ALP26" s="272"/>
      <c r="ALQ26" s="272"/>
      <c r="ALR26" s="272"/>
      <c r="ALS26" s="272"/>
      <c r="ALT26" s="272"/>
      <c r="ALU26" s="272"/>
      <c r="ALV26" s="272"/>
      <c r="ALW26" s="272"/>
      <c r="ALX26" s="272"/>
      <c r="ALY26" s="272"/>
      <c r="AMB26"/>
      <c r="AMC26"/>
      <c r="AMD26"/>
      <c r="AME26"/>
      <c r="AMF26"/>
      <c r="AMG26"/>
      <c r="AMH26"/>
      <c r="AMI26"/>
      <c r="AMJ26"/>
    </row>
    <row r="27" spans="1:1024" s="271" customFormat="1" x14ac:dyDescent="0.2">
      <c r="A27" s="262">
        <v>19</v>
      </c>
      <c r="B27" s="262" t="s">
        <v>86</v>
      </c>
      <c r="C27" s="262" t="s">
        <v>365</v>
      </c>
      <c r="D27" s="263">
        <f>MC!I73</f>
        <v>0</v>
      </c>
      <c r="E27" s="305">
        <v>467</v>
      </c>
      <c r="F27" s="306">
        <f>'GEXCRI Limp.Ord. '!J149</f>
        <v>0</v>
      </c>
      <c r="G27" s="254">
        <v>48</v>
      </c>
      <c r="H27" s="307">
        <f>'GEXCRI Limp.Ord. '!J155</f>
        <v>0</v>
      </c>
      <c r="I27" s="254"/>
      <c r="J27" s="307"/>
      <c r="K27" s="254">
        <v>24.24</v>
      </c>
      <c r="L27" s="307">
        <f>'GEXCRI Limp.Ord. '!J167</f>
        <v>0</v>
      </c>
      <c r="M27" s="254">
        <v>806</v>
      </c>
      <c r="N27" s="307">
        <f>'GEXCRI Limp.Ord. '!J173</f>
        <v>0</v>
      </c>
      <c r="O27" s="308"/>
      <c r="P27" s="307"/>
      <c r="Q27" s="308"/>
      <c r="R27" s="307"/>
      <c r="S27" s="309"/>
      <c r="T27" s="307"/>
      <c r="U27" s="308"/>
      <c r="V27" s="307"/>
      <c r="W27" s="310">
        <v>111.2</v>
      </c>
      <c r="X27" s="307">
        <f>'GEXCRI Limp.Ord. '!J191</f>
        <v>0</v>
      </c>
      <c r="Y27" s="257">
        <f t="shared" si="1"/>
        <v>0</v>
      </c>
      <c r="Z27" s="258">
        <f>'Prod. GEXCRI'!P7*'GEXCRI Covid '!D137</f>
        <v>0</v>
      </c>
      <c r="AA27" s="311">
        <f>'Prod. GEXCRI'!R7*'GEXCRI Limp.Ord. '!C142</f>
        <v>0</v>
      </c>
      <c r="AB27" s="267">
        <f>'Prod. GEXCRI'!S7*'GEXCRI Covid '!C142</f>
        <v>0</v>
      </c>
      <c r="AC27" s="312"/>
      <c r="ALM27" s="272"/>
      <c r="ALN27" s="272"/>
      <c r="ALO27" s="272"/>
      <c r="ALP27" s="272"/>
      <c r="ALQ27" s="272"/>
      <c r="ALR27" s="272"/>
      <c r="ALS27" s="272"/>
      <c r="ALT27" s="272"/>
      <c r="ALU27" s="272"/>
      <c r="ALV27" s="272"/>
      <c r="ALW27" s="272"/>
      <c r="ALX27" s="272"/>
      <c r="ALY27" s="272"/>
      <c r="AMB27"/>
      <c r="AMC27"/>
      <c r="AMD27"/>
      <c r="AME27"/>
      <c r="AMF27"/>
      <c r="AMG27"/>
      <c r="AMH27"/>
      <c r="AMI27"/>
      <c r="AMJ27"/>
    </row>
    <row r="28" spans="1:1024" s="271" customFormat="1" x14ac:dyDescent="0.2">
      <c r="A28" s="262">
        <v>20</v>
      </c>
      <c r="B28" s="262" t="s">
        <v>88</v>
      </c>
      <c r="C28" s="262" t="s">
        <v>366</v>
      </c>
      <c r="D28" s="263">
        <f>MC!I74</f>
        <v>0</v>
      </c>
      <c r="E28" s="305">
        <v>809.64</v>
      </c>
      <c r="F28" s="306">
        <f>'GEXCRI Limp.Ord. '!L149</f>
        <v>0</v>
      </c>
      <c r="G28" s="254">
        <v>125</v>
      </c>
      <c r="H28" s="307">
        <f>'GEXCRI Limp.Ord. '!L155</f>
        <v>0</v>
      </c>
      <c r="I28" s="254"/>
      <c r="J28" s="307"/>
      <c r="K28" s="254">
        <v>29.38</v>
      </c>
      <c r="L28" s="307">
        <f>'GEXCRI Limp.Ord. '!L167</f>
        <v>0</v>
      </c>
      <c r="M28" s="254">
        <v>79.42</v>
      </c>
      <c r="N28" s="307">
        <f>'GEXCRI Limp.Ord. '!L173</f>
        <v>0</v>
      </c>
      <c r="O28" s="308"/>
      <c r="P28" s="307"/>
      <c r="Q28" s="308"/>
      <c r="R28" s="307"/>
      <c r="S28" s="309"/>
      <c r="T28" s="307"/>
      <c r="U28" s="308"/>
      <c r="V28" s="307"/>
      <c r="W28" s="310">
        <v>74.61</v>
      </c>
      <c r="X28" s="307">
        <f>'GEXCRI Limp.Ord. '!L191</f>
        <v>0</v>
      </c>
      <c r="Y28" s="257">
        <f t="shared" si="1"/>
        <v>0</v>
      </c>
      <c r="Z28" s="258"/>
      <c r="AA28" s="311">
        <f>'Prod. GEXCRI'!R8*'GEXCRI Limp.Ord. '!C143</f>
        <v>0</v>
      </c>
      <c r="AB28" s="267">
        <f>'Prod. GEXCRI'!S8*'GEXCRI Covid '!C143</f>
        <v>0</v>
      </c>
      <c r="AC28" s="312"/>
      <c r="ALM28" s="272"/>
      <c r="ALN28" s="272"/>
      <c r="ALO28" s="272"/>
      <c r="ALP28" s="272"/>
      <c r="ALQ28" s="272"/>
      <c r="ALR28" s="272"/>
      <c r="ALS28" s="272"/>
      <c r="ALT28" s="272"/>
      <c r="ALU28" s="272"/>
      <c r="ALV28" s="272"/>
      <c r="ALW28" s="272"/>
      <c r="ALX28" s="272"/>
      <c r="ALY28" s="272"/>
      <c r="AMB28"/>
      <c r="AMC28"/>
      <c r="AMD28"/>
      <c r="AME28"/>
      <c r="AMF28"/>
      <c r="AMG28"/>
      <c r="AMH28"/>
      <c r="AMI28"/>
      <c r="AMJ28"/>
    </row>
    <row r="29" spans="1:1024" s="271" customFormat="1" x14ac:dyDescent="0.2">
      <c r="A29" s="262">
        <v>21</v>
      </c>
      <c r="B29" s="262" t="s">
        <v>90</v>
      </c>
      <c r="C29" s="262" t="s">
        <v>367</v>
      </c>
      <c r="D29" s="263">
        <f>MC!I75</f>
        <v>0</v>
      </c>
      <c r="E29" s="305">
        <v>519.29999999999995</v>
      </c>
      <c r="F29" s="306">
        <f>'GEXCRI Limp.Ord. '!J149</f>
        <v>0</v>
      </c>
      <c r="G29" s="254">
        <v>30</v>
      </c>
      <c r="H29" s="307">
        <f>'GEXCRI Limp.Ord. '!H155</f>
        <v>0</v>
      </c>
      <c r="I29" s="254"/>
      <c r="J29" s="307"/>
      <c r="K29" s="254">
        <v>22.51</v>
      </c>
      <c r="L29" s="307">
        <f>'GEXCRI Limp.Ord. '!J167</f>
        <v>0</v>
      </c>
      <c r="M29" s="254">
        <v>521</v>
      </c>
      <c r="N29" s="307">
        <f>'GEXCRI Limp.Ord. '!J173</f>
        <v>0</v>
      </c>
      <c r="O29" s="308"/>
      <c r="P29" s="307"/>
      <c r="Q29" s="308"/>
      <c r="R29" s="307"/>
      <c r="S29" s="309"/>
      <c r="T29" s="307"/>
      <c r="U29" s="308"/>
      <c r="V29" s="307"/>
      <c r="W29" s="310">
        <v>102.1</v>
      </c>
      <c r="X29" s="307">
        <f>'GEXCRI Limp.Ord. '!J191</f>
        <v>0</v>
      </c>
      <c r="Y29" s="257">
        <f t="shared" si="1"/>
        <v>0</v>
      </c>
      <c r="Z29" s="258"/>
      <c r="AA29" s="311">
        <f>'Prod. GEXCRI'!R9*'GEXCRI Limp.Ord. '!C142</f>
        <v>0</v>
      </c>
      <c r="AB29" s="267">
        <f>'Prod. GEXCRI'!S9*'GEXCRI Covid '!C142</f>
        <v>0</v>
      </c>
      <c r="AC29" s="312"/>
      <c r="ALM29" s="272"/>
      <c r="ALN29" s="272"/>
      <c r="ALO29" s="272"/>
      <c r="ALP29" s="272"/>
      <c r="ALQ29" s="272"/>
      <c r="ALR29" s="272"/>
      <c r="ALS29" s="272"/>
      <c r="ALT29" s="272"/>
      <c r="ALU29" s="272"/>
      <c r="ALV29" s="272"/>
      <c r="ALW29" s="272"/>
      <c r="ALX29" s="272"/>
      <c r="ALY29" s="272"/>
      <c r="AMB29"/>
      <c r="AMC29"/>
      <c r="AMD29"/>
      <c r="AME29"/>
      <c r="AMF29"/>
      <c r="AMG29"/>
      <c r="AMH29"/>
      <c r="AMI29"/>
      <c r="AMJ29"/>
    </row>
    <row r="30" spans="1:1024" s="271" customFormat="1" x14ac:dyDescent="0.2">
      <c r="A30" s="262">
        <v>22</v>
      </c>
      <c r="B30" s="262" t="s">
        <v>92</v>
      </c>
      <c r="C30" s="262" t="s">
        <v>368</v>
      </c>
      <c r="D30" s="263">
        <f>MC!I76</f>
        <v>0</v>
      </c>
      <c r="E30" s="305">
        <v>1313</v>
      </c>
      <c r="F30" s="306">
        <f>'GEXCRI Limp.Ord. '!H149</f>
        <v>0</v>
      </c>
      <c r="G30" s="254"/>
      <c r="H30" s="307"/>
      <c r="I30" s="254">
        <v>2211</v>
      </c>
      <c r="J30" s="307">
        <f>'GEXCRI Limp.Ord. '!H161</f>
        <v>0</v>
      </c>
      <c r="K30" s="254">
        <v>68.430000000000007</v>
      </c>
      <c r="L30" s="307">
        <f>'GEXCRI Limp.Ord. '!H167</f>
        <v>0</v>
      </c>
      <c r="M30" s="254">
        <v>307.11</v>
      </c>
      <c r="N30" s="307">
        <f>'GEXCRI Limp.Ord. '!H173</f>
        <v>0</v>
      </c>
      <c r="O30" s="308"/>
      <c r="P30" s="307"/>
      <c r="Q30" s="308"/>
      <c r="R30" s="307"/>
      <c r="S30" s="309"/>
      <c r="T30" s="307"/>
      <c r="U30" s="308"/>
      <c r="V30" s="307"/>
      <c r="W30" s="310">
        <v>730.59</v>
      </c>
      <c r="X30" s="307">
        <f>'GEXCRI Limp.Ord. '!H191</f>
        <v>0</v>
      </c>
      <c r="Y30" s="257">
        <f t="shared" si="1"/>
        <v>0</v>
      </c>
      <c r="Z30" s="258">
        <f>('Prod. GEXCRI'!Q10*'GEXCRI Covid '!C136)+('Prod. GEXCRI'!P10*'GEXCRI Covid '!D136)</f>
        <v>0</v>
      </c>
      <c r="AA30" s="311">
        <f>'Prod. GEXCRI'!R10*'GEXCRI Limp.Ord. '!C141</f>
        <v>0</v>
      </c>
      <c r="AB30" s="267">
        <f>'Prod. GEXCRI'!S10*'GEXCRI Covid '!C141</f>
        <v>0</v>
      </c>
      <c r="AC30" s="312"/>
      <c r="ALM30" s="272"/>
      <c r="ALN30" s="272"/>
      <c r="ALO30" s="272"/>
      <c r="ALP30" s="272"/>
      <c r="ALQ30" s="272"/>
      <c r="ALR30" s="272"/>
      <c r="ALS30" s="272"/>
      <c r="ALT30" s="272"/>
      <c r="ALU30" s="272"/>
      <c r="ALV30" s="272"/>
      <c r="ALW30" s="272"/>
      <c r="ALX30" s="272"/>
      <c r="ALY30" s="272"/>
      <c r="AMB30"/>
      <c r="AMC30"/>
      <c r="AMD30"/>
      <c r="AME30"/>
      <c r="AMF30"/>
      <c r="AMG30"/>
      <c r="AMH30"/>
      <c r="AMI30"/>
      <c r="AMJ30"/>
    </row>
    <row r="31" spans="1:1024" s="271" customFormat="1" x14ac:dyDescent="0.2">
      <c r="A31" s="262">
        <v>23</v>
      </c>
      <c r="B31" s="262" t="s">
        <v>94</v>
      </c>
      <c r="C31" s="262" t="s">
        <v>369</v>
      </c>
      <c r="D31" s="263">
        <f>MC!I77</f>
        <v>0</v>
      </c>
      <c r="E31" s="305">
        <v>498</v>
      </c>
      <c r="F31" s="306">
        <f>'GEXCRI Limp.Ord. '!H149</f>
        <v>0</v>
      </c>
      <c r="G31" s="254">
        <v>58</v>
      </c>
      <c r="H31" s="307">
        <f>'GEXCRI Limp.Ord. '!H155</f>
        <v>0</v>
      </c>
      <c r="I31" s="254"/>
      <c r="J31" s="307"/>
      <c r="K31" s="254">
        <v>17.52</v>
      </c>
      <c r="L31" s="307">
        <f>'GEXCRI Limp.Ord. '!H167</f>
        <v>0</v>
      </c>
      <c r="M31" s="254">
        <v>107.15</v>
      </c>
      <c r="N31" s="307">
        <f>'GEXCRI Limp.Ord. '!H173</f>
        <v>0</v>
      </c>
      <c r="O31" s="308"/>
      <c r="P31" s="307"/>
      <c r="Q31" s="308"/>
      <c r="R31" s="307"/>
      <c r="S31" s="309"/>
      <c r="T31" s="307"/>
      <c r="U31" s="308"/>
      <c r="V31" s="307"/>
      <c r="W31" s="310">
        <v>115.3</v>
      </c>
      <c r="X31" s="307">
        <f>'GEXCRI Limp.Ord. '!H191</f>
        <v>0</v>
      </c>
      <c r="Y31" s="257">
        <f t="shared" si="1"/>
        <v>0</v>
      </c>
      <c r="Z31" s="258"/>
      <c r="AA31" s="311">
        <f>'Prod. GEXCRI'!R11*'GEXCRI Limp.Ord. '!C141</f>
        <v>0</v>
      </c>
      <c r="AB31" s="267">
        <f>'Prod. GEXCRI'!S11*'GEXCRI Covid '!C141</f>
        <v>0</v>
      </c>
      <c r="AC31" s="312"/>
      <c r="ALM31" s="272"/>
      <c r="ALN31" s="272"/>
      <c r="ALO31" s="272"/>
      <c r="ALP31" s="272"/>
      <c r="ALQ31" s="272"/>
      <c r="ALR31" s="272"/>
      <c r="ALS31" s="272"/>
      <c r="ALT31" s="272"/>
      <c r="ALU31" s="272"/>
      <c r="ALV31" s="272"/>
      <c r="ALW31" s="272"/>
      <c r="ALX31" s="272"/>
      <c r="ALY31" s="272"/>
      <c r="AMB31"/>
      <c r="AMC31"/>
      <c r="AMD31"/>
      <c r="AME31"/>
      <c r="AMF31"/>
      <c r="AMG31"/>
      <c r="AMH31"/>
      <c r="AMI31"/>
      <c r="AMJ31"/>
    </row>
    <row r="32" spans="1:1024" s="271" customFormat="1" x14ac:dyDescent="0.2">
      <c r="A32" s="262">
        <v>24</v>
      </c>
      <c r="B32" s="262" t="s">
        <v>96</v>
      </c>
      <c r="C32" s="262" t="s">
        <v>370</v>
      </c>
      <c r="D32" s="263">
        <f>MC!I78</f>
        <v>0</v>
      </c>
      <c r="E32" s="305">
        <v>276</v>
      </c>
      <c r="F32" s="306">
        <f>'GEXCRI Limp.Ord. '!L149</f>
        <v>0</v>
      </c>
      <c r="G32" s="254">
        <v>74</v>
      </c>
      <c r="H32" s="307">
        <f>'GEXCRI Limp.Ord. '!L155</f>
        <v>0</v>
      </c>
      <c r="I32" s="254"/>
      <c r="J32" s="307"/>
      <c r="K32" s="254">
        <v>15.55</v>
      </c>
      <c r="L32" s="307">
        <f>'GEXCRI Limp.Ord. '!L167</f>
        <v>0</v>
      </c>
      <c r="M32" s="254">
        <v>59</v>
      </c>
      <c r="N32" s="307">
        <f>'GEXCRI Limp.Ord. '!L173</f>
        <v>0</v>
      </c>
      <c r="O32" s="308"/>
      <c r="P32" s="307"/>
      <c r="Q32" s="308"/>
      <c r="R32" s="307"/>
      <c r="S32" s="309"/>
      <c r="T32" s="307"/>
      <c r="U32" s="308"/>
      <c r="V32" s="307"/>
      <c r="W32" s="310">
        <v>97.57</v>
      </c>
      <c r="X32" s="307">
        <f>'GEXCRI Limp.Ord. '!L191</f>
        <v>0</v>
      </c>
      <c r="Y32" s="257">
        <f t="shared" si="1"/>
        <v>0</v>
      </c>
      <c r="Z32" s="258"/>
      <c r="AA32" s="311">
        <f>'Prod. GEXCRI'!R12*'GEXCRI Limp.Ord. '!C143</f>
        <v>0</v>
      </c>
      <c r="AB32" s="267">
        <f>'Prod. GEXCRI'!S12*'GEXCRI Covid '!C143</f>
        <v>0</v>
      </c>
      <c r="AC32" s="312"/>
      <c r="ALM32" s="272"/>
      <c r="ALN32" s="272"/>
      <c r="ALO32" s="272"/>
      <c r="ALP32" s="272"/>
      <c r="ALQ32" s="272"/>
      <c r="ALR32" s="272"/>
      <c r="ALS32" s="272"/>
      <c r="ALT32" s="272"/>
      <c r="ALU32" s="272"/>
      <c r="ALV32" s="272"/>
      <c r="ALW32" s="272"/>
      <c r="ALX32" s="272"/>
      <c r="ALY32" s="272"/>
      <c r="AMB32"/>
      <c r="AMC32"/>
      <c r="AMD32"/>
      <c r="AME32"/>
      <c r="AMF32"/>
      <c r="AMG32"/>
      <c r="AMH32"/>
      <c r="AMI32"/>
      <c r="AMJ32"/>
    </row>
    <row r="33" spans="1:1024" s="271" customFormat="1" x14ac:dyDescent="0.2">
      <c r="A33" s="262">
        <v>25</v>
      </c>
      <c r="B33" s="262" t="s">
        <v>98</v>
      </c>
      <c r="C33" s="262" t="s">
        <v>371</v>
      </c>
      <c r="D33" s="263">
        <f>MC!I79</f>
        <v>0</v>
      </c>
      <c r="E33" s="305">
        <v>364.2</v>
      </c>
      <c r="F33" s="306">
        <f>'GEXCRI Limp.Ord. '!H149</f>
        <v>0</v>
      </c>
      <c r="G33" s="254">
        <v>405</v>
      </c>
      <c r="H33" s="307">
        <f>'GEXCRI Limp.Ord. '!H155</f>
        <v>0</v>
      </c>
      <c r="I33" s="254">
        <v>800.46</v>
      </c>
      <c r="J33" s="307">
        <f>'GEXCRI Limp.Ord. '!H161</f>
        <v>0</v>
      </c>
      <c r="K33" s="254">
        <v>27.5</v>
      </c>
      <c r="L33" s="307">
        <f>'GEXCRI Limp.Ord. '!H167</f>
        <v>0</v>
      </c>
      <c r="M33" s="254">
        <v>484.58</v>
      </c>
      <c r="N33" s="307">
        <f>'GEXCRI Limp.Ord. '!H173</f>
        <v>0</v>
      </c>
      <c r="O33" s="308"/>
      <c r="P33" s="307"/>
      <c r="Q33" s="308"/>
      <c r="R33" s="307"/>
      <c r="S33" s="309"/>
      <c r="T33" s="307"/>
      <c r="U33" s="308"/>
      <c r="V33" s="307"/>
      <c r="W33" s="310">
        <v>142.80000000000001</v>
      </c>
      <c r="X33" s="307">
        <f>'GEXCRI Limp.Ord. '!H191</f>
        <v>0</v>
      </c>
      <c r="Y33" s="257">
        <f t="shared" si="1"/>
        <v>0</v>
      </c>
      <c r="Z33" s="258"/>
      <c r="AA33" s="311">
        <f>'Prod. GEXCRI'!R13*'GEXCRI Limp.Ord. '!C141</f>
        <v>0</v>
      </c>
      <c r="AB33" s="267">
        <f>'Prod. GEXCRI'!S13*'GEXCRI Covid '!C141</f>
        <v>0</v>
      </c>
      <c r="AC33" s="312"/>
      <c r="ALM33" s="272"/>
      <c r="ALN33" s="272"/>
      <c r="ALO33" s="272"/>
      <c r="ALP33" s="272"/>
      <c r="ALQ33" s="272"/>
      <c r="ALR33" s="272"/>
      <c r="ALS33" s="272"/>
      <c r="ALT33" s="272"/>
      <c r="ALU33" s="272"/>
      <c r="ALV33" s="272"/>
      <c r="ALW33" s="272"/>
      <c r="ALX33" s="272"/>
      <c r="ALY33" s="272"/>
      <c r="AMB33"/>
      <c r="AMC33"/>
      <c r="AMD33"/>
      <c r="AME33"/>
      <c r="AMF33"/>
      <c r="AMG33"/>
      <c r="AMH33"/>
      <c r="AMI33"/>
      <c r="AMJ33"/>
    </row>
    <row r="34" spans="1:1024" s="271" customFormat="1" x14ac:dyDescent="0.2">
      <c r="A34" s="262">
        <v>26</v>
      </c>
      <c r="B34" s="262" t="s">
        <v>100</v>
      </c>
      <c r="C34" s="262" t="s">
        <v>372</v>
      </c>
      <c r="D34" s="263">
        <f>MC!I80</f>
        <v>0</v>
      </c>
      <c r="E34" s="305">
        <v>334.4</v>
      </c>
      <c r="F34" s="306">
        <f>'GEXCRI Limp.Ord. '!H149</f>
        <v>0</v>
      </c>
      <c r="G34" s="254">
        <v>50</v>
      </c>
      <c r="H34" s="307">
        <f>'GEXCRI Limp.Ord. '!H155</f>
        <v>0</v>
      </c>
      <c r="I34" s="254"/>
      <c r="J34" s="307"/>
      <c r="K34" s="254">
        <v>22.51</v>
      </c>
      <c r="L34" s="307">
        <f>'GEXCRI Limp.Ord. '!H167</f>
        <v>0</v>
      </c>
      <c r="M34" s="254">
        <v>521</v>
      </c>
      <c r="N34" s="307">
        <f>'GEXCRI Limp.Ord. '!H173</f>
        <v>0</v>
      </c>
      <c r="O34" s="308"/>
      <c r="P34" s="307"/>
      <c r="Q34" s="308"/>
      <c r="R34" s="307"/>
      <c r="S34" s="309"/>
      <c r="T34" s="307"/>
      <c r="U34" s="308"/>
      <c r="V34" s="307"/>
      <c r="W34" s="310">
        <v>102.1</v>
      </c>
      <c r="X34" s="307">
        <f>'GEXCRI Limp.Ord. '!H191</f>
        <v>0</v>
      </c>
      <c r="Y34" s="257">
        <f t="shared" si="1"/>
        <v>0</v>
      </c>
      <c r="Z34" s="258">
        <f>'Prod. GEXCRI'!P14*'GEXCRI Covid '!D136</f>
        <v>0</v>
      </c>
      <c r="AA34" s="311">
        <f>'Prod. GEXCRI'!R14*'GEXCRI Limp.Ord. '!C141</f>
        <v>0</v>
      </c>
      <c r="AB34" s="267">
        <f>'Prod. GEXCRI'!S14*'GEXCRI Covid '!C141</f>
        <v>0</v>
      </c>
      <c r="AC34" s="312"/>
      <c r="ALM34" s="272"/>
      <c r="ALN34" s="272"/>
      <c r="ALO34" s="272"/>
      <c r="ALP34" s="272"/>
      <c r="ALQ34" s="272"/>
      <c r="ALR34" s="272"/>
      <c r="ALS34" s="272"/>
      <c r="ALT34" s="272"/>
      <c r="ALU34" s="272"/>
      <c r="ALV34" s="272"/>
      <c r="ALW34" s="272"/>
      <c r="ALX34" s="272"/>
      <c r="ALY34" s="272"/>
      <c r="AMB34"/>
      <c r="AMC34"/>
      <c r="AMD34"/>
      <c r="AME34"/>
      <c r="AMF34"/>
      <c r="AMG34"/>
      <c r="AMH34"/>
      <c r="AMI34"/>
      <c r="AMJ34"/>
    </row>
    <row r="35" spans="1:1024" s="271" customFormat="1" x14ac:dyDescent="0.2">
      <c r="A35" s="262">
        <v>27</v>
      </c>
      <c r="B35" s="262" t="s">
        <v>102</v>
      </c>
      <c r="C35" s="262" t="s">
        <v>373</v>
      </c>
      <c r="D35" s="263">
        <f>MC!I81</f>
        <v>0</v>
      </c>
      <c r="E35" s="305">
        <v>334.4</v>
      </c>
      <c r="F35" s="306">
        <f>'GEXCRI Limp.Ord. '!H149</f>
        <v>0</v>
      </c>
      <c r="G35" s="254"/>
      <c r="H35" s="307"/>
      <c r="I35" s="254"/>
      <c r="J35" s="307"/>
      <c r="K35" s="254">
        <v>23.92</v>
      </c>
      <c r="L35" s="307">
        <f>'GEXCRI Limp.Ord. '!H167</f>
        <v>0</v>
      </c>
      <c r="M35" s="254">
        <v>977.7</v>
      </c>
      <c r="N35" s="307">
        <f>'GEXCRI Limp.Ord. '!H173</f>
        <v>0</v>
      </c>
      <c r="O35" s="308"/>
      <c r="P35" s="307"/>
      <c r="Q35" s="308"/>
      <c r="R35" s="307"/>
      <c r="S35" s="309"/>
      <c r="T35" s="307"/>
      <c r="U35" s="308"/>
      <c r="V35" s="307"/>
      <c r="W35" s="310">
        <v>123.8</v>
      </c>
      <c r="X35" s="307">
        <f>'GEXCRI Limp.Ord. '!H191</f>
        <v>0</v>
      </c>
      <c r="Y35" s="257">
        <f t="shared" si="1"/>
        <v>0</v>
      </c>
      <c r="Z35" s="258">
        <f>'Prod. GEXCRI'!Q15*'GEXCRI Covid '!C136</f>
        <v>0</v>
      </c>
      <c r="AA35" s="311">
        <f>'Prod. GEXCRI'!R15*'GEXCRI Limp.Ord. '!C141</f>
        <v>0</v>
      </c>
      <c r="AB35" s="267">
        <f>'Prod. GEXCRI'!S15*'GEXCRI Covid '!C141</f>
        <v>0</v>
      </c>
      <c r="AC35" s="312"/>
      <c r="ALM35" s="272"/>
      <c r="ALN35" s="272"/>
      <c r="ALO35" s="272"/>
      <c r="ALP35" s="272"/>
      <c r="ALQ35" s="272"/>
      <c r="ALR35" s="272"/>
      <c r="ALS35" s="272"/>
      <c r="ALT35" s="272"/>
      <c r="ALU35" s="272"/>
      <c r="ALV35" s="272"/>
      <c r="ALW35" s="272"/>
      <c r="ALX35" s="272"/>
      <c r="ALY35" s="272"/>
      <c r="AMB35"/>
      <c r="AMC35"/>
      <c r="AMD35"/>
      <c r="AME35"/>
      <c r="AMF35"/>
      <c r="AMG35"/>
      <c r="AMH35"/>
      <c r="AMI35"/>
      <c r="AMJ35"/>
    </row>
    <row r="36" spans="1:1024" s="271" customFormat="1" x14ac:dyDescent="0.2">
      <c r="A36" s="262">
        <v>28</v>
      </c>
      <c r="B36" s="262" t="s">
        <v>104</v>
      </c>
      <c r="C36" s="262" t="s">
        <v>374</v>
      </c>
      <c r="D36" s="263">
        <f>MC!I82</f>
        <v>0</v>
      </c>
      <c r="E36" s="313">
        <v>334.4</v>
      </c>
      <c r="F36" s="306">
        <f>'GEXCRI Limp.Ord. '!L149</f>
        <v>0</v>
      </c>
      <c r="G36" s="282"/>
      <c r="H36" s="307"/>
      <c r="I36" s="282"/>
      <c r="J36" s="307"/>
      <c r="K36" s="282">
        <v>24.5</v>
      </c>
      <c r="L36" s="307">
        <f>'GEXCRI Limp.Ord. '!L167</f>
        <v>0</v>
      </c>
      <c r="M36" s="282">
        <v>865.6</v>
      </c>
      <c r="N36" s="307">
        <f>'GEXCRI Limp.Ord. '!L173</f>
        <v>0</v>
      </c>
      <c r="O36" s="308"/>
      <c r="P36" s="307"/>
      <c r="Q36" s="308"/>
      <c r="R36" s="307"/>
      <c r="S36" s="309"/>
      <c r="T36" s="307"/>
      <c r="U36" s="308"/>
      <c r="V36" s="307"/>
      <c r="W36" s="314">
        <v>123.8</v>
      </c>
      <c r="X36" s="307">
        <f>'GEXCRI Limp.Ord. '!L191</f>
        <v>0</v>
      </c>
      <c r="Y36" s="257">
        <f t="shared" si="1"/>
        <v>0</v>
      </c>
      <c r="Z36" s="258"/>
      <c r="AA36" s="311">
        <f>'Prod. GEXCRI'!R16*'GEXCRI Limp.Ord. '!C143</f>
        <v>0</v>
      </c>
      <c r="AB36" s="267">
        <f>'Prod. GEXCRI'!S16*'GEXCRI Covid '!C143</f>
        <v>0</v>
      </c>
      <c r="AC36" s="312"/>
      <c r="ALM36" s="272"/>
      <c r="ALN36" s="272"/>
      <c r="ALO36" s="272"/>
      <c r="ALP36" s="272"/>
      <c r="ALQ36" s="272"/>
      <c r="ALR36" s="272"/>
      <c r="ALS36" s="272"/>
      <c r="ALT36" s="272"/>
      <c r="ALU36" s="272"/>
      <c r="ALV36" s="272"/>
      <c r="ALW36" s="272"/>
      <c r="ALX36" s="272"/>
      <c r="ALY36" s="272"/>
      <c r="AMB36"/>
      <c r="AMC36"/>
      <c r="AMD36"/>
      <c r="AME36"/>
      <c r="AMF36"/>
      <c r="AMG36"/>
      <c r="AMH36"/>
      <c r="AMI36"/>
      <c r="AMJ36"/>
    </row>
    <row r="37" spans="1:1024" s="271" customFormat="1" x14ac:dyDescent="0.2">
      <c r="A37" s="797" t="s">
        <v>375</v>
      </c>
      <c r="B37" s="797"/>
      <c r="C37" s="797"/>
      <c r="D37" s="797"/>
      <c r="E37" s="315">
        <f>SUM(E24:E36)</f>
        <v>9752.34</v>
      </c>
      <c r="F37" s="316"/>
      <c r="G37" s="290">
        <f>SUM(G24:G36)</f>
        <v>3494.5</v>
      </c>
      <c r="H37" s="291"/>
      <c r="I37" s="290">
        <f>SUM(I24:I36)</f>
        <v>3553.92</v>
      </c>
      <c r="J37" s="291"/>
      <c r="K37" s="290">
        <f>SUM(K24:K36)</f>
        <v>457.54</v>
      </c>
      <c r="L37" s="291"/>
      <c r="M37" s="317">
        <f>SUM(M24:M36)</f>
        <v>6310.46</v>
      </c>
      <c r="N37" s="318"/>
      <c r="O37" s="317">
        <f>SUM(O24:O36)</f>
        <v>0</v>
      </c>
      <c r="P37" s="291"/>
      <c r="Q37" s="290">
        <f>SUM(Q24:Q36)</f>
        <v>0</v>
      </c>
      <c r="R37" s="291"/>
      <c r="S37" s="290">
        <f>SUM(S24:S36)</f>
        <v>0</v>
      </c>
      <c r="T37" s="291"/>
      <c r="U37" s="317">
        <f>SUM(U24:U36)</f>
        <v>0</v>
      </c>
      <c r="V37" s="291"/>
      <c r="W37" s="293">
        <f>SUM(W24:W36)</f>
        <v>3148.1300000000006</v>
      </c>
      <c r="X37" s="291"/>
      <c r="Y37" s="291">
        <f>SUM(Y24:Y36)</f>
        <v>0</v>
      </c>
      <c r="Z37" s="295">
        <f>SUM(Z24:Z36)</f>
        <v>0</v>
      </c>
      <c r="AA37" s="293">
        <f>SUM(AA24:AA36)</f>
        <v>0</v>
      </c>
      <c r="AB37" s="295">
        <f>SUM(AB24:AB36)</f>
        <v>0</v>
      </c>
      <c r="AC37" s="291">
        <f>SUM(AC24:AC36)</f>
        <v>0</v>
      </c>
      <c r="ALM37" s="272"/>
      <c r="ALN37" s="272"/>
      <c r="ALO37" s="272"/>
      <c r="ALP37" s="272"/>
      <c r="ALQ37" s="272"/>
      <c r="ALR37" s="272"/>
      <c r="ALS37" s="272"/>
      <c r="ALT37" s="272"/>
      <c r="ALU37" s="272"/>
      <c r="ALV37" s="272"/>
      <c r="ALW37" s="272"/>
      <c r="ALX37" s="272"/>
      <c r="ALY37" s="272"/>
      <c r="AMB37"/>
      <c r="AMC37"/>
      <c r="AMD37"/>
      <c r="AME37"/>
      <c r="AMF37"/>
      <c r="AMG37"/>
      <c r="AMH37"/>
      <c r="AMI37"/>
      <c r="AMJ37"/>
    </row>
    <row r="38" spans="1:1024" s="271" customFormat="1" ht="15" x14ac:dyDescent="0.25">
      <c r="B38" s="319"/>
      <c r="C38" s="319"/>
      <c r="D38" s="319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320"/>
      <c r="Y38" s="321">
        <v>121770.61</v>
      </c>
      <c r="Z38" s="321"/>
      <c r="AA38" s="321"/>
      <c r="AB38" s="321"/>
      <c r="AC38" s="322"/>
      <c r="ALP38" s="322"/>
      <c r="ALQ38" s="322"/>
      <c r="ALR38" s="322"/>
      <c r="ALS38" s="322"/>
      <c r="ALT38" s="322"/>
      <c r="ALU38" s="322"/>
      <c r="ALV38" s="322"/>
      <c r="ALW38" s="322"/>
      <c r="ALX38" s="322"/>
      <c r="ALY38" s="322"/>
      <c r="AMB38"/>
      <c r="AMC38"/>
      <c r="AMD38"/>
      <c r="AME38"/>
      <c r="AMF38"/>
      <c r="AMG38"/>
      <c r="AMH38"/>
      <c r="AMI38"/>
      <c r="AMJ38"/>
    </row>
    <row r="39" spans="1:1024" ht="15" x14ac:dyDescent="0.2">
      <c r="A39" s="323"/>
      <c r="B39" s="792" t="s">
        <v>376</v>
      </c>
      <c r="C39" s="792"/>
      <c r="D39" s="792"/>
      <c r="E39" s="792"/>
      <c r="F39" s="792"/>
      <c r="G39" s="792"/>
      <c r="H39" s="792"/>
      <c r="I39" s="792"/>
      <c r="J39" s="792"/>
      <c r="K39" s="792"/>
      <c r="L39" s="792"/>
      <c r="M39" s="792"/>
      <c r="N39" s="792"/>
      <c r="O39" s="792"/>
      <c r="P39" s="792"/>
      <c r="Q39" s="792"/>
      <c r="R39" s="792"/>
      <c r="S39" s="792"/>
      <c r="T39" s="792"/>
      <c r="U39" s="792"/>
      <c r="V39" s="792"/>
      <c r="W39" s="792"/>
      <c r="X39" s="792"/>
      <c r="Y39" s="324">
        <f>ROUND(Y23+Y37,2)</f>
        <v>0</v>
      </c>
      <c r="Z39" s="324">
        <f>ROUND(Z23+Z37,2)</f>
        <v>0</v>
      </c>
      <c r="AA39" s="325">
        <f>ROUND(AA23+AA37,2)</f>
        <v>0</v>
      </c>
      <c r="AB39" s="324">
        <f>ROUND(AB23+AB37,2)</f>
        <v>0</v>
      </c>
      <c r="AC39" s="324">
        <f>ROUND(AC23+AC37,2)</f>
        <v>0</v>
      </c>
    </row>
    <row r="40" spans="1:1024" ht="15" x14ac:dyDescent="0.2">
      <c r="A40" s="323"/>
      <c r="B40" s="326"/>
      <c r="C40" s="326"/>
      <c r="D40" s="326"/>
      <c r="E40" s="327"/>
      <c r="F40" s="328"/>
      <c r="G40" s="327"/>
      <c r="H40" s="327"/>
      <c r="I40" s="324"/>
      <c r="J40" s="324"/>
      <c r="K40" s="324"/>
      <c r="L40" s="324"/>
      <c r="M40" s="324"/>
      <c r="N40" s="324"/>
      <c r="O40" s="324"/>
      <c r="P40" s="329"/>
      <c r="Q40" s="330"/>
      <c r="R40" s="327"/>
      <c r="S40" s="328"/>
      <c r="T40" s="327"/>
      <c r="U40" s="327"/>
      <c r="V40" s="324"/>
      <c r="W40" s="324"/>
      <c r="X40" s="324"/>
      <c r="Y40" s="324"/>
      <c r="Z40" s="324"/>
      <c r="AA40" s="327"/>
      <c r="AB40" s="324"/>
      <c r="AC40" s="324"/>
    </row>
    <row r="41" spans="1:1024" x14ac:dyDescent="0.2">
      <c r="A41" s="331"/>
      <c r="B41" s="332"/>
      <c r="C41" s="332"/>
      <c r="D41" s="332"/>
      <c r="E41" s="333"/>
      <c r="F41" s="333"/>
      <c r="G41" s="333"/>
      <c r="H41" s="333"/>
      <c r="I41" s="334"/>
      <c r="J41" s="334"/>
      <c r="K41" s="334"/>
      <c r="L41" s="334"/>
      <c r="M41" s="334"/>
      <c r="N41" s="333"/>
      <c r="O41" s="333"/>
      <c r="P41" s="333"/>
      <c r="Q41" s="334"/>
      <c r="R41" s="334"/>
      <c r="S41" s="333"/>
      <c r="T41" s="333"/>
      <c r="U41" s="333"/>
      <c r="V41" s="334"/>
      <c r="W41" s="334"/>
      <c r="X41" s="334"/>
      <c r="Y41" s="334"/>
      <c r="Z41" s="334"/>
      <c r="AA41" s="333"/>
      <c r="AB41" s="793" t="s">
        <v>55</v>
      </c>
      <c r="AC41" s="329">
        <f>Y39+Z39+AA39+AB39+AC39</f>
        <v>0</v>
      </c>
    </row>
    <row r="42" spans="1:1024" x14ac:dyDescent="0.2">
      <c r="A42" s="335"/>
      <c r="B42" s="336"/>
      <c r="C42" s="336"/>
      <c r="D42" s="336"/>
      <c r="E42" s="337"/>
      <c r="F42" s="337"/>
      <c r="G42" s="337"/>
      <c r="H42" s="337"/>
      <c r="I42" s="338"/>
      <c r="J42" s="338"/>
      <c r="K42" s="338"/>
      <c r="L42" s="338"/>
      <c r="M42" s="338"/>
      <c r="N42" s="337"/>
      <c r="O42" s="337"/>
      <c r="P42" s="337"/>
      <c r="Q42" s="338"/>
      <c r="R42" s="338"/>
      <c r="S42" s="337"/>
      <c r="T42" s="337"/>
      <c r="U42" s="337"/>
      <c r="V42" s="338"/>
      <c r="W42" s="338"/>
      <c r="X42" s="338"/>
      <c r="Y42" s="338"/>
      <c r="Z42" s="338"/>
      <c r="AA42" s="337"/>
      <c r="AB42" s="793"/>
      <c r="AC42" s="329">
        <f>AC41*12</f>
        <v>0</v>
      </c>
    </row>
  </sheetData>
  <mergeCells count="27">
    <mergeCell ref="B39:X39"/>
    <mergeCell ref="AB41:AB42"/>
    <mergeCell ref="AA3:AA4"/>
    <mergeCell ref="AB3:AB4"/>
    <mergeCell ref="AC3:AC4"/>
    <mergeCell ref="A23:D23"/>
    <mergeCell ref="A37:D37"/>
    <mergeCell ref="S3:T4"/>
    <mergeCell ref="U3:V4"/>
    <mergeCell ref="W3:X4"/>
    <mergeCell ref="Y3:Y4"/>
    <mergeCell ref="Z3:Z4"/>
    <mergeCell ref="I3:J4"/>
    <mergeCell ref="K3:L4"/>
    <mergeCell ref="M3:N4"/>
    <mergeCell ref="O3:P4"/>
    <mergeCell ref="Q3:R4"/>
    <mergeCell ref="A3:A5"/>
    <mergeCell ref="B3:B5"/>
    <mergeCell ref="D3:D5"/>
    <mergeCell ref="E3:F4"/>
    <mergeCell ref="G3:H4"/>
    <mergeCell ref="A1:AC1"/>
    <mergeCell ref="A2:B2"/>
    <mergeCell ref="E2:L2"/>
    <mergeCell ref="M2:R2"/>
    <mergeCell ref="S2:X2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AD47"/>
  </sheetPr>
  <dimension ref="A1:AMK68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3" sqref="F23"/>
    </sheetView>
  </sheetViews>
  <sheetFormatPr defaultRowHeight="15" x14ac:dyDescent="0.25"/>
  <cols>
    <col min="1" max="1" width="22.375" style="322" customWidth="1"/>
    <col min="2" max="2" width="8" style="322" customWidth="1"/>
    <col min="3" max="28" width="9" style="322" customWidth="1"/>
    <col min="29" max="29" width="16.625" style="271" customWidth="1"/>
    <col min="30" max="1012" width="9" style="271" customWidth="1"/>
    <col min="1013" max="1025" width="9" style="322" customWidth="1"/>
  </cols>
  <sheetData>
    <row r="1" spans="1:1014" x14ac:dyDescent="0.25">
      <c r="A1" s="271"/>
      <c r="B1" s="271"/>
      <c r="C1" s="803" t="s">
        <v>313</v>
      </c>
      <c r="D1" s="803"/>
      <c r="E1" s="803"/>
      <c r="F1" s="803"/>
      <c r="G1" s="804" t="s">
        <v>314</v>
      </c>
      <c r="H1" s="804"/>
      <c r="I1" s="804"/>
      <c r="J1" s="805" t="s">
        <v>315</v>
      </c>
      <c r="K1" s="805"/>
      <c r="L1" s="805"/>
      <c r="M1" s="271"/>
      <c r="N1" s="271"/>
      <c r="O1" s="271"/>
      <c r="P1" s="271"/>
      <c r="Q1" s="271"/>
      <c r="R1" s="271"/>
      <c r="S1" s="271"/>
      <c r="T1" s="271"/>
      <c r="U1" s="271"/>
      <c r="V1" s="806" t="s">
        <v>377</v>
      </c>
      <c r="W1" s="806"/>
      <c r="X1" s="806"/>
      <c r="Y1" s="806"/>
      <c r="Z1" s="806"/>
      <c r="AA1" s="806"/>
      <c r="AB1" s="272"/>
      <c r="AC1" s="339"/>
      <c r="AD1" s="272"/>
      <c r="AE1" s="272"/>
    </row>
    <row r="2" spans="1:1014" ht="55.5" customHeight="1" x14ac:dyDescent="0.25">
      <c r="A2" s="807" t="s">
        <v>322</v>
      </c>
      <c r="B2" s="808" t="s">
        <v>73</v>
      </c>
      <c r="C2" s="809" t="s">
        <v>324</v>
      </c>
      <c r="D2" s="791" t="s">
        <v>325</v>
      </c>
      <c r="E2" s="790" t="s">
        <v>326</v>
      </c>
      <c r="F2" s="810" t="s">
        <v>327</v>
      </c>
      <c r="G2" s="811" t="s">
        <v>328</v>
      </c>
      <c r="H2" s="786" t="s">
        <v>378</v>
      </c>
      <c r="I2" s="812" t="s">
        <v>330</v>
      </c>
      <c r="J2" s="813" t="s">
        <v>331</v>
      </c>
      <c r="K2" s="798" t="s">
        <v>332</v>
      </c>
      <c r="L2" s="814" t="s">
        <v>333</v>
      </c>
      <c r="M2" s="819" t="s">
        <v>379</v>
      </c>
      <c r="N2" s="820" t="s">
        <v>380</v>
      </c>
      <c r="O2" s="820"/>
      <c r="P2" s="821" t="s">
        <v>381</v>
      </c>
      <c r="Q2" s="821"/>
      <c r="R2" s="341" t="s">
        <v>382</v>
      </c>
      <c r="S2" s="342" t="s">
        <v>383</v>
      </c>
      <c r="T2" s="343" t="s">
        <v>384</v>
      </c>
      <c r="U2" s="344" t="s">
        <v>385</v>
      </c>
      <c r="V2" s="822" t="s">
        <v>386</v>
      </c>
      <c r="W2" s="822"/>
      <c r="X2" s="822"/>
      <c r="Y2" s="823" t="s">
        <v>387</v>
      </c>
      <c r="Z2" s="823"/>
      <c r="AA2" s="823"/>
      <c r="AB2" s="815" t="s">
        <v>388</v>
      </c>
      <c r="AC2" s="816" t="s">
        <v>389</v>
      </c>
      <c r="AD2" s="817" t="s">
        <v>73</v>
      </c>
      <c r="AE2" s="818" t="s">
        <v>74</v>
      </c>
      <c r="ALY2" s="271"/>
      <c r="ALZ2" s="271"/>
    </row>
    <row r="3" spans="1:1014" ht="26.25" customHeight="1" x14ac:dyDescent="0.25">
      <c r="A3" s="807"/>
      <c r="B3" s="808"/>
      <c r="C3" s="809"/>
      <c r="D3" s="791"/>
      <c r="E3" s="790"/>
      <c r="F3" s="810"/>
      <c r="G3" s="811"/>
      <c r="H3" s="786"/>
      <c r="I3" s="812"/>
      <c r="J3" s="813"/>
      <c r="K3" s="798"/>
      <c r="L3" s="814"/>
      <c r="M3" s="819"/>
      <c r="N3" s="345" t="s">
        <v>390</v>
      </c>
      <c r="O3" s="340" t="s">
        <v>391</v>
      </c>
      <c r="P3" s="346" t="s">
        <v>390</v>
      </c>
      <c r="Q3" s="347" t="s">
        <v>391</v>
      </c>
      <c r="R3" s="348" t="s">
        <v>392</v>
      </c>
      <c r="S3" s="349" t="s">
        <v>392</v>
      </c>
      <c r="T3" s="237" t="s">
        <v>393</v>
      </c>
      <c r="U3" s="344" t="s">
        <v>391</v>
      </c>
      <c r="V3" s="350" t="s">
        <v>391</v>
      </c>
      <c r="W3" s="351" t="s">
        <v>390</v>
      </c>
      <c r="X3" s="351" t="s">
        <v>394</v>
      </c>
      <c r="Y3" s="352" t="s">
        <v>391</v>
      </c>
      <c r="Z3" s="351" t="s">
        <v>390</v>
      </c>
      <c r="AA3" s="353" t="s">
        <v>394</v>
      </c>
      <c r="AB3" s="815"/>
      <c r="AC3" s="816"/>
      <c r="AD3" s="817"/>
      <c r="AE3" s="818"/>
      <c r="ALY3" s="271"/>
      <c r="ALZ3" s="271"/>
    </row>
    <row r="4" spans="1:1014" ht="26.25" x14ac:dyDescent="0.25">
      <c r="A4" s="71" t="s">
        <v>77</v>
      </c>
      <c r="B4" s="354">
        <f>'Resumo Proposta'!D6</f>
        <v>0</v>
      </c>
      <c r="C4" s="355">
        <v>995</v>
      </c>
      <c r="D4" s="356">
        <v>155</v>
      </c>
      <c r="E4" s="356">
        <v>5</v>
      </c>
      <c r="F4" s="356">
        <v>32</v>
      </c>
      <c r="G4" s="356">
        <v>27</v>
      </c>
      <c r="H4" s="356">
        <v>1817</v>
      </c>
      <c r="I4" s="356">
        <v>692</v>
      </c>
      <c r="J4" s="356">
        <v>82</v>
      </c>
      <c r="K4" s="356">
        <v>172</v>
      </c>
      <c r="L4" s="357">
        <v>254</v>
      </c>
      <c r="M4" s="358">
        <f t="shared" ref="M4:M20" si="0">C4/$C$22+D4/$D$22+E4/$E$22+F4/$F$22+G4/$G$22+H4/$H$22+I4/$I$22+K4/$K$22*16*1/188.76+L4/$L$22*16*1/188.76</f>
        <v>1.493651857589513</v>
      </c>
      <c r="N4" s="359">
        <v>1</v>
      </c>
      <c r="O4" s="360">
        <v>1</v>
      </c>
      <c r="P4" s="361"/>
      <c r="Q4" s="361"/>
      <c r="R4" s="362">
        <v>6</v>
      </c>
      <c r="S4" s="363">
        <v>6</v>
      </c>
      <c r="T4" s="364">
        <v>22</v>
      </c>
      <c r="U4" s="365">
        <v>1</v>
      </c>
      <c r="V4" s="366" t="s">
        <v>395</v>
      </c>
      <c r="W4" s="367">
        <v>2</v>
      </c>
      <c r="X4" s="368" t="s">
        <v>396</v>
      </c>
      <c r="Y4" s="367" t="s">
        <v>397</v>
      </c>
      <c r="Z4" s="367" t="s">
        <v>397</v>
      </c>
      <c r="AA4" s="369" t="s">
        <v>398</v>
      </c>
      <c r="AB4" s="370" t="s">
        <v>399</v>
      </c>
      <c r="AC4" s="371" t="s">
        <v>400</v>
      </c>
      <c r="AD4" s="372">
        <v>2</v>
      </c>
      <c r="AE4" s="373">
        <v>3.05</v>
      </c>
    </row>
    <row r="5" spans="1:1014" x14ac:dyDescent="0.25">
      <c r="A5" s="77" t="s">
        <v>79</v>
      </c>
      <c r="B5" s="354">
        <f>'Resumo Proposta'!D7</f>
        <v>0</v>
      </c>
      <c r="C5" s="355">
        <v>577</v>
      </c>
      <c r="D5" s="356">
        <v>577</v>
      </c>
      <c r="E5" s="356">
        <v>542</v>
      </c>
      <c r="F5" s="356">
        <v>80</v>
      </c>
      <c r="G5" s="356">
        <v>14</v>
      </c>
      <c r="H5" s="356"/>
      <c r="I5" s="356"/>
      <c r="J5" s="356">
        <v>204</v>
      </c>
      <c r="K5" s="356">
        <v>291</v>
      </c>
      <c r="L5" s="357">
        <v>495</v>
      </c>
      <c r="M5" s="358">
        <f t="shared" si="0"/>
        <v>1.7937131051652582</v>
      </c>
      <c r="N5" s="374"/>
      <c r="O5" s="375">
        <v>2</v>
      </c>
      <c r="P5" s="376">
        <v>1</v>
      </c>
      <c r="Q5" s="377"/>
      <c r="R5" s="378">
        <v>6</v>
      </c>
      <c r="S5" s="379">
        <v>6</v>
      </c>
      <c r="T5" s="380"/>
      <c r="U5" s="381"/>
      <c r="V5" s="366" t="s">
        <v>395</v>
      </c>
      <c r="W5" s="367">
        <v>3</v>
      </c>
      <c r="X5" s="368" t="s">
        <v>396</v>
      </c>
      <c r="Y5" s="367" t="s">
        <v>397</v>
      </c>
      <c r="Z5" s="367" t="s">
        <v>397</v>
      </c>
      <c r="AA5" s="369" t="s">
        <v>398</v>
      </c>
      <c r="AB5" s="370">
        <v>1</v>
      </c>
      <c r="AC5" s="371" t="s">
        <v>401</v>
      </c>
      <c r="AD5" s="372">
        <v>2</v>
      </c>
      <c r="AE5" s="373">
        <v>3.5</v>
      </c>
    </row>
    <row r="6" spans="1:1014" x14ac:dyDescent="0.25">
      <c r="A6" s="77" t="s">
        <v>81</v>
      </c>
      <c r="B6" s="354">
        <f>'Resumo Proposta'!D8</f>
        <v>0</v>
      </c>
      <c r="C6" s="355">
        <v>694</v>
      </c>
      <c r="D6" s="356">
        <v>817</v>
      </c>
      <c r="E6" s="356">
        <v>1420</v>
      </c>
      <c r="F6" s="356">
        <v>76</v>
      </c>
      <c r="G6" s="356">
        <v>50</v>
      </c>
      <c r="H6" s="356">
        <v>110</v>
      </c>
      <c r="I6" s="356">
        <v>96</v>
      </c>
      <c r="J6" s="356">
        <v>102</v>
      </c>
      <c r="K6" s="356">
        <v>546</v>
      </c>
      <c r="L6" s="357">
        <v>648</v>
      </c>
      <c r="M6" s="358">
        <f t="shared" si="0"/>
        <v>2.8218738562164396</v>
      </c>
      <c r="N6" s="382">
        <v>1</v>
      </c>
      <c r="O6" s="375">
        <v>2</v>
      </c>
      <c r="P6" s="377"/>
      <c r="Q6" s="383">
        <v>1</v>
      </c>
      <c r="R6" s="378">
        <v>6</v>
      </c>
      <c r="S6" s="379">
        <v>6</v>
      </c>
      <c r="T6" s="384"/>
      <c r="U6" s="381"/>
      <c r="V6" s="366">
        <v>2</v>
      </c>
      <c r="W6" s="367">
        <v>1</v>
      </c>
      <c r="X6" s="368" t="s">
        <v>396</v>
      </c>
      <c r="Y6" s="367">
        <v>1</v>
      </c>
      <c r="Z6" s="367" t="s">
        <v>397</v>
      </c>
      <c r="AA6" s="369" t="s">
        <v>398</v>
      </c>
      <c r="AB6" s="370">
        <v>6</v>
      </c>
      <c r="AC6" s="371" t="s">
        <v>402</v>
      </c>
      <c r="AD6" s="385">
        <v>2</v>
      </c>
      <c r="AE6" s="373">
        <v>3.05</v>
      </c>
    </row>
    <row r="7" spans="1:1014" x14ac:dyDescent="0.25">
      <c r="A7" s="77" t="s">
        <v>83</v>
      </c>
      <c r="B7" s="354">
        <f>'Resumo Proposta'!D9</f>
        <v>0</v>
      </c>
      <c r="C7" s="355">
        <v>658</v>
      </c>
      <c r="D7" s="356">
        <v>93</v>
      </c>
      <c r="E7" s="356"/>
      <c r="F7" s="356">
        <v>83</v>
      </c>
      <c r="G7" s="356">
        <v>63</v>
      </c>
      <c r="H7" s="356">
        <v>126</v>
      </c>
      <c r="I7" s="356"/>
      <c r="J7" s="356">
        <v>136</v>
      </c>
      <c r="K7" s="356">
        <v>10</v>
      </c>
      <c r="L7" s="357">
        <v>146</v>
      </c>
      <c r="M7" s="358">
        <f t="shared" si="0"/>
        <v>1.1136688492581319</v>
      </c>
      <c r="N7" s="374"/>
      <c r="O7" s="375">
        <v>1</v>
      </c>
      <c r="P7" s="383">
        <v>1</v>
      </c>
      <c r="Q7" s="377"/>
      <c r="R7" s="378">
        <v>6</v>
      </c>
      <c r="S7" s="379">
        <v>6</v>
      </c>
      <c r="T7" s="384"/>
      <c r="U7" s="381"/>
      <c r="V7" s="366">
        <v>1</v>
      </c>
      <c r="W7" s="367" t="s">
        <v>403</v>
      </c>
      <c r="X7" s="368" t="s">
        <v>396</v>
      </c>
      <c r="Y7" s="367" t="s">
        <v>397</v>
      </c>
      <c r="Z7" s="367">
        <v>1</v>
      </c>
      <c r="AA7" s="369" t="s">
        <v>398</v>
      </c>
      <c r="AB7" s="370">
        <v>2</v>
      </c>
      <c r="AC7" s="371" t="s">
        <v>402</v>
      </c>
      <c r="AD7" s="372">
        <v>3</v>
      </c>
      <c r="AE7" s="373">
        <v>4.25</v>
      </c>
    </row>
    <row r="8" spans="1:1014" x14ac:dyDescent="0.25">
      <c r="A8" s="77" t="s">
        <v>85</v>
      </c>
      <c r="B8" s="354">
        <f>'Resumo Proposta'!D10</f>
        <v>0</v>
      </c>
      <c r="C8" s="355">
        <v>707</v>
      </c>
      <c r="D8" s="356">
        <v>299</v>
      </c>
      <c r="E8" s="356">
        <v>800</v>
      </c>
      <c r="F8" s="356">
        <v>47</v>
      </c>
      <c r="G8" s="356"/>
      <c r="H8" s="356"/>
      <c r="I8" s="356">
        <v>71</v>
      </c>
      <c r="J8" s="356">
        <v>86</v>
      </c>
      <c r="K8" s="356">
        <v>85</v>
      </c>
      <c r="L8" s="357">
        <v>171</v>
      </c>
      <c r="M8" s="358">
        <f t="shared" si="0"/>
        <v>1.7720997070446831</v>
      </c>
      <c r="N8" s="374"/>
      <c r="O8" s="375">
        <v>2</v>
      </c>
      <c r="P8" s="377"/>
      <c r="Q8" s="376">
        <v>1</v>
      </c>
      <c r="R8" s="378">
        <v>6</v>
      </c>
      <c r="S8" s="379">
        <v>6</v>
      </c>
      <c r="T8" s="384"/>
      <c r="U8" s="381"/>
      <c r="V8" s="366">
        <v>2</v>
      </c>
      <c r="W8" s="367" t="s">
        <v>403</v>
      </c>
      <c r="X8" s="368" t="s">
        <v>396</v>
      </c>
      <c r="Y8" s="367" t="s">
        <v>397</v>
      </c>
      <c r="Z8" s="367">
        <v>1</v>
      </c>
      <c r="AA8" s="369" t="s">
        <v>398</v>
      </c>
      <c r="AB8" s="370">
        <v>3</v>
      </c>
      <c r="AC8" s="371" t="s">
        <v>402</v>
      </c>
      <c r="AD8" s="372">
        <v>3</v>
      </c>
      <c r="AE8" s="373">
        <v>4.5</v>
      </c>
      <c r="AF8" s="386"/>
    </row>
    <row r="9" spans="1:1014" x14ac:dyDescent="0.25">
      <c r="A9" s="77" t="s">
        <v>87</v>
      </c>
      <c r="B9" s="354">
        <f>'Resumo Proposta'!D11</f>
        <v>0</v>
      </c>
      <c r="C9" s="355">
        <v>396</v>
      </c>
      <c r="D9" s="356">
        <v>74</v>
      </c>
      <c r="E9" s="356">
        <v>398</v>
      </c>
      <c r="F9" s="356">
        <v>51</v>
      </c>
      <c r="G9" s="356">
        <v>54</v>
      </c>
      <c r="H9" s="356">
        <v>263</v>
      </c>
      <c r="I9" s="356">
        <v>139</v>
      </c>
      <c r="J9" s="356" t="s">
        <v>404</v>
      </c>
      <c r="K9" s="356">
        <v>80</v>
      </c>
      <c r="L9" s="357">
        <v>80</v>
      </c>
      <c r="M9" s="358">
        <f t="shared" si="0"/>
        <v>1.0269182784413886</v>
      </c>
      <c r="N9" s="382">
        <v>1</v>
      </c>
      <c r="O9" s="387"/>
      <c r="P9" s="383">
        <v>1</v>
      </c>
      <c r="Q9" s="377"/>
      <c r="R9" s="378">
        <v>6</v>
      </c>
      <c r="S9" s="379">
        <v>6</v>
      </c>
      <c r="T9" s="384"/>
      <c r="U9" s="381"/>
      <c r="V9" s="366" t="s">
        <v>395</v>
      </c>
      <c r="W9" s="367">
        <v>1</v>
      </c>
      <c r="X9" s="368" t="s">
        <v>396</v>
      </c>
      <c r="Y9" s="367" t="s">
        <v>397</v>
      </c>
      <c r="Z9" s="367">
        <v>1</v>
      </c>
      <c r="AA9" s="369" t="s">
        <v>398</v>
      </c>
      <c r="AB9" s="370">
        <v>1</v>
      </c>
      <c r="AC9" s="371" t="s">
        <v>405</v>
      </c>
      <c r="AD9" s="372">
        <v>5</v>
      </c>
      <c r="AE9" s="373">
        <v>3.55</v>
      </c>
    </row>
    <row r="10" spans="1:1014" x14ac:dyDescent="0.25">
      <c r="A10" s="77" t="s">
        <v>89</v>
      </c>
      <c r="B10" s="354">
        <f>'Resumo Proposta'!D12</f>
        <v>0</v>
      </c>
      <c r="C10" s="355">
        <v>524</v>
      </c>
      <c r="D10" s="356">
        <v>97</v>
      </c>
      <c r="E10" s="356">
        <v>288</v>
      </c>
      <c r="F10" s="356">
        <v>54</v>
      </c>
      <c r="G10" s="356">
        <v>167</v>
      </c>
      <c r="H10" s="356">
        <v>244</v>
      </c>
      <c r="I10" s="356">
        <v>344</v>
      </c>
      <c r="J10" s="356" t="s">
        <v>404</v>
      </c>
      <c r="K10" s="356">
        <v>182</v>
      </c>
      <c r="L10" s="357">
        <v>182</v>
      </c>
      <c r="M10" s="358">
        <f t="shared" si="0"/>
        <v>1.2159694801778054</v>
      </c>
      <c r="N10" s="374"/>
      <c r="O10" s="375">
        <v>1</v>
      </c>
      <c r="P10" s="377"/>
      <c r="Q10" s="377"/>
      <c r="R10" s="378">
        <v>6</v>
      </c>
      <c r="S10" s="379">
        <v>6</v>
      </c>
      <c r="T10" s="384"/>
      <c r="U10" s="381"/>
      <c r="V10" s="366">
        <v>1</v>
      </c>
      <c r="W10" s="367" t="s">
        <v>403</v>
      </c>
      <c r="X10" s="368" t="s">
        <v>396</v>
      </c>
      <c r="Y10" s="367" t="s">
        <v>397</v>
      </c>
      <c r="Z10" s="367" t="s">
        <v>397</v>
      </c>
      <c r="AA10" s="369" t="s">
        <v>398</v>
      </c>
      <c r="AB10" s="370" t="s">
        <v>399</v>
      </c>
      <c r="AC10" s="371" t="s">
        <v>400</v>
      </c>
      <c r="AD10" s="385">
        <v>3</v>
      </c>
      <c r="AE10" s="388">
        <v>5</v>
      </c>
    </row>
    <row r="11" spans="1:1014" x14ac:dyDescent="0.25">
      <c r="A11" s="77" t="s">
        <v>91</v>
      </c>
      <c r="B11" s="354">
        <f>'Resumo Proposta'!D13</f>
        <v>0</v>
      </c>
      <c r="C11" s="355">
        <v>661</v>
      </c>
      <c r="D11" s="356">
        <v>290</v>
      </c>
      <c r="E11" s="356">
        <v>1237</v>
      </c>
      <c r="F11" s="356">
        <v>65</v>
      </c>
      <c r="G11" s="356">
        <v>196</v>
      </c>
      <c r="H11" s="356">
        <v>93</v>
      </c>
      <c r="I11" s="356">
        <v>824</v>
      </c>
      <c r="J11" s="356">
        <v>129</v>
      </c>
      <c r="K11" s="356">
        <v>5</v>
      </c>
      <c r="L11" s="357">
        <v>134</v>
      </c>
      <c r="M11" s="358">
        <f t="shared" si="0"/>
        <v>2.243733397736412</v>
      </c>
      <c r="N11" s="374"/>
      <c r="O11" s="375">
        <v>1</v>
      </c>
      <c r="P11" s="383">
        <v>1</v>
      </c>
      <c r="Q11" s="377"/>
      <c r="R11" s="378">
        <v>6</v>
      </c>
      <c r="S11" s="379">
        <v>6</v>
      </c>
      <c r="T11" s="384"/>
      <c r="U11" s="381"/>
      <c r="V11" s="366">
        <v>1</v>
      </c>
      <c r="W11" s="367" t="s">
        <v>403</v>
      </c>
      <c r="X11" s="368" t="s">
        <v>396</v>
      </c>
      <c r="Y11" s="367" t="s">
        <v>397</v>
      </c>
      <c r="Z11" s="367">
        <v>1</v>
      </c>
      <c r="AA11" s="369" t="s">
        <v>398</v>
      </c>
      <c r="AB11" s="370">
        <v>1</v>
      </c>
      <c r="AC11" s="371" t="s">
        <v>405</v>
      </c>
      <c r="AD11" s="372">
        <v>4</v>
      </c>
      <c r="AE11" s="373">
        <v>3.5</v>
      </c>
      <c r="AF11" s="386"/>
    </row>
    <row r="12" spans="1:1014" x14ac:dyDescent="0.25">
      <c r="A12" s="77" t="s">
        <v>93</v>
      </c>
      <c r="B12" s="354">
        <f>'Resumo Proposta'!D14</f>
        <v>0</v>
      </c>
      <c r="C12" s="355">
        <v>498</v>
      </c>
      <c r="D12" s="356">
        <v>687</v>
      </c>
      <c r="E12" s="356">
        <v>536</v>
      </c>
      <c r="F12" s="356">
        <v>97</v>
      </c>
      <c r="G12" s="356">
        <v>71</v>
      </c>
      <c r="H12" s="356"/>
      <c r="I12" s="356">
        <v>323</v>
      </c>
      <c r="J12" s="356">
        <v>23</v>
      </c>
      <c r="K12" s="356">
        <v>223</v>
      </c>
      <c r="L12" s="357">
        <v>246</v>
      </c>
      <c r="M12" s="358">
        <f t="shared" si="0"/>
        <v>1.7992758210246249</v>
      </c>
      <c r="N12" s="374"/>
      <c r="O12" s="375">
        <v>2</v>
      </c>
      <c r="P12" s="376">
        <v>1</v>
      </c>
      <c r="Q12" s="377"/>
      <c r="R12" s="378">
        <v>6</v>
      </c>
      <c r="S12" s="379">
        <v>6</v>
      </c>
      <c r="T12" s="384"/>
      <c r="U12" s="381"/>
      <c r="V12" s="366" t="s">
        <v>395</v>
      </c>
      <c r="W12" s="367">
        <v>3</v>
      </c>
      <c r="X12" s="368" t="s">
        <v>396</v>
      </c>
      <c r="Y12" s="367" t="s">
        <v>397</v>
      </c>
      <c r="Z12" s="367" t="s">
        <v>397</v>
      </c>
      <c r="AA12" s="369" t="s">
        <v>398</v>
      </c>
      <c r="AB12" s="370">
        <v>3</v>
      </c>
      <c r="AC12" s="371" t="s">
        <v>405</v>
      </c>
      <c r="AD12" s="385">
        <v>2</v>
      </c>
      <c r="AE12" s="389">
        <v>4.3</v>
      </c>
      <c r="AF12" s="386"/>
    </row>
    <row r="13" spans="1:1014" x14ac:dyDescent="0.25">
      <c r="A13" s="77" t="s">
        <v>95</v>
      </c>
      <c r="B13" s="354">
        <f>'Resumo Proposta'!D15</f>
        <v>0</v>
      </c>
      <c r="C13" s="355">
        <v>629</v>
      </c>
      <c r="D13" s="356">
        <v>65</v>
      </c>
      <c r="E13" s="356">
        <v>697</v>
      </c>
      <c r="F13" s="356">
        <v>85</v>
      </c>
      <c r="G13" s="356">
        <v>76</v>
      </c>
      <c r="H13" s="356">
        <v>627</v>
      </c>
      <c r="I13" s="356">
        <v>53</v>
      </c>
      <c r="J13" s="356">
        <v>143</v>
      </c>
      <c r="K13" s="356">
        <v>46</v>
      </c>
      <c r="L13" s="357">
        <v>97</v>
      </c>
      <c r="M13" s="358">
        <f t="shared" si="0"/>
        <v>1.6230810320478744</v>
      </c>
      <c r="N13" s="382">
        <v>1</v>
      </c>
      <c r="O13" s="375">
        <v>1</v>
      </c>
      <c r="P13" s="377"/>
      <c r="Q13" s="383">
        <v>1</v>
      </c>
      <c r="R13" s="378">
        <v>6</v>
      </c>
      <c r="S13" s="379">
        <v>6</v>
      </c>
      <c r="T13" s="384"/>
      <c r="U13" s="381"/>
      <c r="V13" s="366">
        <v>1</v>
      </c>
      <c r="W13" s="367">
        <v>1</v>
      </c>
      <c r="X13" s="368" t="s">
        <v>396</v>
      </c>
      <c r="Y13" s="367" t="s">
        <v>397</v>
      </c>
      <c r="Z13" s="367">
        <v>1</v>
      </c>
      <c r="AA13" s="369" t="s">
        <v>398</v>
      </c>
      <c r="AB13" s="370">
        <v>3</v>
      </c>
      <c r="AC13" s="371" t="s">
        <v>402</v>
      </c>
      <c r="AD13" s="385">
        <v>3</v>
      </c>
      <c r="AE13" s="389">
        <v>3.9</v>
      </c>
    </row>
    <row r="14" spans="1:1014" x14ac:dyDescent="0.25">
      <c r="A14" s="77" t="s">
        <v>97</v>
      </c>
      <c r="B14" s="354">
        <f>'Resumo Proposta'!D16</f>
        <v>0</v>
      </c>
      <c r="C14" s="355">
        <v>617</v>
      </c>
      <c r="D14" s="356">
        <v>79</v>
      </c>
      <c r="E14" s="356">
        <v>629</v>
      </c>
      <c r="F14" s="356">
        <v>62</v>
      </c>
      <c r="G14" s="356">
        <v>46</v>
      </c>
      <c r="H14" s="356">
        <v>490</v>
      </c>
      <c r="I14" s="356">
        <v>225</v>
      </c>
      <c r="J14" s="356">
        <v>156</v>
      </c>
      <c r="K14" s="356">
        <v>248</v>
      </c>
      <c r="L14" s="357">
        <v>404</v>
      </c>
      <c r="M14" s="358">
        <f t="shared" si="0"/>
        <v>1.6079421135660366</v>
      </c>
      <c r="N14" s="382">
        <v>1</v>
      </c>
      <c r="O14" s="375">
        <v>1</v>
      </c>
      <c r="P14" s="376">
        <v>1</v>
      </c>
      <c r="Q14" s="377"/>
      <c r="R14" s="378">
        <v>6</v>
      </c>
      <c r="S14" s="379">
        <v>6</v>
      </c>
      <c r="T14" s="384"/>
      <c r="U14" s="381"/>
      <c r="V14" s="366">
        <v>1</v>
      </c>
      <c r="W14" s="367">
        <v>1</v>
      </c>
      <c r="X14" s="368" t="s">
        <v>396</v>
      </c>
      <c r="Y14" s="367" t="s">
        <v>397</v>
      </c>
      <c r="Z14" s="367" t="s">
        <v>397</v>
      </c>
      <c r="AA14" s="369" t="s">
        <v>398</v>
      </c>
      <c r="AB14" s="370">
        <v>3</v>
      </c>
      <c r="AC14" s="371" t="s">
        <v>405</v>
      </c>
      <c r="AD14" s="372">
        <v>3</v>
      </c>
      <c r="AE14" s="373">
        <v>2.6</v>
      </c>
    </row>
    <row r="15" spans="1:1014" x14ac:dyDescent="0.25">
      <c r="A15" s="77" t="s">
        <v>99</v>
      </c>
      <c r="B15" s="354">
        <f>'Resumo Proposta'!D17</f>
        <v>0</v>
      </c>
      <c r="C15" s="355">
        <v>403</v>
      </c>
      <c r="D15" s="356">
        <v>42</v>
      </c>
      <c r="E15" s="356">
        <v>675</v>
      </c>
      <c r="F15" s="356">
        <v>69</v>
      </c>
      <c r="G15" s="356">
        <v>61</v>
      </c>
      <c r="H15" s="356">
        <v>39</v>
      </c>
      <c r="I15" s="356">
        <v>138</v>
      </c>
      <c r="J15" s="356">
        <v>153</v>
      </c>
      <c r="K15" s="356">
        <v>50</v>
      </c>
      <c r="L15" s="357">
        <v>103</v>
      </c>
      <c r="M15" s="358">
        <f t="shared" si="0"/>
        <v>1.2904530238094354</v>
      </c>
      <c r="N15" s="374"/>
      <c r="O15" s="375">
        <v>1</v>
      </c>
      <c r="P15" s="383">
        <v>1</v>
      </c>
      <c r="Q15" s="377"/>
      <c r="R15" s="378">
        <v>6</v>
      </c>
      <c r="S15" s="379">
        <v>6</v>
      </c>
      <c r="T15" s="384"/>
      <c r="U15" s="381"/>
      <c r="V15" s="366">
        <v>1</v>
      </c>
      <c r="W15" s="367" t="s">
        <v>403</v>
      </c>
      <c r="X15" s="368" t="s">
        <v>396</v>
      </c>
      <c r="Y15" s="367" t="s">
        <v>397</v>
      </c>
      <c r="Z15" s="367">
        <v>1</v>
      </c>
      <c r="AA15" s="369" t="s">
        <v>398</v>
      </c>
      <c r="AB15" s="370">
        <v>2</v>
      </c>
      <c r="AC15" s="371" t="s">
        <v>405</v>
      </c>
      <c r="AD15" s="372">
        <v>2</v>
      </c>
      <c r="AE15" s="373">
        <v>3</v>
      </c>
    </row>
    <row r="16" spans="1:1014" x14ac:dyDescent="0.25">
      <c r="A16" s="77" t="s">
        <v>101</v>
      </c>
      <c r="B16" s="354">
        <f>'Resumo Proposta'!D18</f>
        <v>0</v>
      </c>
      <c r="C16" s="355">
        <v>506</v>
      </c>
      <c r="D16" s="356">
        <v>76</v>
      </c>
      <c r="E16" s="356"/>
      <c r="F16" s="356">
        <v>41</v>
      </c>
      <c r="G16" s="356">
        <v>96</v>
      </c>
      <c r="H16" s="356">
        <v>132</v>
      </c>
      <c r="I16" s="356">
        <v>851</v>
      </c>
      <c r="J16" s="356" t="s">
        <v>404</v>
      </c>
      <c r="K16" s="356">
        <v>269</v>
      </c>
      <c r="L16" s="357">
        <v>269</v>
      </c>
      <c r="M16" s="358">
        <f t="shared" si="0"/>
        <v>0.98832758412241661</v>
      </c>
      <c r="N16" s="374"/>
      <c r="O16" s="375">
        <v>1</v>
      </c>
      <c r="P16" s="377"/>
      <c r="Q16" s="376">
        <v>1</v>
      </c>
      <c r="R16" s="378">
        <v>6</v>
      </c>
      <c r="S16" s="379">
        <v>6</v>
      </c>
      <c r="T16" s="384"/>
      <c r="U16" s="381"/>
      <c r="V16" s="366">
        <v>1</v>
      </c>
      <c r="W16" s="367" t="s">
        <v>403</v>
      </c>
      <c r="X16" s="368" t="s">
        <v>396</v>
      </c>
      <c r="Y16" s="367">
        <v>1</v>
      </c>
      <c r="Z16" s="367" t="s">
        <v>397</v>
      </c>
      <c r="AA16" s="369" t="s">
        <v>398</v>
      </c>
      <c r="AB16" s="370">
        <v>3</v>
      </c>
      <c r="AC16" s="371" t="s">
        <v>405</v>
      </c>
      <c r="AD16" s="385">
        <v>3</v>
      </c>
      <c r="AE16" s="389">
        <v>4</v>
      </c>
    </row>
    <row r="17" spans="1:31" x14ac:dyDescent="0.25">
      <c r="A17" s="77" t="s">
        <v>103</v>
      </c>
      <c r="B17" s="354">
        <f>'Resumo Proposta'!D19</f>
        <v>0</v>
      </c>
      <c r="C17" s="355">
        <v>399</v>
      </c>
      <c r="D17" s="356">
        <v>24</v>
      </c>
      <c r="E17" s="356"/>
      <c r="F17" s="356">
        <v>37</v>
      </c>
      <c r="G17" s="356">
        <v>36</v>
      </c>
      <c r="H17" s="356">
        <v>132</v>
      </c>
      <c r="I17" s="356">
        <v>446</v>
      </c>
      <c r="J17" s="356" t="s">
        <v>404</v>
      </c>
      <c r="K17" s="356">
        <v>178</v>
      </c>
      <c r="L17" s="357">
        <v>178</v>
      </c>
      <c r="M17" s="358">
        <f t="shared" si="0"/>
        <v>0.72228577850644837</v>
      </c>
      <c r="N17" s="382">
        <v>1</v>
      </c>
      <c r="O17" s="387"/>
      <c r="P17" s="383">
        <v>1</v>
      </c>
      <c r="Q17" s="377"/>
      <c r="R17" s="390">
        <v>6</v>
      </c>
      <c r="S17" s="391">
        <v>6</v>
      </c>
      <c r="T17" s="392"/>
      <c r="U17" s="381"/>
      <c r="V17" s="366" t="s">
        <v>395</v>
      </c>
      <c r="W17" s="367">
        <v>1</v>
      </c>
      <c r="X17" s="368" t="s">
        <v>396</v>
      </c>
      <c r="Y17" s="367" t="s">
        <v>406</v>
      </c>
      <c r="Z17" s="367">
        <v>1</v>
      </c>
      <c r="AA17" s="369" t="s">
        <v>398</v>
      </c>
      <c r="AB17" s="370">
        <v>1</v>
      </c>
      <c r="AC17" s="371" t="s">
        <v>402</v>
      </c>
      <c r="AD17" s="385">
        <v>2</v>
      </c>
      <c r="AE17" s="389">
        <v>3.25</v>
      </c>
    </row>
    <row r="18" spans="1:31" x14ac:dyDescent="0.25">
      <c r="A18" s="77" t="s">
        <v>105</v>
      </c>
      <c r="B18" s="354">
        <f>'Resumo Proposta'!D20</f>
        <v>0</v>
      </c>
      <c r="C18" s="355">
        <v>375</v>
      </c>
      <c r="D18" s="356">
        <v>42</v>
      </c>
      <c r="E18" s="356">
        <v>288</v>
      </c>
      <c r="F18" s="356">
        <v>81</v>
      </c>
      <c r="G18" s="356">
        <v>96</v>
      </c>
      <c r="H18" s="356">
        <v>1275</v>
      </c>
      <c r="I18" s="356">
        <v>526</v>
      </c>
      <c r="J18" s="356">
        <v>148</v>
      </c>
      <c r="K18" s="356">
        <v>36</v>
      </c>
      <c r="L18" s="357">
        <v>112</v>
      </c>
      <c r="M18" s="358">
        <f t="shared" si="0"/>
        <v>1.0689683669599936</v>
      </c>
      <c r="N18" s="374"/>
      <c r="O18" s="375">
        <v>1</v>
      </c>
      <c r="P18" s="383">
        <v>1</v>
      </c>
      <c r="Q18" s="377"/>
      <c r="R18" s="378">
        <v>6</v>
      </c>
      <c r="S18" s="379">
        <v>6</v>
      </c>
      <c r="T18" s="384"/>
      <c r="U18" s="381"/>
      <c r="V18" s="366">
        <v>1</v>
      </c>
      <c r="W18" s="367" t="s">
        <v>403</v>
      </c>
      <c r="X18" s="368" t="s">
        <v>396</v>
      </c>
      <c r="Y18" s="367" t="s">
        <v>397</v>
      </c>
      <c r="Z18" s="367">
        <v>1</v>
      </c>
      <c r="AA18" s="369" t="s">
        <v>398</v>
      </c>
      <c r="AB18" s="370">
        <v>1</v>
      </c>
      <c r="AC18" s="371" t="s">
        <v>405</v>
      </c>
      <c r="AD18" s="372">
        <v>5</v>
      </c>
      <c r="AE18" s="373">
        <v>3.7</v>
      </c>
    </row>
    <row r="19" spans="1:31" x14ac:dyDescent="0.25">
      <c r="A19" s="77" t="s">
        <v>107</v>
      </c>
      <c r="B19" s="354">
        <f>'Resumo Proposta'!D21</f>
        <v>0</v>
      </c>
      <c r="C19" s="355">
        <v>294</v>
      </c>
      <c r="D19" s="356">
        <v>40</v>
      </c>
      <c r="E19" s="356"/>
      <c r="F19" s="356">
        <v>25</v>
      </c>
      <c r="G19" s="356">
        <v>40</v>
      </c>
      <c r="H19" s="356">
        <v>384</v>
      </c>
      <c r="I19" s="356">
        <v>350</v>
      </c>
      <c r="J19" s="356" t="s">
        <v>404</v>
      </c>
      <c r="K19" s="356">
        <v>236</v>
      </c>
      <c r="L19" s="357">
        <v>236</v>
      </c>
      <c r="M19" s="358">
        <f t="shared" si="0"/>
        <v>0.5928291678408425</v>
      </c>
      <c r="N19" s="382">
        <v>1</v>
      </c>
      <c r="O19" s="387"/>
      <c r="P19" s="377"/>
      <c r="Q19" s="377"/>
      <c r="R19" s="378">
        <v>6</v>
      </c>
      <c r="S19" s="379">
        <v>6</v>
      </c>
      <c r="T19" s="392"/>
      <c r="U19" s="381"/>
      <c r="V19" s="366" t="s">
        <v>395</v>
      </c>
      <c r="W19" s="367">
        <v>1</v>
      </c>
      <c r="X19" s="368" t="s">
        <v>396</v>
      </c>
      <c r="Y19" s="367" t="s">
        <v>397</v>
      </c>
      <c r="Z19" s="367" t="s">
        <v>397</v>
      </c>
      <c r="AA19" s="369" t="s">
        <v>398</v>
      </c>
      <c r="AB19" s="370" t="s">
        <v>399</v>
      </c>
      <c r="AC19" s="371" t="s">
        <v>400</v>
      </c>
      <c r="AD19" s="372">
        <v>3</v>
      </c>
      <c r="AE19" s="373">
        <v>2.9</v>
      </c>
    </row>
    <row r="20" spans="1:31" x14ac:dyDescent="0.25">
      <c r="A20" s="393" t="s">
        <v>109</v>
      </c>
      <c r="B20" s="354">
        <f>'Resumo Proposta'!D22</f>
        <v>0</v>
      </c>
      <c r="C20" s="394">
        <v>313</v>
      </c>
      <c r="D20" s="395">
        <v>21</v>
      </c>
      <c r="E20" s="395"/>
      <c r="F20" s="395">
        <v>25</v>
      </c>
      <c r="G20" s="395">
        <v>36</v>
      </c>
      <c r="H20" s="395">
        <v>127</v>
      </c>
      <c r="I20" s="395">
        <v>74</v>
      </c>
      <c r="J20" s="395" t="s">
        <v>404</v>
      </c>
      <c r="K20" s="395">
        <v>236</v>
      </c>
      <c r="L20" s="396">
        <v>236</v>
      </c>
      <c r="M20" s="358">
        <f t="shared" si="0"/>
        <v>0.5697221308038054</v>
      </c>
      <c r="N20" s="382">
        <v>1</v>
      </c>
      <c r="O20" s="387"/>
      <c r="P20" s="397"/>
      <c r="Q20" s="377"/>
      <c r="R20" s="378">
        <v>6</v>
      </c>
      <c r="S20" s="379">
        <v>6</v>
      </c>
      <c r="T20" s="384"/>
      <c r="U20" s="381"/>
      <c r="V20" s="366" t="s">
        <v>395</v>
      </c>
      <c r="W20" s="367">
        <v>1</v>
      </c>
      <c r="X20" s="368" t="s">
        <v>396</v>
      </c>
      <c r="Y20" s="367" t="s">
        <v>397</v>
      </c>
      <c r="Z20" s="367" t="s">
        <v>397</v>
      </c>
      <c r="AA20" s="369" t="s">
        <v>398</v>
      </c>
      <c r="AB20" s="370" t="s">
        <v>399</v>
      </c>
      <c r="AC20" s="371" t="s">
        <v>400</v>
      </c>
      <c r="AD20" s="385">
        <v>3</v>
      </c>
      <c r="AE20" s="373">
        <v>4.5</v>
      </c>
    </row>
    <row r="21" spans="1:31" x14ac:dyDescent="0.25">
      <c r="A21" s="398" t="s">
        <v>407</v>
      </c>
      <c r="B21" s="398"/>
      <c r="C21" s="399">
        <f t="shared" ref="C21:Z21" si="1">SUM(C4:C20)</f>
        <v>9246</v>
      </c>
      <c r="D21" s="400">
        <f t="shared" si="1"/>
        <v>3478</v>
      </c>
      <c r="E21" s="400">
        <f t="shared" si="1"/>
        <v>7515</v>
      </c>
      <c r="F21" s="400">
        <f t="shared" si="1"/>
        <v>1010</v>
      </c>
      <c r="G21" s="400">
        <f t="shared" si="1"/>
        <v>1129</v>
      </c>
      <c r="H21" s="400">
        <f t="shared" si="1"/>
        <v>5859</v>
      </c>
      <c r="I21" s="400">
        <f t="shared" si="1"/>
        <v>5152</v>
      </c>
      <c r="J21" s="400">
        <f t="shared" si="1"/>
        <v>1362</v>
      </c>
      <c r="K21" s="400">
        <f t="shared" si="1"/>
        <v>2893</v>
      </c>
      <c r="L21" s="401">
        <f t="shared" si="1"/>
        <v>3991</v>
      </c>
      <c r="M21" s="402">
        <f t="shared" si="1"/>
        <v>23.744513550311105</v>
      </c>
      <c r="N21" s="403">
        <f t="shared" si="1"/>
        <v>8</v>
      </c>
      <c r="O21" s="404">
        <f t="shared" si="1"/>
        <v>17</v>
      </c>
      <c r="P21" s="405">
        <f t="shared" si="1"/>
        <v>9</v>
      </c>
      <c r="Q21" s="406">
        <f t="shared" si="1"/>
        <v>4</v>
      </c>
      <c r="R21" s="407">
        <f t="shared" si="1"/>
        <v>102</v>
      </c>
      <c r="S21" s="408">
        <f t="shared" si="1"/>
        <v>102</v>
      </c>
      <c r="T21" s="409">
        <f t="shared" si="1"/>
        <v>22</v>
      </c>
      <c r="U21" s="410">
        <f t="shared" si="1"/>
        <v>1</v>
      </c>
      <c r="V21" s="411">
        <f t="shared" si="1"/>
        <v>12</v>
      </c>
      <c r="W21" s="412">
        <f t="shared" si="1"/>
        <v>15</v>
      </c>
      <c r="X21" s="413">
        <f t="shared" si="1"/>
        <v>0</v>
      </c>
      <c r="Y21" s="412">
        <f t="shared" si="1"/>
        <v>2</v>
      </c>
      <c r="Z21" s="412">
        <f t="shared" si="1"/>
        <v>8</v>
      </c>
      <c r="AA21" s="402"/>
      <c r="AB21" s="414">
        <f>SUM(AB4:AB20)</f>
        <v>30</v>
      </c>
      <c r="AC21" s="415"/>
      <c r="AD21" s="416"/>
      <c r="AE21" s="417"/>
    </row>
    <row r="22" spans="1:31" x14ac:dyDescent="0.25">
      <c r="A22" s="418" t="s">
        <v>408</v>
      </c>
      <c r="B22" s="319"/>
      <c r="C22" s="419">
        <v>900</v>
      </c>
      <c r="D22" s="420">
        <v>2000</v>
      </c>
      <c r="E22" s="420">
        <v>1300</v>
      </c>
      <c r="F22" s="420">
        <v>300</v>
      </c>
      <c r="G22" s="420">
        <v>2700</v>
      </c>
      <c r="H22" s="420">
        <v>100000</v>
      </c>
      <c r="I22" s="420">
        <v>9000</v>
      </c>
      <c r="J22" s="420">
        <v>160</v>
      </c>
      <c r="K22" s="420">
        <v>380</v>
      </c>
      <c r="L22" s="421">
        <v>380</v>
      </c>
      <c r="M22" s="422"/>
      <c r="N22" s="423" t="s">
        <v>409</v>
      </c>
      <c r="O22" s="424">
        <f>N21+O21</f>
        <v>25</v>
      </c>
      <c r="P22" s="425" t="s">
        <v>409</v>
      </c>
      <c r="Q22" s="426">
        <f>P21+Q21</f>
        <v>13</v>
      </c>
      <c r="R22" s="427"/>
      <c r="S22" s="427"/>
      <c r="T22" s="427"/>
    </row>
    <row r="23" spans="1:31" x14ac:dyDescent="0.25">
      <c r="A23" s="428" t="s">
        <v>410</v>
      </c>
      <c r="B23" s="428"/>
      <c r="C23" s="429">
        <f t="shared" ref="C23:I23" si="2">C21/C22</f>
        <v>10.273333333333333</v>
      </c>
      <c r="D23" s="430">
        <f t="shared" si="2"/>
        <v>1.7390000000000001</v>
      </c>
      <c r="E23" s="430">
        <f t="shared" si="2"/>
        <v>5.7807692307692307</v>
      </c>
      <c r="F23" s="430">
        <f t="shared" si="2"/>
        <v>3.3666666666666667</v>
      </c>
      <c r="G23" s="430">
        <f t="shared" si="2"/>
        <v>0.41814814814814816</v>
      </c>
      <c r="H23" s="430">
        <f t="shared" si="2"/>
        <v>5.8590000000000003E-2</v>
      </c>
      <c r="I23" s="430">
        <f t="shared" si="2"/>
        <v>0.57244444444444442</v>
      </c>
      <c r="J23" s="430">
        <f>1/J22*8*1/1132.6*J21</f>
        <v>6.0127141091294377E-2</v>
      </c>
      <c r="K23" s="430">
        <f>1/K22*16*1/188.76*K21</f>
        <v>0.64531959268801375</v>
      </c>
      <c r="L23" s="431">
        <f>1/L22*16*1/188.76*L21</f>
        <v>0.89024213426127308</v>
      </c>
      <c r="M23" s="432">
        <f>SUM(C23:L23)-J23</f>
        <v>23.744513550311112</v>
      </c>
      <c r="N23" s="433" t="s">
        <v>411</v>
      </c>
      <c r="O23" s="434">
        <f>O21+(N21*0.85)</f>
        <v>23.8</v>
      </c>
      <c r="P23" s="435"/>
      <c r="Q23" s="321"/>
      <c r="R23" s="321"/>
      <c r="S23" s="321"/>
      <c r="T23" s="321"/>
      <c r="U23" s="321"/>
    </row>
    <row r="24" spans="1:31" ht="13.9" customHeight="1" x14ac:dyDescent="0.25">
      <c r="A24" s="436" t="s">
        <v>412</v>
      </c>
      <c r="B24" s="436"/>
      <c r="C24" s="437">
        <f>C21/(M21*C22)</f>
        <v>0.43266135191886168</v>
      </c>
      <c r="D24" s="438">
        <f>D21/(M21*D22)</f>
        <v>7.3237971218711923E-2</v>
      </c>
      <c r="E24" s="438">
        <f>E21/(M21*E22)</f>
        <v>0.2434570503422038</v>
      </c>
      <c r="F24" s="438">
        <f>F21/(M21*F22)</f>
        <v>0.14178713998638881</v>
      </c>
      <c r="G24" s="438">
        <f>G21/(M21*G22)</f>
        <v>1.7610305945504178E-2</v>
      </c>
      <c r="H24" s="438">
        <f>H21/(M21*H22)</f>
        <v>2.4675173856839173E-3</v>
      </c>
      <c r="I24" s="438">
        <f>I21/(M21*I22)</f>
        <v>2.4108493241250008E-2</v>
      </c>
      <c r="J24" s="438">
        <f>1/4*1/J22*8*1/1132.6*J21</f>
        <v>1.5031785272823594E-2</v>
      </c>
      <c r="K24" s="438">
        <f>1/M21*1/K22*16*1/188.76*K21</f>
        <v>2.7177629532004404E-2</v>
      </c>
      <c r="L24" s="439">
        <f>1/M21*1/L22*16*1/188.76*L21</f>
        <v>3.7492540429391492E-2</v>
      </c>
      <c r="M24" s="440">
        <f>SUM(C24:L24)-J24</f>
        <v>1</v>
      </c>
      <c r="N24" s="321"/>
      <c r="O24" s="321"/>
      <c r="P24" s="321"/>
      <c r="Q24" s="321"/>
      <c r="R24" s="321"/>
      <c r="S24" s="321"/>
      <c r="T24" s="321"/>
    </row>
    <row r="25" spans="1:31" ht="13.9" hidden="1" customHeight="1" x14ac:dyDescent="0.25">
      <c r="A25" s="441" t="s">
        <v>413</v>
      </c>
      <c r="B25" s="441"/>
      <c r="C25" s="442">
        <f t="shared" ref="C25:I25" si="3">ROUND(1/C22,9)</f>
        <v>1.1111109999999999E-3</v>
      </c>
      <c r="D25" s="443">
        <f t="shared" si="3"/>
        <v>5.0000000000000001E-4</v>
      </c>
      <c r="E25" s="443">
        <f t="shared" si="3"/>
        <v>7.6923099999999999E-4</v>
      </c>
      <c r="F25" s="443">
        <f t="shared" si="3"/>
        <v>3.333333E-3</v>
      </c>
      <c r="G25" s="443">
        <f t="shared" si="3"/>
        <v>3.7037000000000002E-4</v>
      </c>
      <c r="H25" s="443">
        <f t="shared" si="3"/>
        <v>1.0000000000000001E-5</v>
      </c>
      <c r="I25" s="443">
        <f t="shared" si="3"/>
        <v>1.11111E-4</v>
      </c>
      <c r="J25" s="444">
        <f>(1/J22)*(1/L33)*8</f>
        <v>4.8611111111111115E-5</v>
      </c>
      <c r="K25" s="444">
        <f>(1/K22)*(1/L32)*16</f>
        <v>2.4561403508771931E-4</v>
      </c>
      <c r="L25" s="445">
        <f>(1/L22)*(1/L32)*16</f>
        <v>2.4561403508771931E-4</v>
      </c>
    </row>
    <row r="26" spans="1:31" ht="13.9" hidden="1" customHeight="1" x14ac:dyDescent="0.25">
      <c r="A26" s="446" t="s">
        <v>414</v>
      </c>
      <c r="B26" s="446"/>
      <c r="C26" s="447">
        <f t="shared" ref="C26:L26" si="4">C25/$V$21</f>
        <v>9.2592583333333322E-5</v>
      </c>
      <c r="D26" s="448">
        <f t="shared" si="4"/>
        <v>4.1666666666666665E-5</v>
      </c>
      <c r="E26" s="448">
        <f t="shared" si="4"/>
        <v>6.4102583333333328E-5</v>
      </c>
      <c r="F26" s="448">
        <f t="shared" si="4"/>
        <v>2.7777774999999998E-4</v>
      </c>
      <c r="G26" s="448">
        <f t="shared" si="4"/>
        <v>3.0864166666666668E-5</v>
      </c>
      <c r="H26" s="448">
        <f t="shared" si="4"/>
        <v>8.3333333333333344E-7</v>
      </c>
      <c r="I26" s="448">
        <f t="shared" si="4"/>
        <v>9.2592499999999995E-6</v>
      </c>
      <c r="J26" s="449">
        <f t="shared" si="4"/>
        <v>4.050925925925926E-6</v>
      </c>
      <c r="K26" s="449">
        <f t="shared" si="4"/>
        <v>2.0467836257309943E-5</v>
      </c>
      <c r="L26" s="450">
        <f t="shared" si="4"/>
        <v>2.0467836257309943E-5</v>
      </c>
    </row>
    <row r="27" spans="1:31" ht="13.9" hidden="1" customHeight="1" x14ac:dyDescent="0.25">
      <c r="A27" s="451" t="s">
        <v>415</v>
      </c>
      <c r="B27" s="451"/>
      <c r="C27" s="452" t="s">
        <v>416</v>
      </c>
      <c r="D27" s="453" t="s">
        <v>417</v>
      </c>
      <c r="E27" s="453" t="s">
        <v>418</v>
      </c>
      <c r="F27" s="453" t="s">
        <v>419</v>
      </c>
      <c r="G27" s="454" t="s">
        <v>420</v>
      </c>
      <c r="H27" s="455">
        <v>100000</v>
      </c>
      <c r="I27" s="454" t="s">
        <v>421</v>
      </c>
      <c r="J27" s="456" t="s">
        <v>422</v>
      </c>
      <c r="K27" s="456" t="s">
        <v>423</v>
      </c>
      <c r="L27" s="457" t="s">
        <v>423</v>
      </c>
    </row>
    <row r="28" spans="1:31" ht="13.9" hidden="1" customHeight="1" x14ac:dyDescent="0.25"/>
    <row r="29" spans="1:31" ht="13.9" hidden="1" customHeight="1" x14ac:dyDescent="0.25"/>
    <row r="30" spans="1:31" ht="13.9" hidden="1" customHeight="1" x14ac:dyDescent="0.25"/>
    <row r="31" spans="1:31" ht="13.9" hidden="1" customHeight="1" x14ac:dyDescent="0.25"/>
    <row r="32" spans="1:31" ht="13.9" hidden="1" customHeight="1" x14ac:dyDescent="0.25">
      <c r="J32" s="458">
        <f>30/7</f>
        <v>4.2857142857142856</v>
      </c>
      <c r="K32" s="458">
        <v>40</v>
      </c>
      <c r="L32" s="458">
        <f>J32*K32</f>
        <v>171.42857142857142</v>
      </c>
      <c r="M32" s="458"/>
      <c r="N32" s="458"/>
      <c r="O32" s="458"/>
      <c r="P32" s="458"/>
      <c r="Q32" s="458"/>
      <c r="R32" s="458"/>
      <c r="S32" s="458"/>
      <c r="T32" s="458"/>
    </row>
    <row r="33" spans="3:21" ht="13.9" hidden="1" customHeight="1" x14ac:dyDescent="0.25">
      <c r="J33" s="458"/>
      <c r="K33" s="458"/>
      <c r="L33" s="458">
        <f>L32*6</f>
        <v>1028.5714285714284</v>
      </c>
      <c r="M33" s="458" t="s">
        <v>424</v>
      </c>
      <c r="N33" s="458"/>
      <c r="O33" s="458"/>
      <c r="P33" s="458"/>
      <c r="Q33" s="458"/>
      <c r="R33" s="458"/>
      <c r="S33" s="458"/>
      <c r="T33" s="458"/>
      <c r="U33" s="458" t="s">
        <v>425</v>
      </c>
    </row>
    <row r="34" spans="3:21" x14ac:dyDescent="0.25">
      <c r="C34" s="459" t="s">
        <v>416</v>
      </c>
      <c r="D34" s="460" t="s">
        <v>417</v>
      </c>
      <c r="E34" s="460" t="s">
        <v>418</v>
      </c>
      <c r="F34" s="460" t="s">
        <v>419</v>
      </c>
      <c r="G34" s="461" t="s">
        <v>420</v>
      </c>
      <c r="H34" s="462">
        <v>100000</v>
      </c>
      <c r="I34" s="461" t="s">
        <v>421</v>
      </c>
      <c r="J34" s="461" t="s">
        <v>422</v>
      </c>
      <c r="K34" s="463" t="s">
        <v>423</v>
      </c>
      <c r="L34" s="464" t="s">
        <v>423</v>
      </c>
    </row>
    <row r="68" spans="7:7" x14ac:dyDescent="0.25">
      <c r="G68" s="322" t="s">
        <v>426</v>
      </c>
    </row>
  </sheetData>
  <mergeCells count="25">
    <mergeCell ref="AB2:AB3"/>
    <mergeCell ref="AC2:AC3"/>
    <mergeCell ref="AD2:AD3"/>
    <mergeCell ref="AE2:AE3"/>
    <mergeCell ref="M2:M3"/>
    <mergeCell ref="N2:O2"/>
    <mergeCell ref="P2:Q2"/>
    <mergeCell ref="V2:X2"/>
    <mergeCell ref="Y2:AA2"/>
    <mergeCell ref="C1:F1"/>
    <mergeCell ref="G1:I1"/>
    <mergeCell ref="J1:L1"/>
    <mergeCell ref="V1:AA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0B4"/>
  </sheetPr>
  <dimension ref="A1:AMG192"/>
  <sheetViews>
    <sheetView zoomScale="80" zoomScaleNormal="80" workbookViewId="0">
      <selection activeCell="M145" sqref="M145"/>
    </sheetView>
  </sheetViews>
  <sheetFormatPr defaultRowHeight="14.25" x14ac:dyDescent="0.2"/>
  <cols>
    <col min="1" max="1" width="53.75" style="458" customWidth="1"/>
    <col min="2" max="2" width="10" style="458" customWidth="1"/>
    <col min="3" max="3" width="14.875" style="458" customWidth="1"/>
    <col min="4" max="4" width="15.75" style="458" customWidth="1"/>
    <col min="5" max="5" width="16.75" style="458" customWidth="1"/>
    <col min="6" max="6" width="14.875" style="458" customWidth="1"/>
    <col min="7" max="1021" width="9" style="458" customWidth="1"/>
    <col min="1022" max="1025" width="8.375" customWidth="1"/>
  </cols>
  <sheetData>
    <row r="1" spans="1:6" ht="15.75" x14ac:dyDescent="0.2">
      <c r="A1" s="824" t="s">
        <v>427</v>
      </c>
      <c r="B1" s="824"/>
      <c r="C1" s="824"/>
      <c r="D1" s="824"/>
      <c r="E1" s="824"/>
      <c r="F1" s="824"/>
    </row>
    <row r="2" spans="1:6" ht="15.75" x14ac:dyDescent="0.2">
      <c r="A2" s="825" t="s">
        <v>428</v>
      </c>
      <c r="B2" s="825"/>
      <c r="C2" s="825"/>
      <c r="D2" s="825"/>
      <c r="E2" s="825"/>
      <c r="F2" s="825"/>
    </row>
    <row r="3" spans="1:6" ht="15.75" customHeight="1" x14ac:dyDescent="0.2">
      <c r="A3" s="825" t="s">
        <v>429</v>
      </c>
      <c r="B3" s="825"/>
      <c r="C3" s="825"/>
      <c r="D3" s="825"/>
      <c r="E3" s="825"/>
      <c r="F3" s="825"/>
    </row>
    <row r="4" spans="1:6" ht="15.75" x14ac:dyDescent="0.2">
      <c r="A4" s="465"/>
      <c r="B4" s="466"/>
      <c r="C4" s="467" t="s">
        <v>430</v>
      </c>
      <c r="D4" s="468" t="s">
        <v>431</v>
      </c>
      <c r="E4" s="468" t="s">
        <v>432</v>
      </c>
      <c r="F4" s="469" t="s">
        <v>433</v>
      </c>
    </row>
    <row r="5" spans="1:6" x14ac:dyDescent="0.2">
      <c r="A5" s="470"/>
      <c r="B5" s="471" t="s">
        <v>434</v>
      </c>
      <c r="C5" s="472">
        <f>MC!C11</f>
        <v>0</v>
      </c>
      <c r="D5" s="473">
        <f>MC!E11</f>
        <v>0</v>
      </c>
      <c r="E5" s="474">
        <f>MC!C14</f>
        <v>0</v>
      </c>
      <c r="F5" s="475">
        <f>MC!C12</f>
        <v>0</v>
      </c>
    </row>
    <row r="6" spans="1:6" x14ac:dyDescent="0.2">
      <c r="A6" s="470"/>
      <c r="B6" s="471" t="s">
        <v>435</v>
      </c>
      <c r="C6" s="476">
        <v>44562</v>
      </c>
      <c r="D6" s="477">
        <v>44562</v>
      </c>
      <c r="E6" s="478">
        <v>44562</v>
      </c>
      <c r="F6" s="479">
        <f>MC!D8</f>
        <v>0</v>
      </c>
    </row>
    <row r="7" spans="1:6" x14ac:dyDescent="0.2">
      <c r="A7" s="470"/>
      <c r="B7" s="471" t="s">
        <v>436</v>
      </c>
      <c r="C7" s="480" t="s">
        <v>10</v>
      </c>
      <c r="D7" s="481" t="s">
        <v>10</v>
      </c>
      <c r="E7" s="482" t="s">
        <v>10</v>
      </c>
      <c r="F7" s="482" t="s">
        <v>10</v>
      </c>
    </row>
    <row r="8" spans="1:6" x14ac:dyDescent="0.2">
      <c r="A8" s="470"/>
      <c r="B8" s="471" t="s">
        <v>437</v>
      </c>
      <c r="C8" s="483" t="s">
        <v>11</v>
      </c>
      <c r="D8" s="484" t="s">
        <v>11</v>
      </c>
      <c r="E8" s="485" t="s">
        <v>11</v>
      </c>
      <c r="F8" s="486">
        <f>MC!E8</f>
        <v>0</v>
      </c>
    </row>
    <row r="9" spans="1:6" x14ac:dyDescent="0.2">
      <c r="A9" s="826"/>
      <c r="B9" s="826"/>
      <c r="C9" s="826"/>
      <c r="D9" s="826"/>
      <c r="E9" s="826"/>
      <c r="F9" s="826"/>
    </row>
    <row r="10" spans="1:6" ht="66.75" customHeight="1" x14ac:dyDescent="0.2">
      <c r="A10" s="487" t="s">
        <v>438</v>
      </c>
      <c r="B10" s="488" t="s">
        <v>439</v>
      </c>
      <c r="C10" s="488" t="s">
        <v>440</v>
      </c>
      <c r="D10" s="489" t="s">
        <v>431</v>
      </c>
      <c r="E10" s="488" t="s">
        <v>432</v>
      </c>
      <c r="F10" s="488" t="s">
        <v>441</v>
      </c>
    </row>
    <row r="11" spans="1:6" ht="15.75" customHeight="1" x14ac:dyDescent="0.2">
      <c r="A11" s="490" t="s">
        <v>442</v>
      </c>
      <c r="B11" s="490"/>
      <c r="C11" s="490"/>
      <c r="D11" s="490"/>
      <c r="E11" s="490"/>
      <c r="F11" s="490"/>
    </row>
    <row r="12" spans="1:6" ht="15.75" customHeight="1" x14ac:dyDescent="0.2">
      <c r="A12" s="491" t="s">
        <v>443</v>
      </c>
      <c r="B12" s="492" t="s">
        <v>444</v>
      </c>
      <c r="C12" s="492" t="s">
        <v>445</v>
      </c>
      <c r="D12" s="492" t="s">
        <v>445</v>
      </c>
      <c r="E12" s="493"/>
      <c r="F12" s="494" t="s">
        <v>445</v>
      </c>
    </row>
    <row r="13" spans="1:6" ht="15.75" customHeight="1" x14ac:dyDescent="0.2">
      <c r="A13" s="495" t="s">
        <v>446</v>
      </c>
      <c r="B13" s="496"/>
      <c r="C13" s="497">
        <f>C5</f>
        <v>0</v>
      </c>
      <c r="D13" s="498">
        <f>D5</f>
        <v>0</v>
      </c>
      <c r="E13" s="498">
        <f>E5</f>
        <v>0</v>
      </c>
      <c r="F13" s="499">
        <f>F5</f>
        <v>0</v>
      </c>
    </row>
    <row r="14" spans="1:6" ht="15.75" customHeight="1" x14ac:dyDescent="0.2">
      <c r="A14" s="495" t="s">
        <v>447</v>
      </c>
      <c r="B14" s="500">
        <v>0.2</v>
      </c>
      <c r="C14" s="497">
        <f>C13*$B$14</f>
        <v>0</v>
      </c>
      <c r="D14" s="497">
        <f>D13*$B$14</f>
        <v>0</v>
      </c>
      <c r="E14" s="497"/>
      <c r="F14" s="499">
        <f>F13*$B$14</f>
        <v>0</v>
      </c>
    </row>
    <row r="15" spans="1:6" ht="15.75" customHeight="1" x14ac:dyDescent="0.2">
      <c r="A15" s="495" t="s">
        <v>448</v>
      </c>
      <c r="B15" s="500"/>
      <c r="C15" s="497"/>
      <c r="D15" s="498"/>
      <c r="E15" s="498"/>
      <c r="F15" s="499"/>
    </row>
    <row r="16" spans="1:6" ht="15.75" customHeight="1" x14ac:dyDescent="0.2">
      <c r="A16" s="495" t="s">
        <v>449</v>
      </c>
      <c r="B16" s="501"/>
      <c r="C16" s="497"/>
      <c r="D16" s="498"/>
      <c r="E16" s="498"/>
      <c r="F16" s="499"/>
    </row>
    <row r="17" spans="1:6" ht="15.75" customHeight="1" x14ac:dyDescent="0.2">
      <c r="A17" s="495" t="s">
        <v>450</v>
      </c>
      <c r="B17" s="501"/>
      <c r="C17" s="497"/>
      <c r="D17" s="498"/>
      <c r="E17" s="498"/>
      <c r="F17" s="499"/>
    </row>
    <row r="18" spans="1:6" ht="15.75" customHeight="1" x14ac:dyDescent="0.2">
      <c r="A18" s="495" t="s">
        <v>451</v>
      </c>
      <c r="B18" s="500">
        <v>0.3</v>
      </c>
      <c r="C18" s="497"/>
      <c r="D18" s="497"/>
      <c r="E18" s="498">
        <f>B18*E13</f>
        <v>0</v>
      </c>
      <c r="F18" s="499"/>
    </row>
    <row r="19" spans="1:6" ht="15.75" customHeight="1" x14ac:dyDescent="0.2">
      <c r="A19" s="502" t="s">
        <v>452</v>
      </c>
      <c r="B19" s="503"/>
      <c r="C19" s="504">
        <f>SUM(C13:C18)</f>
        <v>0</v>
      </c>
      <c r="D19" s="505">
        <f>SUM(D13:D18)</f>
        <v>0</v>
      </c>
      <c r="E19" s="505">
        <f>SUM(E13:E18)</f>
        <v>0</v>
      </c>
      <c r="F19" s="506">
        <f>SUM(F13:F18)</f>
        <v>0</v>
      </c>
    </row>
    <row r="20" spans="1:6" ht="15.75" customHeight="1" x14ac:dyDescent="0.2">
      <c r="A20" s="827"/>
      <c r="B20" s="827"/>
      <c r="C20" s="508"/>
      <c r="D20" s="509"/>
      <c r="E20" s="509"/>
      <c r="F20" s="510"/>
    </row>
    <row r="21" spans="1:6" ht="15.75" customHeight="1" x14ac:dyDescent="0.2">
      <c r="A21" s="828" t="s">
        <v>453</v>
      </c>
      <c r="B21" s="828"/>
      <c r="C21" s="828"/>
      <c r="D21" s="828"/>
      <c r="E21" s="828"/>
      <c r="F21" s="828"/>
    </row>
    <row r="22" spans="1:6" ht="15.75" customHeight="1" x14ac:dyDescent="0.2">
      <c r="A22" s="511" t="s">
        <v>454</v>
      </c>
      <c r="B22" s="512" t="s">
        <v>444</v>
      </c>
      <c r="C22" s="512" t="s">
        <v>445</v>
      </c>
      <c r="D22" s="512" t="s">
        <v>445</v>
      </c>
      <c r="E22" s="512" t="s">
        <v>445</v>
      </c>
      <c r="F22" s="513" t="s">
        <v>445</v>
      </c>
    </row>
    <row r="23" spans="1:6" ht="15.75" customHeight="1" x14ac:dyDescent="0.2">
      <c r="A23" s="514" t="s">
        <v>455</v>
      </c>
      <c r="B23" s="500">
        <f>1/12</f>
        <v>8.3333333333333329E-2</v>
      </c>
      <c r="C23" s="497">
        <f>ROUND($B23*C$19,2)</f>
        <v>0</v>
      </c>
      <c r="D23" s="497">
        <f>ROUND($B23*D$19,2)</f>
        <v>0</v>
      </c>
      <c r="E23" s="497">
        <f>ROUND($B23*E$19,2)</f>
        <v>0</v>
      </c>
      <c r="F23" s="499">
        <f>ROUND($B23*F$19,2)</f>
        <v>0</v>
      </c>
    </row>
    <row r="24" spans="1:6" ht="15.75" customHeight="1" x14ac:dyDescent="0.2">
      <c r="A24" s="514" t="s">
        <v>456</v>
      </c>
      <c r="B24" s="500">
        <f>1/3*1/12</f>
        <v>2.7777777777777776E-2</v>
      </c>
      <c r="C24" s="497">
        <f>C$19*$B$24</f>
        <v>0</v>
      </c>
      <c r="D24" s="497">
        <f>D$19*$B$24</f>
        <v>0</v>
      </c>
      <c r="E24" s="497">
        <f>E$19*$B$24</f>
        <v>0</v>
      </c>
      <c r="F24" s="499">
        <f>F$19*$B$24</f>
        <v>0</v>
      </c>
    </row>
    <row r="25" spans="1:6" ht="15.75" customHeight="1" x14ac:dyDescent="0.2">
      <c r="A25" s="502" t="s">
        <v>452</v>
      </c>
      <c r="B25" s="515">
        <f>SUM(B23:B24)</f>
        <v>0.1111111111111111</v>
      </c>
      <c r="C25" s="504">
        <f>SUM(C23:C24)</f>
        <v>0</v>
      </c>
      <c r="D25" s="504">
        <f>SUM(D23:D24)</f>
        <v>0</v>
      </c>
      <c r="E25" s="504">
        <f>SUM(E23:E24)</f>
        <v>0</v>
      </c>
      <c r="F25" s="506">
        <f>SUM(F23:F24)</f>
        <v>0</v>
      </c>
    </row>
    <row r="26" spans="1:6" ht="15.75" customHeight="1" x14ac:dyDescent="0.2">
      <c r="A26" s="511" t="s">
        <v>457</v>
      </c>
      <c r="B26" s="512" t="s">
        <v>444</v>
      </c>
      <c r="C26" s="512" t="s">
        <v>445</v>
      </c>
      <c r="D26" s="512" t="s">
        <v>445</v>
      </c>
      <c r="E26" s="512" t="s">
        <v>445</v>
      </c>
      <c r="F26" s="513" t="s">
        <v>445</v>
      </c>
    </row>
    <row r="27" spans="1:6" ht="15.75" customHeight="1" x14ac:dyDescent="0.2">
      <c r="A27" s="511" t="s">
        <v>458</v>
      </c>
      <c r="B27" s="516"/>
      <c r="C27" s="516"/>
      <c r="D27" s="516"/>
      <c r="E27" s="517"/>
      <c r="F27" s="518"/>
    </row>
    <row r="28" spans="1:6" ht="15.75" customHeight="1" x14ac:dyDescent="0.2">
      <c r="A28" s="514" t="s">
        <v>459</v>
      </c>
      <c r="B28" s="500">
        <v>0.2</v>
      </c>
      <c r="C28" s="519">
        <f t="shared" ref="C28:C35" si="0">ROUND(($C$19+$C$25)*B28,2)</f>
        <v>0</v>
      </c>
      <c r="D28" s="519">
        <f t="shared" ref="D28:D35" si="1">ROUND(($D$19+$D$25)*B28,2)</f>
        <v>0</v>
      </c>
      <c r="E28" s="519">
        <f t="shared" ref="E28:E35" si="2">ROUND(($E$19+$E$25)*B28,2)</f>
        <v>0</v>
      </c>
      <c r="F28" s="520">
        <f t="shared" ref="F28:F35" si="3">ROUND(($F$19+$F$25)*B28,2)</f>
        <v>0</v>
      </c>
    </row>
    <row r="29" spans="1:6" ht="15.75" customHeight="1" x14ac:dyDescent="0.2">
      <c r="A29" s="514" t="s">
        <v>460</v>
      </c>
      <c r="B29" s="500">
        <v>2.5000000000000001E-2</v>
      </c>
      <c r="C29" s="519">
        <f t="shared" si="0"/>
        <v>0</v>
      </c>
      <c r="D29" s="519">
        <f t="shared" si="1"/>
        <v>0</v>
      </c>
      <c r="E29" s="519">
        <f t="shared" si="2"/>
        <v>0</v>
      </c>
      <c r="F29" s="520">
        <f t="shared" si="3"/>
        <v>0</v>
      </c>
    </row>
    <row r="30" spans="1:6" ht="15.75" customHeight="1" x14ac:dyDescent="0.2">
      <c r="A30" s="514" t="s">
        <v>461</v>
      </c>
      <c r="B30" s="500">
        <v>0.03</v>
      </c>
      <c r="C30" s="519">
        <f t="shared" si="0"/>
        <v>0</v>
      </c>
      <c r="D30" s="519">
        <f t="shared" si="1"/>
        <v>0</v>
      </c>
      <c r="E30" s="519">
        <f t="shared" si="2"/>
        <v>0</v>
      </c>
      <c r="F30" s="520">
        <f t="shared" si="3"/>
        <v>0</v>
      </c>
    </row>
    <row r="31" spans="1:6" ht="15.75" customHeight="1" x14ac:dyDescent="0.2">
      <c r="A31" s="514" t="s">
        <v>462</v>
      </c>
      <c r="B31" s="500">
        <v>1.4999999999999999E-2</v>
      </c>
      <c r="C31" s="519">
        <f t="shared" si="0"/>
        <v>0</v>
      </c>
      <c r="D31" s="519">
        <f t="shared" si="1"/>
        <v>0</v>
      </c>
      <c r="E31" s="519">
        <f t="shared" si="2"/>
        <v>0</v>
      </c>
      <c r="F31" s="520">
        <f t="shared" si="3"/>
        <v>0</v>
      </c>
    </row>
    <row r="32" spans="1:6" ht="15.75" customHeight="1" x14ac:dyDescent="0.2">
      <c r="A32" s="514" t="s">
        <v>463</v>
      </c>
      <c r="B32" s="500">
        <v>0.01</v>
      </c>
      <c r="C32" s="519">
        <f t="shared" si="0"/>
        <v>0</v>
      </c>
      <c r="D32" s="519">
        <f t="shared" si="1"/>
        <v>0</v>
      </c>
      <c r="E32" s="519">
        <f t="shared" si="2"/>
        <v>0</v>
      </c>
      <c r="F32" s="520">
        <f t="shared" si="3"/>
        <v>0</v>
      </c>
    </row>
    <row r="33" spans="1:6" ht="15.75" customHeight="1" x14ac:dyDescent="0.2">
      <c r="A33" s="514" t="s">
        <v>464</v>
      </c>
      <c r="B33" s="500">
        <v>6.0000000000000001E-3</v>
      </c>
      <c r="C33" s="519">
        <f t="shared" si="0"/>
        <v>0</v>
      </c>
      <c r="D33" s="519">
        <f t="shared" si="1"/>
        <v>0</v>
      </c>
      <c r="E33" s="519">
        <f t="shared" si="2"/>
        <v>0</v>
      </c>
      <c r="F33" s="520">
        <f t="shared" si="3"/>
        <v>0</v>
      </c>
    </row>
    <row r="34" spans="1:6" ht="15.75" customHeight="1" x14ac:dyDescent="0.2">
      <c r="A34" s="514" t="s">
        <v>465</v>
      </c>
      <c r="B34" s="500">
        <v>2E-3</v>
      </c>
      <c r="C34" s="519">
        <f t="shared" si="0"/>
        <v>0</v>
      </c>
      <c r="D34" s="519">
        <f t="shared" si="1"/>
        <v>0</v>
      </c>
      <c r="E34" s="519">
        <f t="shared" si="2"/>
        <v>0</v>
      </c>
      <c r="F34" s="520">
        <f t="shared" si="3"/>
        <v>0</v>
      </c>
    </row>
    <row r="35" spans="1:6" ht="15.75" customHeight="1" x14ac:dyDescent="0.2">
      <c r="A35" s="514" t="s">
        <v>466</v>
      </c>
      <c r="B35" s="500">
        <v>0.08</v>
      </c>
      <c r="C35" s="519">
        <f t="shared" si="0"/>
        <v>0</v>
      </c>
      <c r="D35" s="519">
        <f t="shared" si="1"/>
        <v>0</v>
      </c>
      <c r="E35" s="519">
        <f t="shared" si="2"/>
        <v>0</v>
      </c>
      <c r="F35" s="520">
        <f t="shared" si="3"/>
        <v>0</v>
      </c>
    </row>
    <row r="36" spans="1:6" ht="15.75" customHeight="1" x14ac:dyDescent="0.2">
      <c r="A36" s="502" t="s">
        <v>452</v>
      </c>
      <c r="B36" s="515">
        <f>SUM(B28:B35)</f>
        <v>0.36800000000000005</v>
      </c>
      <c r="C36" s="504">
        <f>SUM(C27:C35)</f>
        <v>0</v>
      </c>
      <c r="D36" s="504">
        <f>SUM(D27:D35)</f>
        <v>0</v>
      </c>
      <c r="E36" s="505">
        <f>SUM(E28:E35)</f>
        <v>0</v>
      </c>
      <c r="F36" s="506">
        <f>SUM(F27:F35)</f>
        <v>0</v>
      </c>
    </row>
    <row r="37" spans="1:6" ht="15.75" customHeight="1" x14ac:dyDescent="0.2">
      <c r="A37" s="511" t="s">
        <v>467</v>
      </c>
      <c r="B37" s="512" t="s">
        <v>468</v>
      </c>
      <c r="C37" s="512" t="s">
        <v>445</v>
      </c>
      <c r="D37" s="512" t="s">
        <v>445</v>
      </c>
      <c r="E37" s="512" t="s">
        <v>445</v>
      </c>
      <c r="F37" s="513" t="s">
        <v>445</v>
      </c>
    </row>
    <row r="38" spans="1:6" ht="15.75" customHeight="1" x14ac:dyDescent="0.2">
      <c r="A38" s="514" t="s">
        <v>469</v>
      </c>
      <c r="B38" s="521">
        <f>MC!D87</f>
        <v>0</v>
      </c>
      <c r="C38" s="497">
        <f>ROUND(((2*22*$B$38)-0.06*C$13),2)</f>
        <v>0</v>
      </c>
      <c r="D38" s="497">
        <f>ROUND(((2*22*$B$38)-0.06*D$13),2)</f>
        <v>0</v>
      </c>
      <c r="E38" s="497">
        <f>ROUND(((2*22*$B$38)-0.06*E$13),2)</f>
        <v>0</v>
      </c>
      <c r="F38" s="497">
        <f>ROUND(((2*22*$B$38)-0.06*F$13),2)</f>
        <v>0</v>
      </c>
    </row>
    <row r="39" spans="1:6" ht="15.75" customHeight="1" x14ac:dyDescent="0.2">
      <c r="A39" s="514" t="s">
        <v>470</v>
      </c>
      <c r="B39" s="522"/>
      <c r="C39" s="519">
        <f>MC!E17</f>
        <v>0</v>
      </c>
      <c r="D39" s="519">
        <f>MC!E18</f>
        <v>0</v>
      </c>
      <c r="E39" s="519">
        <f>MC!E17</f>
        <v>0</v>
      </c>
      <c r="F39" s="519">
        <f>MC!E17</f>
        <v>0</v>
      </c>
    </row>
    <row r="40" spans="1:6" ht="15.75" customHeight="1" x14ac:dyDescent="0.2">
      <c r="A40" s="514" t="s">
        <v>471</v>
      </c>
      <c r="B40" s="500">
        <f>MC!C22</f>
        <v>0</v>
      </c>
      <c r="C40" s="519"/>
      <c r="D40" s="519"/>
      <c r="E40" s="519">
        <f>MC!E22</f>
        <v>0</v>
      </c>
      <c r="F40" s="519"/>
    </row>
    <row r="41" spans="1:6" ht="15.75" customHeight="1" x14ac:dyDescent="0.2">
      <c r="A41" s="514" t="s">
        <v>472</v>
      </c>
      <c r="B41" s="523">
        <f>MC!E21</f>
        <v>0</v>
      </c>
      <c r="C41" s="519">
        <f>B41</f>
        <v>0</v>
      </c>
      <c r="D41" s="519">
        <f>B41</f>
        <v>0</v>
      </c>
      <c r="E41" s="524">
        <f>B41</f>
        <v>0</v>
      </c>
      <c r="F41" s="520">
        <f>B41</f>
        <v>0</v>
      </c>
    </row>
    <row r="42" spans="1:6" ht="15.75" customHeight="1" x14ac:dyDescent="0.2">
      <c r="A42" s="514" t="s">
        <v>473</v>
      </c>
      <c r="B42" s="500">
        <f>MC!C20</f>
        <v>0</v>
      </c>
      <c r="C42" s="519">
        <f>$B$42*C19</f>
        <v>0</v>
      </c>
      <c r="D42" s="519">
        <f>$B$42*D19</f>
        <v>0</v>
      </c>
      <c r="E42" s="519">
        <f>$B$42*E19</f>
        <v>0</v>
      </c>
      <c r="F42" s="519">
        <f>$B$42*F19</f>
        <v>0</v>
      </c>
    </row>
    <row r="43" spans="1:6" ht="15.75" customHeight="1" x14ac:dyDescent="0.2">
      <c r="A43" s="514" t="s">
        <v>474</v>
      </c>
      <c r="B43" s="500"/>
      <c r="C43" s="519"/>
      <c r="D43" s="519"/>
      <c r="E43" s="524"/>
      <c r="F43" s="520"/>
    </row>
    <row r="44" spans="1:6" ht="15.75" customHeight="1" x14ac:dyDescent="0.2">
      <c r="A44" s="502" t="s">
        <v>452</v>
      </c>
      <c r="B44" s="503"/>
      <c r="C44" s="504">
        <f>SUM(C38:C43)</f>
        <v>0</v>
      </c>
      <c r="D44" s="504">
        <f>SUM(D38:D43)</f>
        <v>0</v>
      </c>
      <c r="E44" s="505">
        <f>SUM(E38:E43)</f>
        <v>0</v>
      </c>
      <c r="F44" s="506">
        <f>SUM(F38:F43)</f>
        <v>0</v>
      </c>
    </row>
    <row r="45" spans="1:6" ht="15.75" customHeight="1" x14ac:dyDescent="0.2">
      <c r="A45" s="491" t="s">
        <v>475</v>
      </c>
      <c r="B45" s="492" t="s">
        <v>444</v>
      </c>
      <c r="C45" s="492" t="s">
        <v>445</v>
      </c>
      <c r="D45" s="492" t="s">
        <v>445</v>
      </c>
      <c r="E45" s="492" t="s">
        <v>445</v>
      </c>
      <c r="F45" s="494" t="s">
        <v>445</v>
      </c>
    </row>
    <row r="46" spans="1:6" ht="15.75" customHeight="1" x14ac:dyDescent="0.2">
      <c r="A46" s="514" t="s">
        <v>454</v>
      </c>
      <c r="B46" s="525">
        <f>B25</f>
        <v>0.1111111111111111</v>
      </c>
      <c r="C46" s="526">
        <f>C25</f>
        <v>0</v>
      </c>
      <c r="D46" s="526">
        <f>D25</f>
        <v>0</v>
      </c>
      <c r="E46" s="526">
        <f>E25</f>
        <v>0</v>
      </c>
      <c r="F46" s="527">
        <f>F25</f>
        <v>0</v>
      </c>
    </row>
    <row r="47" spans="1:6" ht="15.75" customHeight="1" x14ac:dyDescent="0.2">
      <c r="A47" s="514" t="s">
        <v>476</v>
      </c>
      <c r="B47" s="525">
        <f>B36</f>
        <v>0.36800000000000005</v>
      </c>
      <c r="C47" s="526">
        <f>C36</f>
        <v>0</v>
      </c>
      <c r="D47" s="526">
        <f>D36</f>
        <v>0</v>
      </c>
      <c r="E47" s="526">
        <f>E36</f>
        <v>0</v>
      </c>
      <c r="F47" s="527">
        <f>F36</f>
        <v>0</v>
      </c>
    </row>
    <row r="48" spans="1:6" ht="15.75" customHeight="1" x14ac:dyDescent="0.2">
      <c r="A48" s="514" t="s">
        <v>467</v>
      </c>
      <c r="B48" s="525"/>
      <c r="C48" s="526">
        <f>C44</f>
        <v>0</v>
      </c>
      <c r="D48" s="526">
        <f>D44</f>
        <v>0</v>
      </c>
      <c r="E48" s="526">
        <f>E44</f>
        <v>0</v>
      </c>
      <c r="F48" s="527">
        <f>F44</f>
        <v>0</v>
      </c>
    </row>
    <row r="49" spans="1:6" ht="15.75" customHeight="1" x14ac:dyDescent="0.2">
      <c r="A49" s="502" t="s">
        <v>452</v>
      </c>
      <c r="B49" s="503"/>
      <c r="C49" s="504">
        <f>SUM(C46:C48)</f>
        <v>0</v>
      </c>
      <c r="D49" s="504">
        <f>SUM(D46:D48)</f>
        <v>0</v>
      </c>
      <c r="E49" s="505">
        <f>SUM(E46:E48)</f>
        <v>0</v>
      </c>
      <c r="F49" s="506">
        <f>SUM(F46:F48)</f>
        <v>0</v>
      </c>
    </row>
    <row r="50" spans="1:6" ht="15.75" customHeight="1" x14ac:dyDescent="0.2">
      <c r="A50" s="827"/>
      <c r="B50" s="827"/>
      <c r="C50" s="508"/>
      <c r="D50" s="510"/>
      <c r="E50" s="510"/>
      <c r="F50" s="510"/>
    </row>
    <row r="51" spans="1:6" s="528" customFormat="1" ht="15.75" customHeight="1" x14ac:dyDescent="0.2">
      <c r="A51" s="828" t="s">
        <v>477</v>
      </c>
      <c r="B51" s="828"/>
      <c r="C51" s="828"/>
      <c r="D51" s="828"/>
      <c r="E51" s="828"/>
      <c r="F51" s="828"/>
    </row>
    <row r="52" spans="1:6" ht="15.75" customHeight="1" x14ac:dyDescent="0.2">
      <c r="A52" s="491" t="s">
        <v>478</v>
      </c>
      <c r="B52" s="492" t="s">
        <v>444</v>
      </c>
      <c r="C52" s="492" t="s">
        <v>445</v>
      </c>
      <c r="D52" s="492" t="s">
        <v>445</v>
      </c>
      <c r="E52" s="492" t="s">
        <v>445</v>
      </c>
      <c r="F52" s="494" t="s">
        <v>445</v>
      </c>
    </row>
    <row r="53" spans="1:6" ht="15.75" customHeight="1" x14ac:dyDescent="0.2">
      <c r="A53" s="511" t="s">
        <v>479</v>
      </c>
      <c r="B53" s="529"/>
      <c r="C53" s="529"/>
      <c r="D53" s="529"/>
      <c r="E53" s="530"/>
      <c r="F53" s="531"/>
    </row>
    <row r="54" spans="1:6" ht="15.75" customHeight="1" x14ac:dyDescent="0.2">
      <c r="A54" s="514" t="s">
        <v>480</v>
      </c>
      <c r="B54" s="525">
        <f>1/12*0.05</f>
        <v>4.1666666666666666E-3</v>
      </c>
      <c r="C54" s="532">
        <f>C19*$B54</f>
        <v>0</v>
      </c>
      <c r="D54" s="532">
        <f>D19*$B54</f>
        <v>0</v>
      </c>
      <c r="E54" s="532">
        <f>E19*$B54</f>
        <v>0</v>
      </c>
      <c r="F54" s="532">
        <f>F19*$B54</f>
        <v>0</v>
      </c>
    </row>
    <row r="55" spans="1:6" ht="15.75" customHeight="1" x14ac:dyDescent="0.2">
      <c r="A55" s="514" t="s">
        <v>481</v>
      </c>
      <c r="B55" s="525">
        <f>B35*B54</f>
        <v>3.3333333333333332E-4</v>
      </c>
      <c r="C55" s="532">
        <f>$B$55*C19</f>
        <v>0</v>
      </c>
      <c r="D55" s="532">
        <f>$B$55*D19</f>
        <v>0</v>
      </c>
      <c r="E55" s="532">
        <f>$B$55*E19</f>
        <v>0</v>
      </c>
      <c r="F55" s="532">
        <f>$B$55*F19</f>
        <v>0</v>
      </c>
    </row>
    <row r="56" spans="1:6" ht="15.75" customHeight="1" x14ac:dyDescent="0.2">
      <c r="A56" s="514" t="s">
        <v>482</v>
      </c>
      <c r="B56" s="525">
        <v>0</v>
      </c>
      <c r="C56" s="532">
        <f>C35*$B56</f>
        <v>0</v>
      </c>
      <c r="D56" s="532">
        <f>D35*$B56</f>
        <v>0</v>
      </c>
      <c r="E56" s="532">
        <f>E35*$B56</f>
        <v>0</v>
      </c>
      <c r="F56" s="532">
        <f>F35*$B56</f>
        <v>0</v>
      </c>
    </row>
    <row r="57" spans="1:6" ht="15.75" customHeight="1" x14ac:dyDescent="0.2">
      <c r="A57" s="514" t="s">
        <v>483</v>
      </c>
      <c r="B57" s="525">
        <f>1/12*1/30*7</f>
        <v>1.9444444444444441E-2</v>
      </c>
      <c r="C57" s="526">
        <f>C19*$B57</f>
        <v>0</v>
      </c>
      <c r="D57" s="526">
        <f>D19*$B57</f>
        <v>0</v>
      </c>
      <c r="E57" s="526">
        <f>E19*$B57</f>
        <v>0</v>
      </c>
      <c r="F57" s="526">
        <f>F19*$B57</f>
        <v>0</v>
      </c>
    </row>
    <row r="58" spans="1:6" ht="15.75" customHeight="1" x14ac:dyDescent="0.2">
      <c r="A58" s="514" t="s">
        <v>484</v>
      </c>
      <c r="B58" s="525">
        <f>B36*B57</f>
        <v>7.1555555555555556E-3</v>
      </c>
      <c r="C58" s="526">
        <f>$B58*C19</f>
        <v>0</v>
      </c>
      <c r="D58" s="526">
        <f>$B58*D19</f>
        <v>0</v>
      </c>
      <c r="E58" s="526">
        <f>$B58*E19</f>
        <v>0</v>
      </c>
      <c r="F58" s="526">
        <f>$B58*F19</f>
        <v>0</v>
      </c>
    </row>
    <row r="59" spans="1:6" ht="15.75" customHeight="1" x14ac:dyDescent="0.2">
      <c r="A59" s="514" t="s">
        <v>485</v>
      </c>
      <c r="B59" s="525">
        <f>B35*40/100*90/100*(1+1/12+1/12+1/3*1/12)</f>
        <v>3.4399999999999993E-2</v>
      </c>
      <c r="C59" s="526">
        <f>C19*$B59</f>
        <v>0</v>
      </c>
      <c r="D59" s="526">
        <f>D19*$B59</f>
        <v>0</v>
      </c>
      <c r="E59" s="526">
        <f>E19*$B59</f>
        <v>0</v>
      </c>
      <c r="F59" s="526">
        <f>F19*$B59</f>
        <v>0</v>
      </c>
    </row>
    <row r="60" spans="1:6" ht="15.75" customHeight="1" x14ac:dyDescent="0.2">
      <c r="A60" s="502" t="s">
        <v>452</v>
      </c>
      <c r="B60" s="515">
        <f>SUM(B54:B59)</f>
        <v>6.5499999999999989E-2</v>
      </c>
      <c r="C60" s="533">
        <f>SUM(C54:C59)</f>
        <v>0</v>
      </c>
      <c r="D60" s="533">
        <f>SUM(D54:D59)</f>
        <v>0</v>
      </c>
      <c r="E60" s="534">
        <f>SUM(E54:E59)</f>
        <v>0</v>
      </c>
      <c r="F60" s="535">
        <f>SUM(F54:F59)</f>
        <v>0</v>
      </c>
    </row>
    <row r="61" spans="1:6" ht="15.75" customHeight="1" x14ac:dyDescent="0.2">
      <c r="A61" s="827"/>
      <c r="B61" s="827"/>
      <c r="C61" s="536"/>
      <c r="D61" s="536"/>
      <c r="E61" s="537"/>
      <c r="F61" s="538"/>
    </row>
    <row r="62" spans="1:6" ht="15.75" customHeight="1" x14ac:dyDescent="0.2">
      <c r="A62" s="828" t="s">
        <v>486</v>
      </c>
      <c r="B62" s="828"/>
      <c r="C62" s="828"/>
      <c r="D62" s="828"/>
      <c r="E62" s="828"/>
      <c r="F62" s="828"/>
    </row>
    <row r="63" spans="1:6" ht="15.75" customHeight="1" x14ac:dyDescent="0.2">
      <c r="A63" s="511" t="s">
        <v>41</v>
      </c>
      <c r="B63" s="512"/>
      <c r="C63" s="512"/>
      <c r="D63" s="512"/>
      <c r="E63" s="539"/>
      <c r="F63" s="513"/>
    </row>
    <row r="64" spans="1:6" ht="15.75" customHeight="1" x14ac:dyDescent="0.2">
      <c r="A64" s="514" t="s">
        <v>42</v>
      </c>
      <c r="B64" s="500">
        <f>1/12</f>
        <v>8.3333333333333329E-2</v>
      </c>
      <c r="C64" s="519">
        <f>B64*($C$19+$C$49+$C$60)</f>
        <v>0</v>
      </c>
      <c r="D64" s="519">
        <f>B64*($D$19+$D$49+$D$60)</f>
        <v>0</v>
      </c>
      <c r="E64" s="524">
        <f>B64*($E$19+$E$49+$E$60)</f>
        <v>0</v>
      </c>
      <c r="F64" s="520">
        <f>B64*($F$19+$F$49+$F$60)</f>
        <v>0</v>
      </c>
    </row>
    <row r="65" spans="1:6" ht="15.75" customHeight="1" x14ac:dyDescent="0.2">
      <c r="A65" s="514" t="s">
        <v>487</v>
      </c>
      <c r="B65" s="500">
        <f>MC!E52/30/12</f>
        <v>1.3538888888888885E-2</v>
      </c>
      <c r="C65" s="519">
        <f>B65*($C$19+$C$49+$C$60)</f>
        <v>0</v>
      </c>
      <c r="D65" s="519">
        <f>B65*($D$19+$D$49+$D$60)</f>
        <v>0</v>
      </c>
      <c r="E65" s="524">
        <f>B65*($E$19+$E$49+$E$60)</f>
        <v>0</v>
      </c>
      <c r="F65" s="520">
        <f>B65*($F$19+$F$49+$F$60)</f>
        <v>0</v>
      </c>
    </row>
    <row r="66" spans="1:6" ht="15.75" customHeight="1" x14ac:dyDescent="0.2">
      <c r="A66" s="514" t="s">
        <v>488</v>
      </c>
      <c r="B66" s="540">
        <f>(5/30)/12*MC!F54*MC!C55</f>
        <v>1.0764583333333333E-4</v>
      </c>
      <c r="C66" s="519">
        <f>B66*($C$19+$C$49+$C$60)</f>
        <v>0</v>
      </c>
      <c r="D66" s="519">
        <f>B66*($D$19+$D$49+$D$60)</f>
        <v>0</v>
      </c>
      <c r="E66" s="524">
        <f>B66*($E$19+$E$49+$E$60)</f>
        <v>0</v>
      </c>
      <c r="F66" s="520">
        <f>B66*($F$19+$F$49+$F$60)</f>
        <v>0</v>
      </c>
    </row>
    <row r="67" spans="1:6" ht="15.75" customHeight="1" x14ac:dyDescent="0.2">
      <c r="A67" s="514" t="s">
        <v>489</v>
      </c>
      <c r="B67" s="540">
        <f>MC!C57/30/12</f>
        <v>2.6830555555555553E-3</v>
      </c>
      <c r="C67" s="519">
        <f>B67*($C$19+$C$49+$C$60)</f>
        <v>0</v>
      </c>
      <c r="D67" s="519">
        <f>B67*($D$19+$D$49+$D$60)</f>
        <v>0</v>
      </c>
      <c r="E67" s="524">
        <f>B67*($E$19+$E$49+$E$60)</f>
        <v>0</v>
      </c>
      <c r="F67" s="520">
        <f>B67*($F$19+$F$49+$F$60)</f>
        <v>0</v>
      </c>
    </row>
    <row r="68" spans="1:6" ht="15.75" customHeight="1" x14ac:dyDescent="0.2">
      <c r="A68" s="514" t="s">
        <v>490</v>
      </c>
      <c r="B68" s="500"/>
      <c r="C68" s="519"/>
      <c r="D68" s="519"/>
      <c r="E68" s="524">
        <f>B68*($E$19+$E$49+$E$60)</f>
        <v>0</v>
      </c>
      <c r="F68" s="520"/>
    </row>
    <row r="69" spans="1:6" ht="15.75" customHeight="1" x14ac:dyDescent="0.2">
      <c r="A69" s="541" t="s">
        <v>491</v>
      </c>
      <c r="B69" s="542">
        <f>SUM(B64:B68)</f>
        <v>9.9662923611111107E-2</v>
      </c>
      <c r="C69" s="543">
        <f>SUM(C64:C68)</f>
        <v>0</v>
      </c>
      <c r="D69" s="543">
        <f>SUM(D64:D68)</f>
        <v>0</v>
      </c>
      <c r="E69" s="544">
        <f>SUM(E64:E68)</f>
        <v>0</v>
      </c>
      <c r="F69" s="545">
        <f>SUM(F64:F68)</f>
        <v>0</v>
      </c>
    </row>
    <row r="70" spans="1:6" ht="15.75" customHeight="1" x14ac:dyDescent="0.2">
      <c r="A70" s="511" t="s">
        <v>492</v>
      </c>
      <c r="B70" s="512"/>
      <c r="C70" s="512"/>
      <c r="D70" s="512"/>
      <c r="E70" s="539"/>
      <c r="F70" s="513"/>
    </row>
    <row r="71" spans="1:6" ht="15.75" customHeight="1" x14ac:dyDescent="0.2">
      <c r="A71" s="514" t="s">
        <v>493</v>
      </c>
      <c r="B71" s="500"/>
      <c r="C71" s="519"/>
      <c r="D71" s="519"/>
      <c r="E71" s="524"/>
      <c r="F71" s="520"/>
    </row>
    <row r="72" spans="1:6" ht="15.75" customHeight="1" x14ac:dyDescent="0.2">
      <c r="A72" s="541" t="s">
        <v>491</v>
      </c>
      <c r="B72" s="542"/>
      <c r="C72" s="543">
        <f>C71</f>
        <v>0</v>
      </c>
      <c r="D72" s="543"/>
      <c r="E72" s="544"/>
      <c r="F72" s="545"/>
    </row>
    <row r="73" spans="1:6" ht="15.75" customHeight="1" x14ac:dyDescent="0.2">
      <c r="A73" s="511" t="s">
        <v>63</v>
      </c>
      <c r="B73" s="512"/>
      <c r="C73" s="512"/>
      <c r="D73" s="512"/>
      <c r="E73" s="539"/>
      <c r="F73" s="513"/>
    </row>
    <row r="74" spans="1:6" ht="15.75" customHeight="1" x14ac:dyDescent="0.2">
      <c r="A74" s="514" t="s">
        <v>64</v>
      </c>
      <c r="B74" s="500">
        <f>120/30*MC!C60*MC!C61</f>
        <v>6.18624E-3</v>
      </c>
      <c r="C74" s="519">
        <f>(((C19*2)+ (C19*1/3))+(C36)+(C44-C38-C39))*$B$74</f>
        <v>0</v>
      </c>
      <c r="D74" s="519">
        <f>(((D19*2)+ (D19*1/3))+(D36)+(D44-D38-D39))*$B$74</f>
        <v>0</v>
      </c>
      <c r="E74" s="519">
        <f>(((E19*2)+ (E19*1/3))+(E36)+(E44-E38-E39))*$B$74</f>
        <v>0</v>
      </c>
      <c r="F74" s="520">
        <f>(((F19*2)+ (F19*1/3))+(F36)+(F44-F38-F39))*$B$74</f>
        <v>0</v>
      </c>
    </row>
    <row r="75" spans="1:6" ht="15.75" customHeight="1" x14ac:dyDescent="0.2">
      <c r="A75" s="541" t="s">
        <v>452</v>
      </c>
      <c r="B75" s="542"/>
      <c r="C75" s="543"/>
      <c r="D75" s="543"/>
      <c r="E75" s="544"/>
      <c r="F75" s="545"/>
    </row>
    <row r="76" spans="1:6" ht="15.75" customHeight="1" x14ac:dyDescent="0.2">
      <c r="A76" s="491" t="s">
        <v>494</v>
      </c>
      <c r="B76" s="492"/>
      <c r="C76" s="492"/>
      <c r="D76" s="492"/>
      <c r="E76" s="493"/>
      <c r="F76" s="494"/>
    </row>
    <row r="77" spans="1:6" ht="15.75" customHeight="1" x14ac:dyDescent="0.2">
      <c r="A77" s="514" t="s">
        <v>41</v>
      </c>
      <c r="B77" s="525">
        <f>B69</f>
        <v>9.9662923611111107E-2</v>
      </c>
      <c r="C77" s="526">
        <f>C69</f>
        <v>0</v>
      </c>
      <c r="D77" s="526">
        <f>D69</f>
        <v>0</v>
      </c>
      <c r="E77" s="526">
        <f>E69</f>
        <v>0</v>
      </c>
      <c r="F77" s="527">
        <f>F69</f>
        <v>0</v>
      </c>
    </row>
    <row r="78" spans="1:6" ht="15.75" customHeight="1" x14ac:dyDescent="0.2">
      <c r="A78" s="514" t="s">
        <v>492</v>
      </c>
      <c r="B78" s="525">
        <f>B72</f>
        <v>0</v>
      </c>
      <c r="C78" s="526">
        <f>C72</f>
        <v>0</v>
      </c>
      <c r="D78" s="526">
        <f>D72</f>
        <v>0</v>
      </c>
      <c r="E78" s="526">
        <f>E72</f>
        <v>0</v>
      </c>
      <c r="F78" s="527">
        <f>F72</f>
        <v>0</v>
      </c>
    </row>
    <row r="79" spans="1:6" ht="15.75" customHeight="1" x14ac:dyDescent="0.2">
      <c r="A79" s="514" t="s">
        <v>63</v>
      </c>
      <c r="B79" s="525">
        <f>B74</f>
        <v>6.18624E-3</v>
      </c>
      <c r="C79" s="526">
        <f>C74</f>
        <v>0</v>
      </c>
      <c r="D79" s="526">
        <f>D74</f>
        <v>0</v>
      </c>
      <c r="E79" s="526">
        <f>E74</f>
        <v>0</v>
      </c>
      <c r="F79" s="527">
        <f>F74</f>
        <v>0</v>
      </c>
    </row>
    <row r="80" spans="1:6" ht="15.75" customHeight="1" x14ac:dyDescent="0.2">
      <c r="A80" s="502" t="s">
        <v>452</v>
      </c>
      <c r="B80" s="503"/>
      <c r="C80" s="504">
        <f>SUM(C77:C79)</f>
        <v>0</v>
      </c>
      <c r="D80" s="504">
        <f>SUM(D77:D79)</f>
        <v>0</v>
      </c>
      <c r="E80" s="505">
        <f>SUM(E77:E79)</f>
        <v>0</v>
      </c>
      <c r="F80" s="506">
        <f>SUM(F77:F79)</f>
        <v>0</v>
      </c>
    </row>
    <row r="81" spans="1:6" ht="15.75" customHeight="1" x14ac:dyDescent="0.2">
      <c r="A81" s="507"/>
      <c r="B81" s="508"/>
      <c r="C81" s="508"/>
      <c r="D81" s="508"/>
      <c r="E81" s="509"/>
      <c r="F81" s="510"/>
    </row>
    <row r="82" spans="1:6" ht="15.75" customHeight="1" x14ac:dyDescent="0.2">
      <c r="A82" s="546" t="s">
        <v>495</v>
      </c>
      <c r="B82" s="547"/>
      <c r="C82" s="547"/>
      <c r="D82" s="547"/>
      <c r="E82" s="547"/>
      <c r="F82" s="548"/>
    </row>
    <row r="83" spans="1:6" ht="15.75" customHeight="1" x14ac:dyDescent="0.2">
      <c r="A83" s="491" t="s">
        <v>496</v>
      </c>
      <c r="B83" s="492" t="s">
        <v>468</v>
      </c>
      <c r="C83" s="492" t="s">
        <v>445</v>
      </c>
      <c r="D83" s="492" t="s">
        <v>445</v>
      </c>
      <c r="E83" s="492" t="s">
        <v>445</v>
      </c>
      <c r="F83" s="494" t="s">
        <v>445</v>
      </c>
    </row>
    <row r="84" spans="1:6" ht="15.75" customHeight="1" x14ac:dyDescent="0.2">
      <c r="A84" s="514" t="s">
        <v>497</v>
      </c>
      <c r="B84" s="549">
        <f>Insumos!H117</f>
        <v>0</v>
      </c>
      <c r="C84" s="497">
        <f>B84</f>
        <v>0</v>
      </c>
      <c r="D84" s="497">
        <f>B84</f>
        <v>0</v>
      </c>
      <c r="E84" s="498">
        <f>B84</f>
        <v>0</v>
      </c>
      <c r="F84" s="499">
        <f>Insumos!H118</f>
        <v>0</v>
      </c>
    </row>
    <row r="85" spans="1:6" ht="15.75" customHeight="1" x14ac:dyDescent="0.2">
      <c r="A85" s="550" t="s">
        <v>498</v>
      </c>
      <c r="B85" s="549">
        <f>Insumos!G59</f>
        <v>0</v>
      </c>
      <c r="C85" s="497">
        <f>B85</f>
        <v>0</v>
      </c>
      <c r="D85" s="497">
        <f>B85</f>
        <v>0</v>
      </c>
      <c r="E85" s="498"/>
      <c r="F85" s="499"/>
    </row>
    <row r="86" spans="1:6" ht="15.75" customHeight="1" x14ac:dyDescent="0.2">
      <c r="A86" s="550" t="s">
        <v>499</v>
      </c>
      <c r="B86" s="551">
        <f>Insumos!H99</f>
        <v>0</v>
      </c>
      <c r="C86" s="497">
        <f>B86</f>
        <v>0</v>
      </c>
      <c r="D86" s="497">
        <f>B86</f>
        <v>0</v>
      </c>
      <c r="E86" s="498"/>
      <c r="F86" s="499"/>
    </row>
    <row r="87" spans="1:6" ht="15.75" customHeight="1" x14ac:dyDescent="0.2">
      <c r="A87" s="550" t="s">
        <v>500</v>
      </c>
      <c r="B87" s="549"/>
      <c r="C87" s="497">
        <f>Insumos!I129</f>
        <v>0</v>
      </c>
      <c r="D87" s="497">
        <f>Insumos!H129</f>
        <v>0</v>
      </c>
      <c r="E87" s="498"/>
      <c r="F87" s="499"/>
    </row>
    <row r="88" spans="1:6" ht="15.75" customHeight="1" x14ac:dyDescent="0.2">
      <c r="A88" s="550" t="s">
        <v>501</v>
      </c>
      <c r="B88" s="500">
        <v>0.12</v>
      </c>
      <c r="C88" s="497"/>
      <c r="D88" s="497"/>
      <c r="E88" s="498">
        <f>B88*(E123+E124+E84)</f>
        <v>0</v>
      </c>
      <c r="F88" s="499"/>
    </row>
    <row r="89" spans="1:6" ht="15.75" customHeight="1" x14ac:dyDescent="0.2">
      <c r="A89" s="550" t="s">
        <v>502</v>
      </c>
      <c r="B89" s="549">
        <f>Insumos!H146</f>
        <v>0</v>
      </c>
      <c r="C89" s="497"/>
      <c r="D89" s="497"/>
      <c r="E89" s="498"/>
      <c r="F89" s="499">
        <f>B89</f>
        <v>0</v>
      </c>
    </row>
    <row r="90" spans="1:6" ht="15.75" customHeight="1" x14ac:dyDescent="0.2">
      <c r="A90" s="550" t="s">
        <v>503</v>
      </c>
      <c r="B90" s="549"/>
      <c r="C90" s="497"/>
      <c r="D90" s="497"/>
      <c r="E90" s="498"/>
      <c r="F90" s="499">
        <f>B90</f>
        <v>0</v>
      </c>
    </row>
    <row r="91" spans="1:6" ht="15.75" customHeight="1" x14ac:dyDescent="0.2">
      <c r="A91" s="541" t="s">
        <v>452</v>
      </c>
      <c r="B91" s="552"/>
      <c r="C91" s="543">
        <f>SUM(C84:C90)</f>
        <v>0</v>
      </c>
      <c r="D91" s="543">
        <f>SUM(D84:D90)</f>
        <v>0</v>
      </c>
      <c r="E91" s="543">
        <f>SUM(E84:E90)</f>
        <v>0</v>
      </c>
      <c r="F91" s="543">
        <f>SUM(F84:F90)</f>
        <v>0</v>
      </c>
    </row>
    <row r="92" spans="1:6" ht="15.75" customHeight="1" x14ac:dyDescent="0.2">
      <c r="A92" s="827"/>
      <c r="B92" s="827"/>
      <c r="C92" s="553"/>
      <c r="D92" s="553"/>
      <c r="E92" s="554"/>
      <c r="F92" s="555"/>
    </row>
    <row r="93" spans="1:6" ht="15.75" customHeight="1" x14ac:dyDescent="0.2">
      <c r="A93" s="546" t="s">
        <v>504</v>
      </c>
      <c r="B93" s="547"/>
      <c r="C93" s="547"/>
      <c r="D93" s="547"/>
      <c r="E93" s="547"/>
      <c r="F93" s="548"/>
    </row>
    <row r="94" spans="1:6" ht="15.75" customHeight="1" x14ac:dyDescent="0.2">
      <c r="A94" s="491" t="s">
        <v>505</v>
      </c>
      <c r="B94" s="492" t="s">
        <v>444</v>
      </c>
      <c r="C94" s="492" t="s">
        <v>445</v>
      </c>
      <c r="D94" s="492" t="s">
        <v>445</v>
      </c>
      <c r="E94" s="492" t="s">
        <v>445</v>
      </c>
      <c r="F94" s="494"/>
    </row>
    <row r="95" spans="1:6" ht="15.75" customHeight="1" x14ac:dyDescent="0.2">
      <c r="A95" s="495" t="s">
        <v>69</v>
      </c>
      <c r="B95" s="500">
        <f>MC!C64</f>
        <v>0</v>
      </c>
      <c r="C95" s="519">
        <f>($C$19+$C$49+$C$60+$C$80+$C$91)*$B$95</f>
        <v>0</v>
      </c>
      <c r="D95" s="519">
        <f>($D$19+$D$49+$D$60+$D$80+$D$91)*$B$95</f>
        <v>0</v>
      </c>
      <c r="E95" s="524">
        <f>($E$19+$E$49+$E$60+$E$80+$E$91)*$B$95</f>
        <v>0</v>
      </c>
      <c r="F95" s="520">
        <f>($F$19+$F$49+$F$60+$F$80+$F$91)*$B$95</f>
        <v>0</v>
      </c>
    </row>
    <row r="96" spans="1:6" ht="15.75" customHeight="1" x14ac:dyDescent="0.2">
      <c r="A96" s="495" t="s">
        <v>70</v>
      </c>
      <c r="B96" s="500">
        <f>MC!C65</f>
        <v>0</v>
      </c>
      <c r="C96" s="519">
        <f>($C$19+$C$49+$C$60+$C$80+$C$91+C95)*B96</f>
        <v>0</v>
      </c>
      <c r="D96" s="519">
        <f>($D$19+$D$49+$D$60+$D$80+$D$91+$D$95)*$B$96</f>
        <v>0</v>
      </c>
      <c r="E96" s="519">
        <f>($E$19+$E$49+$E$60+$E$80+$E$91+$E$95)*$B$96</f>
        <v>0</v>
      </c>
      <c r="F96" s="520">
        <f>($F$19+$F$49+$F$60+$F$80+$F$91+F95)*$B$96</f>
        <v>0</v>
      </c>
    </row>
    <row r="97" spans="1:7" ht="15.75" customHeight="1" x14ac:dyDescent="0.2">
      <c r="A97" s="556" t="s">
        <v>506</v>
      </c>
      <c r="B97" s="557">
        <f>B98+B99</f>
        <v>0.1125</v>
      </c>
      <c r="C97" s="558">
        <f>((C19+C49+C60+C80+C91+C95+C96)/(1-($B$97)))*$B$97</f>
        <v>0</v>
      </c>
      <c r="D97" s="558">
        <f>((D19+D49+D60+D80+D91+D95+D96)/(1-($B$97)))*$B$97</f>
        <v>0</v>
      </c>
      <c r="E97" s="558">
        <f>((E19+E49+E60+E80+E91+E95+E96)/(1-($B$97)))*$B$97</f>
        <v>0</v>
      </c>
      <c r="F97" s="558">
        <f>((F19+F49+F60+F80+F91+F95+F96)/(1-($B$97)))*$B$97</f>
        <v>0</v>
      </c>
    </row>
    <row r="98" spans="1:7" ht="15.75" customHeight="1" x14ac:dyDescent="0.2">
      <c r="A98" s="495" t="s">
        <v>507</v>
      </c>
      <c r="B98" s="500">
        <f>0.0165+0.076</f>
        <v>9.2499999999999999E-2</v>
      </c>
      <c r="C98" s="559">
        <f>((C$19+C$49+C$60+C$80+C$91+C$95+C$96)/(1-($B$97)))*$B$98</f>
        <v>0</v>
      </c>
      <c r="D98" s="559">
        <f>((D$19+D$49+D$60+D$80+D$91+D$95+D$96)/(1-($B$97)))*$B$98</f>
        <v>0</v>
      </c>
      <c r="E98" s="559">
        <f>((E$19+E$49+E$60+E$80+E$91+E$95+E$96)/(1-($B$97)))*$B$98</f>
        <v>0</v>
      </c>
      <c r="F98" s="559">
        <f>((F$19+F$49+F$60+F$80+F$91+F$95+F$96)/(1-($B$97)))*$B$98</f>
        <v>0</v>
      </c>
    </row>
    <row r="99" spans="1:7" ht="15.75" customHeight="1" x14ac:dyDescent="0.2">
      <c r="A99" s="495" t="s">
        <v>508</v>
      </c>
      <c r="B99" s="500">
        <v>0.02</v>
      </c>
      <c r="C99" s="560">
        <f>((C$19+C$49+C$60+C$80+C$91+C$95+C$96)/(1-($B$97)))*$B$99</f>
        <v>0</v>
      </c>
      <c r="D99" s="560">
        <f>((D$19+D$49+D$60+D$80+D$91+D$95+D$96)/(1-($B$97)))*$B$99</f>
        <v>0</v>
      </c>
      <c r="E99" s="560">
        <f>((E$19+E$49+E$60+E$80+E$91+E$95+E$96)/(1-($B$97)))*$B$99</f>
        <v>0</v>
      </c>
      <c r="F99" s="560">
        <f>((F$19+F$49+F$60+F$80+F$91+F$95+F$96)/(1-($B$97)))*$B$99</f>
        <v>0</v>
      </c>
    </row>
    <row r="100" spans="1:7" ht="15.75" customHeight="1" x14ac:dyDescent="0.2">
      <c r="A100" s="556" t="s">
        <v>509</v>
      </c>
      <c r="B100" s="557">
        <f>B101+B102</f>
        <v>0.11749999999999999</v>
      </c>
      <c r="C100" s="558">
        <f>((C19+C49+C60+C80+C91+C95+C96)/(1-($B$100)))*$B$100</f>
        <v>0</v>
      </c>
      <c r="D100" s="558">
        <f>((D19+D49+D60+D80+D91+D95+D96)/(1-($B$100)))*$B$100</f>
        <v>0</v>
      </c>
      <c r="E100" s="558">
        <f>((E19+E49+E60+E80+E91+E95+E96)/(1-($B$100)))*$B$100</f>
        <v>0</v>
      </c>
      <c r="F100" s="558">
        <f>((F19+F49+F60+F80+F91+F95+F96)/(1-($B$100)))*$B$100</f>
        <v>0</v>
      </c>
    </row>
    <row r="101" spans="1:7" ht="15.75" customHeight="1" x14ac:dyDescent="0.2">
      <c r="A101" s="495" t="s">
        <v>507</v>
      </c>
      <c r="B101" s="500">
        <f>0.0165+0.076</f>
        <v>9.2499999999999999E-2</v>
      </c>
      <c r="C101" s="559">
        <f>((C19+C49+C60+C80+C91+C95+C96)/(1-($B$100)))*$B$101</f>
        <v>0</v>
      </c>
      <c r="D101" s="559">
        <f>((D19+D49+D60+D80+D91+D95+D96)/(1-($B$100)))*$B$101</f>
        <v>0</v>
      </c>
      <c r="E101" s="559">
        <f>((E19+E49+E60+E80+E91+E95+E96)/(1-($B$100)))*$B$101</f>
        <v>0</v>
      </c>
      <c r="F101" s="559">
        <f>((F19+F49+F60+F80+F91+F95+F96)/(1-($B$100)))*$B$101</f>
        <v>0</v>
      </c>
    </row>
    <row r="102" spans="1:7" ht="15.75" customHeight="1" x14ac:dyDescent="0.2">
      <c r="A102" s="495" t="s">
        <v>508</v>
      </c>
      <c r="B102" s="500">
        <v>2.5000000000000001E-2</v>
      </c>
      <c r="C102" s="560">
        <f>((C$19+C$49+C$60+C$80+C$91+C$95+C$96)/(1-($B$100)))*$B$102</f>
        <v>0</v>
      </c>
      <c r="D102" s="560">
        <f>((D$19+D$49+D$60+D$80+D$91+D$95+D$96)/(1-($B$100)))*$B$102</f>
        <v>0</v>
      </c>
      <c r="E102" s="560">
        <f>((E$19+E$49+E$60+E$80+E$91+E$95+E$96)/(1-($B$100)))*$B$102</f>
        <v>0</v>
      </c>
      <c r="F102" s="560">
        <f>((F$19+F$49+F$60+F$80+F$91+F$95+F$96)/(1-($B$100)))*$B$102</f>
        <v>0</v>
      </c>
    </row>
    <row r="103" spans="1:7" ht="15.75" customHeight="1" x14ac:dyDescent="0.2">
      <c r="A103" s="556" t="s">
        <v>510</v>
      </c>
      <c r="B103" s="557">
        <f>B104+B105</f>
        <v>0.1225</v>
      </c>
      <c r="C103" s="558">
        <f>((C19+C49+C60+C80+C91+C95+C96)/(1-($B$103)))*$B$103</f>
        <v>0</v>
      </c>
      <c r="D103" s="558">
        <f>((D19+D49+D60+D80+D91+D95+D96)/(1-($B$103)))*$B$103</f>
        <v>0</v>
      </c>
      <c r="E103" s="558">
        <f>((E19+E49+E60+E80+E91+E95+E96)/(1-($B$103)))*$B$103</f>
        <v>0</v>
      </c>
      <c r="F103" s="558">
        <f>((F19+F49+F60+F80+F91+F95+F96)/(1-($B$103)))*$B$103</f>
        <v>0</v>
      </c>
    </row>
    <row r="104" spans="1:7" ht="15.75" customHeight="1" x14ac:dyDescent="0.2">
      <c r="A104" s="495" t="s">
        <v>507</v>
      </c>
      <c r="B104" s="500">
        <f>0.0165+0.076</f>
        <v>9.2499999999999999E-2</v>
      </c>
      <c r="C104" s="559">
        <f>((C19+C49+C60+C80+C91+C95+C96)/(1-($B$103)))*$B$104</f>
        <v>0</v>
      </c>
      <c r="D104" s="559">
        <f>((D19+D49+D60+D80+D91+D95+D96)/(1-($B$103)))*$B$104</f>
        <v>0</v>
      </c>
      <c r="E104" s="559">
        <f>((E19+E49+E60+E80+E91+E95+E96)/(1-($B$103)))*$B$104</f>
        <v>0</v>
      </c>
      <c r="F104" s="559">
        <f>((F19+F49+F60+F80+F91+F95+F96)/(1-($B$103)))*$B$104</f>
        <v>0</v>
      </c>
    </row>
    <row r="105" spans="1:7" ht="15.75" customHeight="1" x14ac:dyDescent="0.2">
      <c r="A105" s="495" t="s">
        <v>508</v>
      </c>
      <c r="B105" s="500">
        <v>0.03</v>
      </c>
      <c r="C105" s="560">
        <f>((C19+C49+C60+C80+C91+C95+C96)/(1-($B$103)))*$B$105</f>
        <v>0</v>
      </c>
      <c r="D105" s="560">
        <f>((D19+D49+D60+D80+D91+D95+D96)/(1-($B$103)))*$B$105</f>
        <v>0</v>
      </c>
      <c r="E105" s="560">
        <f>((E19+E49+E60+E80+E91+E95+E96)/(1-($B$103)))*$B$105</f>
        <v>0</v>
      </c>
      <c r="F105" s="560">
        <f>((F19+F49+F60+F80+F91+F95+F96)/(1-($B$103)))*$B$105</f>
        <v>0</v>
      </c>
      <c r="G105" s="561"/>
    </row>
    <row r="106" spans="1:7" ht="15.75" customHeight="1" x14ac:dyDescent="0.2">
      <c r="A106" s="556" t="s">
        <v>511</v>
      </c>
      <c r="B106" s="557">
        <f>B107+B108</f>
        <v>0.13250000000000001</v>
      </c>
      <c r="C106" s="558">
        <f>((C19+C49+C60+C80+C91+C95+C96)/(1-($B$106)))*$B$106</f>
        <v>0</v>
      </c>
      <c r="D106" s="558">
        <f>((D19+D49+D60+D80+D91+D95+D96)/(1-($B$106)))*$B$106</f>
        <v>0</v>
      </c>
      <c r="E106" s="558">
        <f>((E19+E49+E60+E80+E91+E95+E96)/(1-($B$106)))*$B$106</f>
        <v>0</v>
      </c>
      <c r="F106" s="558">
        <f>((F19+F49+F60+F80+F91+F95+F96)/(1-($B$106)))*$B$106</f>
        <v>0</v>
      </c>
    </row>
    <row r="107" spans="1:7" ht="15.75" customHeight="1" x14ac:dyDescent="0.2">
      <c r="A107" s="495" t="s">
        <v>507</v>
      </c>
      <c r="B107" s="500">
        <f>0.0165+0.076</f>
        <v>9.2499999999999999E-2</v>
      </c>
      <c r="C107" s="559">
        <f>((C19+C49+C60+C80+C91+C95+C96)/(1-($B$106)))*$B$107</f>
        <v>0</v>
      </c>
      <c r="D107" s="559">
        <f>((D19+D49+D60+D80+D91+D95+D96)/(1-($B$106)))*$B$107</f>
        <v>0</v>
      </c>
      <c r="E107" s="559">
        <f>((E19+E49+E60+E80+E91+E95+E96)/(1-($B$106)))*$B$107</f>
        <v>0</v>
      </c>
      <c r="F107" s="559">
        <f>((F19+F49+F60+F80+F91+F95+F96)/(1-($B$106)))*$B$107</f>
        <v>0</v>
      </c>
    </row>
    <row r="108" spans="1:7" ht="15.75" customHeight="1" x14ac:dyDescent="0.2">
      <c r="A108" s="495" t="s">
        <v>508</v>
      </c>
      <c r="B108" s="500">
        <v>0.04</v>
      </c>
      <c r="C108" s="560">
        <f>((C19+C49+C60+C80+C91+C95+C96)/(1-($B$106)))*$B$108</f>
        <v>0</v>
      </c>
      <c r="D108" s="560">
        <f>((D19+D49+D60+D80+D91+D95+D96)/(1-($B$106)))*$B$108</f>
        <v>0</v>
      </c>
      <c r="E108" s="560">
        <f>((E19+E49+E60+E80+E91+E95+E96)/(1-($B$106)))*$B$108</f>
        <v>0</v>
      </c>
      <c r="F108" s="560">
        <f>((F19+F49+F60+F80+F91+F95+F96)/(1-($B$106)))*$B$108</f>
        <v>0</v>
      </c>
    </row>
    <row r="109" spans="1:7" ht="15.75" customHeight="1" x14ac:dyDescent="0.2">
      <c r="A109" s="556" t="s">
        <v>512</v>
      </c>
      <c r="B109" s="557">
        <f>B110+B111</f>
        <v>0.14250000000000002</v>
      </c>
      <c r="C109" s="558">
        <f>((C19+C49+C60+C80+C91+C95+C96)/(1-($B$109)))*$B$109</f>
        <v>0</v>
      </c>
      <c r="D109" s="558">
        <f>((D19+D49+D60+D80+D91+D95+D96)/(1-($B$109)))*$B$109</f>
        <v>0</v>
      </c>
      <c r="E109" s="558">
        <f>((E19+E49+E60+E80+E91+E95+E96)/(1-($B$109)))*$B$109</f>
        <v>0</v>
      </c>
      <c r="F109" s="558">
        <f>((F19+F49+F60+F80+F91+F95+F96)/(1-($B$109)))*$B$109</f>
        <v>0</v>
      </c>
    </row>
    <row r="110" spans="1:7" ht="15.75" customHeight="1" x14ac:dyDescent="0.2">
      <c r="A110" s="495" t="s">
        <v>507</v>
      </c>
      <c r="B110" s="500">
        <f>0.0165+0.076</f>
        <v>9.2499999999999999E-2</v>
      </c>
      <c r="C110" s="559">
        <f>((C19+C49+C60+C80+C91+C95+C96)/(1-($B$109)))*$B$110</f>
        <v>0</v>
      </c>
      <c r="D110" s="559">
        <f>((D19+D49+D60+D80+D91+D95+D96)/(1-($B$109)))*$B$110</f>
        <v>0</v>
      </c>
      <c r="E110" s="559">
        <f>((E19+E49+E60+E80+E91+E95+E96)/(1-($B$109)))*$B$110</f>
        <v>0</v>
      </c>
      <c r="F110" s="559">
        <f>((F19+F49+F60+F80+F91+F95+F96)/(1-($B$109)))*$B$110</f>
        <v>0</v>
      </c>
    </row>
    <row r="111" spans="1:7" ht="15.75" customHeight="1" x14ac:dyDescent="0.2">
      <c r="A111" s="495" t="s">
        <v>508</v>
      </c>
      <c r="B111" s="562">
        <v>0.05</v>
      </c>
      <c r="C111" s="560">
        <f>((C19+C49+C60+C80+C91+C95+C96)/(1-($B$109)))*$B$111</f>
        <v>0</v>
      </c>
      <c r="D111" s="560">
        <f>((D19+D49+D60+D80+D91+D95+D96)/(1-($B$109)))*$B$111</f>
        <v>0</v>
      </c>
      <c r="E111" s="560">
        <f>((E19+E49+E60+E80+E91+E95+E96)/(1-($B$109)))*$B$111</f>
        <v>0</v>
      </c>
      <c r="F111" s="560">
        <f>((F19+F49+F60+F80+F91+F95+F96)/(1-($B$109)))*$B$111</f>
        <v>0</v>
      </c>
    </row>
    <row r="112" spans="1:7" ht="15.75" customHeight="1" x14ac:dyDescent="0.2">
      <c r="A112" s="829" t="s">
        <v>513</v>
      </c>
      <c r="B112" s="563">
        <v>0.02</v>
      </c>
      <c r="C112" s="564">
        <f>C95+C96+C97</f>
        <v>0</v>
      </c>
      <c r="D112" s="564">
        <f>D95+D96+D97</f>
        <v>0</v>
      </c>
      <c r="E112" s="564">
        <f>E95+E96+E97</f>
        <v>0</v>
      </c>
      <c r="F112" s="564">
        <f>F95+F96+F97</f>
        <v>0</v>
      </c>
    </row>
    <row r="113" spans="1:7" ht="15.75" customHeight="1" x14ac:dyDescent="0.2">
      <c r="A113" s="829"/>
      <c r="B113" s="565">
        <v>2.5000000000000001E-2</v>
      </c>
      <c r="C113" s="566">
        <f>C95+C96+C100</f>
        <v>0</v>
      </c>
      <c r="D113" s="566">
        <f>D95+D96+D100</f>
        <v>0</v>
      </c>
      <c r="E113" s="566">
        <f>E95+E96+E100</f>
        <v>0</v>
      </c>
      <c r="F113" s="566">
        <f>F95+F96+F100</f>
        <v>0</v>
      </c>
    </row>
    <row r="114" spans="1:7" ht="15.75" customHeight="1" x14ac:dyDescent="0.2">
      <c r="A114" s="829"/>
      <c r="B114" s="565">
        <v>0.03</v>
      </c>
      <c r="C114" s="566">
        <f>C95+C96+C103</f>
        <v>0</v>
      </c>
      <c r="D114" s="566">
        <f>D95+D96+D103</f>
        <v>0</v>
      </c>
      <c r="E114" s="566">
        <f>E95+E96+E103</f>
        <v>0</v>
      </c>
      <c r="F114" s="566">
        <f>F95+F96+F103</f>
        <v>0</v>
      </c>
      <c r="G114" s="561"/>
    </row>
    <row r="115" spans="1:7" ht="15.75" customHeight="1" x14ac:dyDescent="0.2">
      <c r="A115" s="829"/>
      <c r="B115" s="565">
        <v>0.04</v>
      </c>
      <c r="C115" s="566">
        <f>C95+C96+C106</f>
        <v>0</v>
      </c>
      <c r="D115" s="566">
        <f>D95+D96+D106</f>
        <v>0</v>
      </c>
      <c r="E115" s="566">
        <f>E95+E96+E106</f>
        <v>0</v>
      </c>
      <c r="F115" s="566">
        <f>F95+F96+F106</f>
        <v>0</v>
      </c>
    </row>
    <row r="116" spans="1:7" ht="15.75" customHeight="1" x14ac:dyDescent="0.2">
      <c r="A116" s="829"/>
      <c r="B116" s="567">
        <v>0.05</v>
      </c>
      <c r="C116" s="568">
        <f>C95+C96+C109</f>
        <v>0</v>
      </c>
      <c r="D116" s="568">
        <f>D95+D96+D109</f>
        <v>0</v>
      </c>
      <c r="E116" s="568">
        <f>E95+E96+E109</f>
        <v>0</v>
      </c>
      <c r="F116" s="568">
        <f>F95+F96+F109</f>
        <v>0</v>
      </c>
    </row>
    <row r="117" spans="1:7" ht="15.75" customHeight="1" x14ac:dyDescent="0.2">
      <c r="A117" s="495" t="s">
        <v>514</v>
      </c>
      <c r="B117" s="569"/>
      <c r="C117" s="570"/>
      <c r="D117" s="570"/>
      <c r="E117" s="571"/>
      <c r="F117" s="572"/>
    </row>
    <row r="118" spans="1:7" ht="15.75" customHeight="1" x14ac:dyDescent="0.2">
      <c r="A118" s="573"/>
      <c r="B118" s="574"/>
      <c r="C118" s="575"/>
      <c r="D118" s="575"/>
      <c r="E118" s="576"/>
      <c r="F118" s="577"/>
    </row>
    <row r="119" spans="1:7" ht="15.75" customHeight="1" x14ac:dyDescent="0.2">
      <c r="A119" s="830"/>
      <c r="B119" s="830"/>
      <c r="C119" s="830"/>
      <c r="D119" s="830"/>
      <c r="E119" s="830"/>
      <c r="F119" s="830"/>
    </row>
    <row r="120" spans="1:7" ht="15.75" customHeight="1" x14ac:dyDescent="0.2">
      <c r="A120" s="831"/>
      <c r="B120" s="831"/>
      <c r="C120" s="831"/>
      <c r="D120" s="831"/>
      <c r="E120" s="831"/>
      <c r="F120" s="831"/>
    </row>
    <row r="121" spans="1:7" ht="54.75" customHeight="1" x14ac:dyDescent="0.2">
      <c r="A121" s="832" t="s">
        <v>515</v>
      </c>
      <c r="B121" s="832"/>
      <c r="C121" s="578" t="str">
        <f>C10</f>
        <v xml:space="preserve">Servente 44h </v>
      </c>
      <c r="D121" s="578" t="str">
        <f>D10</f>
        <v>Servente 30h</v>
      </c>
      <c r="E121" s="579" t="str">
        <f>E10</f>
        <v>Servente 44h limpeza de esquadrias com risco</v>
      </c>
      <c r="F121" s="580" t="str">
        <f>F10</f>
        <v>Encarregada 44h</v>
      </c>
    </row>
    <row r="122" spans="1:7" ht="15.75" customHeight="1" x14ac:dyDescent="0.2">
      <c r="A122" s="833" t="s">
        <v>516</v>
      </c>
      <c r="B122" s="833"/>
      <c r="C122" s="581" t="s">
        <v>445</v>
      </c>
      <c r="D122" s="581" t="s">
        <v>445</v>
      </c>
      <c r="E122" s="581" t="s">
        <v>445</v>
      </c>
      <c r="F122" s="582" t="s">
        <v>445</v>
      </c>
    </row>
    <row r="123" spans="1:7" ht="14.25" customHeight="1" x14ac:dyDescent="0.2">
      <c r="A123" s="834" t="s">
        <v>517</v>
      </c>
      <c r="B123" s="834"/>
      <c r="C123" s="583">
        <f>C19</f>
        <v>0</v>
      </c>
      <c r="D123" s="583">
        <f>D19</f>
        <v>0</v>
      </c>
      <c r="E123" s="583">
        <f>E19</f>
        <v>0</v>
      </c>
      <c r="F123" s="584">
        <f>F19</f>
        <v>0</v>
      </c>
    </row>
    <row r="124" spans="1:7" ht="14.25" customHeight="1" x14ac:dyDescent="0.2">
      <c r="A124" s="835" t="s">
        <v>518</v>
      </c>
      <c r="B124" s="835"/>
      <c r="C124" s="585">
        <f>C49</f>
        <v>0</v>
      </c>
      <c r="D124" s="585">
        <f>D49</f>
        <v>0</v>
      </c>
      <c r="E124" s="585">
        <f>E49</f>
        <v>0</v>
      </c>
      <c r="F124" s="586">
        <f>F49</f>
        <v>0</v>
      </c>
    </row>
    <row r="125" spans="1:7" ht="14.25" customHeight="1" x14ac:dyDescent="0.2">
      <c r="A125" s="835" t="s">
        <v>519</v>
      </c>
      <c r="B125" s="835"/>
      <c r="C125" s="585">
        <f>C60</f>
        <v>0</v>
      </c>
      <c r="D125" s="585">
        <f>D60</f>
        <v>0</v>
      </c>
      <c r="E125" s="585">
        <f>E60</f>
        <v>0</v>
      </c>
      <c r="F125" s="586">
        <f>F60</f>
        <v>0</v>
      </c>
    </row>
    <row r="126" spans="1:7" ht="14.25" customHeight="1" x14ac:dyDescent="0.2">
      <c r="A126" s="835" t="s">
        <v>520</v>
      </c>
      <c r="B126" s="835"/>
      <c r="C126" s="585">
        <f>C80</f>
        <v>0</v>
      </c>
      <c r="D126" s="585">
        <f>D80</f>
        <v>0</v>
      </c>
      <c r="E126" s="585">
        <f>E80</f>
        <v>0</v>
      </c>
      <c r="F126" s="586">
        <f>F69</f>
        <v>0</v>
      </c>
    </row>
    <row r="127" spans="1:7" ht="15.75" customHeight="1" x14ac:dyDescent="0.2">
      <c r="A127" s="835" t="s">
        <v>521</v>
      </c>
      <c r="B127" s="835"/>
      <c r="C127" s="585">
        <f>C91</f>
        <v>0</v>
      </c>
      <c r="D127" s="585">
        <f>D91</f>
        <v>0</v>
      </c>
      <c r="E127" s="585">
        <f>E91</f>
        <v>0</v>
      </c>
      <c r="F127" s="586">
        <f>F91</f>
        <v>0</v>
      </c>
    </row>
    <row r="128" spans="1:7" ht="15.75" customHeight="1" x14ac:dyDescent="0.2">
      <c r="A128" s="836" t="s">
        <v>522</v>
      </c>
      <c r="B128" s="836"/>
      <c r="C128" s="587">
        <f>SUM(C123:C127)</f>
        <v>0</v>
      </c>
      <c r="D128" s="587">
        <f>SUM(D123:D127)</f>
        <v>0</v>
      </c>
      <c r="E128" s="588">
        <f>SUM(E123:E127)</f>
        <v>0</v>
      </c>
      <c r="F128" s="589">
        <f>SUM(F123:F127)</f>
        <v>0</v>
      </c>
    </row>
    <row r="129" spans="1:6" ht="15.75" customHeight="1" x14ac:dyDescent="0.2">
      <c r="A129" s="837" t="s">
        <v>523</v>
      </c>
      <c r="B129" s="837"/>
      <c r="C129" s="590">
        <f t="shared" ref="C129:F133" si="4">C112</f>
        <v>0</v>
      </c>
      <c r="D129" s="590">
        <f t="shared" si="4"/>
        <v>0</v>
      </c>
      <c r="E129" s="590">
        <f t="shared" si="4"/>
        <v>0</v>
      </c>
      <c r="F129" s="591">
        <f t="shared" si="4"/>
        <v>0</v>
      </c>
    </row>
    <row r="130" spans="1:6" ht="15.75" customHeight="1" x14ac:dyDescent="0.2">
      <c r="A130" s="835" t="s">
        <v>524</v>
      </c>
      <c r="B130" s="835"/>
      <c r="C130" s="592">
        <f t="shared" si="4"/>
        <v>0</v>
      </c>
      <c r="D130" s="592">
        <f t="shared" si="4"/>
        <v>0</v>
      </c>
      <c r="E130" s="592">
        <f t="shared" si="4"/>
        <v>0</v>
      </c>
      <c r="F130" s="593">
        <f t="shared" si="4"/>
        <v>0</v>
      </c>
    </row>
    <row r="131" spans="1:6" ht="15.75" customHeight="1" x14ac:dyDescent="0.2">
      <c r="A131" s="835" t="s">
        <v>525</v>
      </c>
      <c r="B131" s="835"/>
      <c r="C131" s="592">
        <f t="shared" si="4"/>
        <v>0</v>
      </c>
      <c r="D131" s="592">
        <f t="shared" si="4"/>
        <v>0</v>
      </c>
      <c r="E131" s="592">
        <f t="shared" si="4"/>
        <v>0</v>
      </c>
      <c r="F131" s="593">
        <f t="shared" si="4"/>
        <v>0</v>
      </c>
    </row>
    <row r="132" spans="1:6" ht="15.75" customHeight="1" x14ac:dyDescent="0.2">
      <c r="A132" s="835" t="s">
        <v>526</v>
      </c>
      <c r="B132" s="835"/>
      <c r="C132" s="592">
        <f t="shared" si="4"/>
        <v>0</v>
      </c>
      <c r="D132" s="592">
        <f t="shared" si="4"/>
        <v>0</v>
      </c>
      <c r="E132" s="592">
        <f t="shared" si="4"/>
        <v>0</v>
      </c>
      <c r="F132" s="593">
        <f t="shared" si="4"/>
        <v>0</v>
      </c>
    </row>
    <row r="133" spans="1:6" ht="15.75" customHeight="1" x14ac:dyDescent="0.2">
      <c r="A133" s="837" t="s">
        <v>527</v>
      </c>
      <c r="B133" s="837"/>
      <c r="C133" s="592">
        <f t="shared" si="4"/>
        <v>0</v>
      </c>
      <c r="D133" s="592">
        <f t="shared" si="4"/>
        <v>0</v>
      </c>
      <c r="E133" s="592">
        <f t="shared" si="4"/>
        <v>0</v>
      </c>
      <c r="F133" s="593">
        <f t="shared" si="4"/>
        <v>0</v>
      </c>
    </row>
    <row r="134" spans="1:6" ht="15.75" customHeight="1" x14ac:dyDescent="0.2">
      <c r="A134" s="594" t="s">
        <v>528</v>
      </c>
      <c r="B134" s="595"/>
      <c r="C134" s="596">
        <f>C128+C129</f>
        <v>0</v>
      </c>
      <c r="D134" s="596">
        <f>D128+D129</f>
        <v>0</v>
      </c>
      <c r="E134" s="596">
        <f>E128+E129</f>
        <v>0</v>
      </c>
      <c r="F134" s="597">
        <f>F128+F129</f>
        <v>0</v>
      </c>
    </row>
    <row r="135" spans="1:6" ht="15.75" customHeight="1" x14ac:dyDescent="0.2">
      <c r="A135" s="598" t="s">
        <v>529</v>
      </c>
      <c r="B135" s="599"/>
      <c r="C135" s="600">
        <f>C128+C130</f>
        <v>0</v>
      </c>
      <c r="D135" s="600">
        <f>D128+D130</f>
        <v>0</v>
      </c>
      <c r="E135" s="600">
        <f>E128+E130</f>
        <v>0</v>
      </c>
      <c r="F135" s="601">
        <f>F128+F130</f>
        <v>0</v>
      </c>
    </row>
    <row r="136" spans="1:6" ht="15.75" customHeight="1" x14ac:dyDescent="0.2">
      <c r="A136" s="598" t="s">
        <v>530</v>
      </c>
      <c r="B136" s="599"/>
      <c r="C136" s="600">
        <f>C128+C131</f>
        <v>0</v>
      </c>
      <c r="D136" s="600">
        <f>D128+D131</f>
        <v>0</v>
      </c>
      <c r="E136" s="600">
        <f>E128+E131</f>
        <v>0</v>
      </c>
      <c r="F136" s="601">
        <f>F128+F131</f>
        <v>0</v>
      </c>
    </row>
    <row r="137" spans="1:6" ht="15.75" customHeight="1" x14ac:dyDescent="0.2">
      <c r="A137" s="598" t="s">
        <v>531</v>
      </c>
      <c r="B137" s="599"/>
      <c r="C137" s="600">
        <f>C128+C132</f>
        <v>0</v>
      </c>
      <c r="D137" s="600">
        <f>D128+D132</f>
        <v>0</v>
      </c>
      <c r="E137" s="600">
        <f>E128+E132</f>
        <v>0</v>
      </c>
      <c r="F137" s="601">
        <f>F128+F132</f>
        <v>0</v>
      </c>
    </row>
    <row r="138" spans="1:6" ht="15.75" customHeight="1" x14ac:dyDescent="0.2">
      <c r="A138" s="598" t="s">
        <v>532</v>
      </c>
      <c r="B138" s="599"/>
      <c r="C138" s="600">
        <f>C128+C133</f>
        <v>0</v>
      </c>
      <c r="D138" s="600">
        <f>D128+D133</f>
        <v>0</v>
      </c>
      <c r="E138" s="600">
        <f>E128+E133</f>
        <v>0</v>
      </c>
      <c r="F138" s="601">
        <f>F128+F133</f>
        <v>0</v>
      </c>
    </row>
    <row r="139" spans="1:6" ht="15.75" customHeight="1" x14ac:dyDescent="0.2">
      <c r="A139" s="602" t="s">
        <v>533</v>
      </c>
      <c r="B139" s="603"/>
      <c r="C139" s="604">
        <f>C134/220</f>
        <v>0</v>
      </c>
      <c r="D139" s="604"/>
      <c r="E139" s="605"/>
      <c r="F139" s="606"/>
    </row>
    <row r="140" spans="1:6" ht="15.75" customHeight="1" x14ac:dyDescent="0.2">
      <c r="A140" s="607" t="s">
        <v>534</v>
      </c>
      <c r="B140" s="608"/>
      <c r="C140" s="609">
        <f>C135/220</f>
        <v>0</v>
      </c>
      <c r="D140" s="609"/>
      <c r="E140" s="610"/>
      <c r="F140" s="611"/>
    </row>
    <row r="141" spans="1:6" ht="15.75" customHeight="1" x14ac:dyDescent="0.2">
      <c r="A141" s="607" t="s">
        <v>535</v>
      </c>
      <c r="B141" s="608"/>
      <c r="C141" s="609">
        <f>C136/220</f>
        <v>0</v>
      </c>
      <c r="D141" s="609"/>
      <c r="E141" s="610"/>
      <c r="F141" s="611"/>
    </row>
    <row r="142" spans="1:6" ht="15.75" customHeight="1" x14ac:dyDescent="0.2">
      <c r="A142" s="607" t="s">
        <v>536</v>
      </c>
      <c r="B142" s="608"/>
      <c r="C142" s="609">
        <f>C137/220</f>
        <v>0</v>
      </c>
      <c r="D142" s="609"/>
      <c r="E142" s="610"/>
      <c r="F142" s="611"/>
    </row>
    <row r="143" spans="1:6" ht="15.75" customHeight="1" x14ac:dyDescent="0.2">
      <c r="A143" s="612" t="s">
        <v>537</v>
      </c>
      <c r="B143" s="613"/>
      <c r="C143" s="614">
        <f>C138/220</f>
        <v>0</v>
      </c>
      <c r="D143" s="614"/>
      <c r="E143" s="615"/>
      <c r="F143" s="616"/>
    </row>
    <row r="144" spans="1:6" x14ac:dyDescent="0.2">
      <c r="A144" s="617"/>
    </row>
    <row r="145" spans="1:15" ht="14.25" customHeight="1" x14ac:dyDescent="0.2">
      <c r="A145" s="838" t="s">
        <v>538</v>
      </c>
      <c r="B145" s="838"/>
      <c r="C145" s="838" t="s">
        <v>539</v>
      </c>
      <c r="D145" s="838"/>
      <c r="E145" s="839" t="s">
        <v>540</v>
      </c>
      <c r="F145" s="839"/>
      <c r="G145" s="838" t="s">
        <v>541</v>
      </c>
      <c r="H145" s="838"/>
      <c r="I145" s="838" t="s">
        <v>542</v>
      </c>
      <c r="J145" s="838"/>
      <c r="K145" s="838" t="s">
        <v>543</v>
      </c>
      <c r="L145" s="838"/>
    </row>
    <row r="146" spans="1:15" ht="38.25" x14ac:dyDescent="0.2">
      <c r="A146" s="618" t="s">
        <v>544</v>
      </c>
      <c r="B146" s="619" t="s">
        <v>545</v>
      </c>
      <c r="C146" s="619" t="s">
        <v>546</v>
      </c>
      <c r="D146" s="619" t="s">
        <v>547</v>
      </c>
      <c r="E146" s="619" t="s">
        <v>546</v>
      </c>
      <c r="F146" s="619" t="s">
        <v>547</v>
      </c>
      <c r="G146" s="619" t="s">
        <v>546</v>
      </c>
      <c r="H146" s="619" t="s">
        <v>547</v>
      </c>
      <c r="I146" s="619" t="s">
        <v>546</v>
      </c>
      <c r="J146" s="619" t="s">
        <v>547</v>
      </c>
      <c r="K146" s="619" t="s">
        <v>546</v>
      </c>
      <c r="L146" s="619" t="s">
        <v>547</v>
      </c>
    </row>
    <row r="147" spans="1:15" x14ac:dyDescent="0.2">
      <c r="A147" s="620" t="s">
        <v>548</v>
      </c>
      <c r="B147" s="621">
        <f>1/'Prod. GEXCHA'!C22</f>
        <v>1.1111111111111111E-3</v>
      </c>
      <c r="C147" s="622">
        <f>C134</f>
        <v>0</v>
      </c>
      <c r="D147" s="622">
        <f>B147*C147</f>
        <v>0</v>
      </c>
      <c r="E147" s="622">
        <f>C135</f>
        <v>0</v>
      </c>
      <c r="F147" s="622">
        <f>B147*E147</f>
        <v>0</v>
      </c>
      <c r="G147" s="622">
        <f>C136</f>
        <v>0</v>
      </c>
      <c r="H147" s="622">
        <f>B147*G147</f>
        <v>0</v>
      </c>
      <c r="I147" s="622">
        <f>C137</f>
        <v>0</v>
      </c>
      <c r="J147" s="622">
        <f>B147*I147</f>
        <v>0</v>
      </c>
      <c r="K147" s="622">
        <f>C138</f>
        <v>0</v>
      </c>
      <c r="L147" s="622">
        <f>B147*K147</f>
        <v>0</v>
      </c>
    </row>
    <row r="148" spans="1:15" x14ac:dyDescent="0.2">
      <c r="A148" s="623" t="s">
        <v>549</v>
      </c>
      <c r="B148" s="621">
        <f>B147/'Prod. GEXCHA'!O22</f>
        <v>4.4444444444444447E-5</v>
      </c>
      <c r="C148" s="622">
        <f>F134</f>
        <v>0</v>
      </c>
      <c r="D148" s="622">
        <f>C148*B148</f>
        <v>0</v>
      </c>
      <c r="E148" s="622">
        <f>C148</f>
        <v>0</v>
      </c>
      <c r="F148" s="622">
        <f>B148*E148</f>
        <v>0</v>
      </c>
      <c r="G148" s="622">
        <f>C148</f>
        <v>0</v>
      </c>
      <c r="H148" s="622">
        <f>B148*G148</f>
        <v>0</v>
      </c>
      <c r="I148" s="622">
        <f>C148</f>
        <v>0</v>
      </c>
      <c r="J148" s="622">
        <f>B148*I148</f>
        <v>0</v>
      </c>
      <c r="K148" s="622">
        <f>C148</f>
        <v>0</v>
      </c>
      <c r="L148" s="622">
        <f>B148*K148</f>
        <v>0</v>
      </c>
      <c r="M148" s="840"/>
      <c r="N148" s="840"/>
      <c r="O148" s="624"/>
    </row>
    <row r="149" spans="1:15" x14ac:dyDescent="0.2">
      <c r="A149" s="625" t="s">
        <v>550</v>
      </c>
      <c r="B149" s="626"/>
      <c r="C149" s="627"/>
      <c r="D149" s="627">
        <f>SUM(D147:D148)</f>
        <v>0</v>
      </c>
      <c r="E149" s="627"/>
      <c r="F149" s="627">
        <f>SUM(F147:F148)</f>
        <v>0</v>
      </c>
      <c r="G149" s="627"/>
      <c r="H149" s="627">
        <f>SUM(H147:H148)</f>
        <v>0</v>
      </c>
      <c r="I149" s="627"/>
      <c r="J149" s="627">
        <f>SUM(J147:J148)</f>
        <v>0</v>
      </c>
      <c r="K149" s="627"/>
      <c r="L149" s="627">
        <f>SUM(L147:L148)</f>
        <v>0</v>
      </c>
      <c r="M149" s="628"/>
      <c r="N149" s="629"/>
    </row>
    <row r="150" spans="1:15" x14ac:dyDescent="0.2">
      <c r="A150" s="630"/>
      <c r="B150" s="631"/>
      <c r="C150" s="631"/>
      <c r="D150" s="632"/>
      <c r="E150" s="632"/>
    </row>
    <row r="151" spans="1:15" ht="14.25" customHeight="1" x14ac:dyDescent="0.2">
      <c r="A151" s="839" t="s">
        <v>551</v>
      </c>
      <c r="B151" s="839"/>
      <c r="C151" s="839" t="s">
        <v>539</v>
      </c>
      <c r="D151" s="839"/>
      <c r="E151" s="839" t="s">
        <v>540</v>
      </c>
      <c r="F151" s="839"/>
      <c r="G151" s="839" t="s">
        <v>541</v>
      </c>
      <c r="H151" s="839"/>
      <c r="I151" s="839" t="s">
        <v>542</v>
      </c>
      <c r="J151" s="839"/>
      <c r="K151" s="839" t="s">
        <v>543</v>
      </c>
      <c r="L151" s="839"/>
    </row>
    <row r="152" spans="1:15" ht="38.25" x14ac:dyDescent="0.2">
      <c r="A152" s="618" t="s">
        <v>544</v>
      </c>
      <c r="B152" s="619" t="s">
        <v>552</v>
      </c>
      <c r="C152" s="619" t="s">
        <v>546</v>
      </c>
      <c r="D152" s="619" t="s">
        <v>547</v>
      </c>
      <c r="E152" s="619" t="s">
        <v>546</v>
      </c>
      <c r="F152" s="619" t="s">
        <v>547</v>
      </c>
      <c r="G152" s="619" t="s">
        <v>546</v>
      </c>
      <c r="H152" s="619" t="s">
        <v>547</v>
      </c>
      <c r="I152" s="619" t="s">
        <v>546</v>
      </c>
      <c r="J152" s="619" t="s">
        <v>547</v>
      </c>
      <c r="K152" s="619" t="s">
        <v>546</v>
      </c>
      <c r="L152" s="619" t="s">
        <v>547</v>
      </c>
    </row>
    <row r="153" spans="1:15" x14ac:dyDescent="0.2">
      <c r="A153" s="620" t="s">
        <v>548</v>
      </c>
      <c r="B153" s="633">
        <f>1/'Prod. GEXCHA'!D22</f>
        <v>5.0000000000000001E-4</v>
      </c>
      <c r="C153" s="634">
        <f>C134</f>
        <v>0</v>
      </c>
      <c r="D153" s="622">
        <f>B153*C153</f>
        <v>0</v>
      </c>
      <c r="E153" s="622">
        <f>C135</f>
        <v>0</v>
      </c>
      <c r="F153" s="622">
        <f>B153*E153</f>
        <v>0</v>
      </c>
      <c r="G153" s="622">
        <f>C136</f>
        <v>0</v>
      </c>
      <c r="H153" s="622">
        <f>B153*G153</f>
        <v>0</v>
      </c>
      <c r="I153" s="622">
        <f>C137</f>
        <v>0</v>
      </c>
      <c r="J153" s="622">
        <f>B153*I153</f>
        <v>0</v>
      </c>
      <c r="K153" s="622">
        <f>C138</f>
        <v>0</v>
      </c>
      <c r="L153" s="622">
        <f>B153*K153</f>
        <v>0</v>
      </c>
    </row>
    <row r="154" spans="1:15" x14ac:dyDescent="0.2">
      <c r="A154" s="623" t="s">
        <v>549</v>
      </c>
      <c r="B154" s="621">
        <f>B153/'Prod. GEXCHA'!O22</f>
        <v>2.0000000000000002E-5</v>
      </c>
      <c r="C154" s="622">
        <f>F134</f>
        <v>0</v>
      </c>
      <c r="D154" s="622">
        <f>B154*C154</f>
        <v>0</v>
      </c>
      <c r="E154" s="622">
        <f>C154</f>
        <v>0</v>
      </c>
      <c r="F154" s="622">
        <f>B154*E154</f>
        <v>0</v>
      </c>
      <c r="G154" s="622">
        <f>C154</f>
        <v>0</v>
      </c>
      <c r="H154" s="622">
        <f>B154*G154</f>
        <v>0</v>
      </c>
      <c r="I154" s="622">
        <f>C154</f>
        <v>0</v>
      </c>
      <c r="J154" s="622">
        <f>B154*I154</f>
        <v>0</v>
      </c>
      <c r="K154" s="622">
        <f>C154</f>
        <v>0</v>
      </c>
      <c r="L154" s="622">
        <f>B154*K154</f>
        <v>0</v>
      </c>
    </row>
    <row r="155" spans="1:15" x14ac:dyDescent="0.2">
      <c r="A155" s="625" t="s">
        <v>553</v>
      </c>
      <c r="B155" s="626"/>
      <c r="C155" s="627"/>
      <c r="D155" s="627">
        <f>SUM(D153:D154)</f>
        <v>0</v>
      </c>
      <c r="E155" s="627"/>
      <c r="F155" s="627">
        <f>SUM(F153:F154)</f>
        <v>0</v>
      </c>
      <c r="G155" s="627"/>
      <c r="H155" s="627">
        <f>SUM(H153:H154)</f>
        <v>0</v>
      </c>
      <c r="I155" s="627"/>
      <c r="J155" s="627">
        <f>SUM(J153:J154)</f>
        <v>0</v>
      </c>
      <c r="K155" s="627"/>
      <c r="L155" s="627">
        <f>SUM(L153:L154)</f>
        <v>0</v>
      </c>
    </row>
    <row r="156" spans="1:15" x14ac:dyDescent="0.2">
      <c r="A156" s="630"/>
      <c r="B156" s="635"/>
      <c r="C156" s="635"/>
      <c r="D156" s="635"/>
      <c r="E156" s="635"/>
    </row>
    <row r="157" spans="1:15" ht="14.25" customHeight="1" x14ac:dyDescent="0.2">
      <c r="A157" s="839" t="s">
        <v>554</v>
      </c>
      <c r="B157" s="839"/>
      <c r="C157" s="839" t="s">
        <v>539</v>
      </c>
      <c r="D157" s="839"/>
      <c r="E157" s="839" t="s">
        <v>540</v>
      </c>
      <c r="F157" s="839"/>
      <c r="G157" s="839" t="s">
        <v>541</v>
      </c>
      <c r="H157" s="839"/>
      <c r="I157" s="839" t="s">
        <v>542</v>
      </c>
      <c r="J157" s="839"/>
      <c r="K157" s="839" t="s">
        <v>543</v>
      </c>
      <c r="L157" s="839"/>
    </row>
    <row r="158" spans="1:15" ht="38.25" x14ac:dyDescent="0.2">
      <c r="A158" s="618" t="s">
        <v>544</v>
      </c>
      <c r="B158" s="619" t="s">
        <v>552</v>
      </c>
      <c r="C158" s="619" t="s">
        <v>546</v>
      </c>
      <c r="D158" s="619" t="s">
        <v>547</v>
      </c>
      <c r="E158" s="619" t="s">
        <v>546</v>
      </c>
      <c r="F158" s="619" t="s">
        <v>547</v>
      </c>
      <c r="G158" s="619" t="s">
        <v>546</v>
      </c>
      <c r="H158" s="619" t="s">
        <v>547</v>
      </c>
      <c r="I158" s="619" t="s">
        <v>546</v>
      </c>
      <c r="J158" s="619" t="s">
        <v>547</v>
      </c>
      <c r="K158" s="619" t="s">
        <v>546</v>
      </c>
      <c r="L158" s="619" t="s">
        <v>547</v>
      </c>
    </row>
    <row r="159" spans="1:15" x14ac:dyDescent="0.2">
      <c r="A159" s="620" t="s">
        <v>548</v>
      </c>
      <c r="B159" s="633">
        <f>1/'Prod. GEXCHA'!E22</f>
        <v>7.6923076923076923E-4</v>
      </c>
      <c r="C159" s="634">
        <f>C134</f>
        <v>0</v>
      </c>
      <c r="D159" s="622">
        <f>B159*C159</f>
        <v>0</v>
      </c>
      <c r="E159" s="622">
        <f>C135</f>
        <v>0</v>
      </c>
      <c r="F159" s="622">
        <f>B159*E159</f>
        <v>0</v>
      </c>
      <c r="G159" s="622">
        <f>C136</f>
        <v>0</v>
      </c>
      <c r="H159" s="622">
        <f>B159*G159</f>
        <v>0</v>
      </c>
      <c r="I159" s="622">
        <f>C137</f>
        <v>0</v>
      </c>
      <c r="J159" s="622">
        <f>B159*I159</f>
        <v>0</v>
      </c>
      <c r="K159" s="622">
        <f>C138</f>
        <v>0</v>
      </c>
      <c r="L159" s="622">
        <f>B159*K159</f>
        <v>0</v>
      </c>
    </row>
    <row r="160" spans="1:15" x14ac:dyDescent="0.2">
      <c r="A160" s="623" t="s">
        <v>549</v>
      </c>
      <c r="B160" s="621">
        <f>B159/'Prod. GEXCHA'!O22</f>
        <v>3.0769230769230768E-5</v>
      </c>
      <c r="C160" s="622">
        <f>F134</f>
        <v>0</v>
      </c>
      <c r="D160" s="622">
        <f>B160*C160</f>
        <v>0</v>
      </c>
      <c r="E160" s="622">
        <f>C160</f>
        <v>0</v>
      </c>
      <c r="F160" s="622">
        <f>B160*E160</f>
        <v>0</v>
      </c>
      <c r="G160" s="622">
        <f>C160</f>
        <v>0</v>
      </c>
      <c r="H160" s="622">
        <f>B160*G160</f>
        <v>0</v>
      </c>
      <c r="I160" s="622">
        <f>C160</f>
        <v>0</v>
      </c>
      <c r="J160" s="622">
        <f>B160*I160</f>
        <v>0</v>
      </c>
      <c r="K160" s="622">
        <f>C160</f>
        <v>0</v>
      </c>
      <c r="L160" s="622">
        <f>B160*K160</f>
        <v>0</v>
      </c>
    </row>
    <row r="161" spans="1:14" x14ac:dyDescent="0.2">
      <c r="A161" s="625" t="s">
        <v>553</v>
      </c>
      <c r="B161" s="626"/>
      <c r="C161" s="627"/>
      <c r="D161" s="627">
        <f>SUM(D159:D160)</f>
        <v>0</v>
      </c>
      <c r="E161" s="627"/>
      <c r="F161" s="627">
        <f>SUM(F159:F160)</f>
        <v>0</v>
      </c>
      <c r="G161" s="627"/>
      <c r="H161" s="627">
        <f>SUM(H159:H160)</f>
        <v>0</v>
      </c>
      <c r="I161" s="627"/>
      <c r="J161" s="627">
        <f>SUM(J159:J160)</f>
        <v>0</v>
      </c>
      <c r="K161" s="627"/>
      <c r="L161" s="627">
        <f>SUM(L159:L160)</f>
        <v>0</v>
      </c>
    </row>
    <row r="162" spans="1:14" x14ac:dyDescent="0.2">
      <c r="A162" s="630"/>
      <c r="B162" s="635"/>
      <c r="C162" s="635"/>
      <c r="D162" s="635"/>
      <c r="E162" s="635"/>
    </row>
    <row r="163" spans="1:14" ht="14.25" customHeight="1" x14ac:dyDescent="0.2">
      <c r="A163" s="839" t="s">
        <v>555</v>
      </c>
      <c r="B163" s="839"/>
      <c r="C163" s="839" t="s">
        <v>539</v>
      </c>
      <c r="D163" s="839"/>
      <c r="E163" s="839" t="s">
        <v>540</v>
      </c>
      <c r="F163" s="839"/>
      <c r="G163" s="839" t="s">
        <v>541</v>
      </c>
      <c r="H163" s="839"/>
      <c r="I163" s="839" t="s">
        <v>542</v>
      </c>
      <c r="J163" s="839"/>
      <c r="K163" s="839" t="s">
        <v>543</v>
      </c>
      <c r="L163" s="839"/>
    </row>
    <row r="164" spans="1:14" ht="38.25" x14ac:dyDescent="0.2">
      <c r="A164" s="618" t="s">
        <v>544</v>
      </c>
      <c r="B164" s="619" t="s">
        <v>552</v>
      </c>
      <c r="C164" s="619" t="s">
        <v>546</v>
      </c>
      <c r="D164" s="619" t="s">
        <v>547</v>
      </c>
      <c r="E164" s="619" t="s">
        <v>546</v>
      </c>
      <c r="F164" s="619" t="s">
        <v>547</v>
      </c>
      <c r="G164" s="619" t="s">
        <v>546</v>
      </c>
      <c r="H164" s="619" t="s">
        <v>547</v>
      </c>
      <c r="I164" s="619" t="s">
        <v>546</v>
      </c>
      <c r="J164" s="619" t="s">
        <v>547</v>
      </c>
      <c r="K164" s="619" t="s">
        <v>546</v>
      </c>
      <c r="L164" s="619" t="s">
        <v>547</v>
      </c>
    </row>
    <row r="165" spans="1:14" x14ac:dyDescent="0.2">
      <c r="A165" s="620" t="s">
        <v>548</v>
      </c>
      <c r="B165" s="633">
        <f>1/'Prod. GEXCHA'!F22</f>
        <v>3.3333333333333335E-3</v>
      </c>
      <c r="C165" s="622">
        <f>C134</f>
        <v>0</v>
      </c>
      <c r="D165" s="622">
        <f>B165*C165</f>
        <v>0</v>
      </c>
      <c r="E165" s="622">
        <f>C135</f>
        <v>0</v>
      </c>
      <c r="F165" s="622">
        <f>B165*E165</f>
        <v>0</v>
      </c>
      <c r="G165" s="622">
        <f>C136</f>
        <v>0</v>
      </c>
      <c r="H165" s="622">
        <f>B165*G165</f>
        <v>0</v>
      </c>
      <c r="I165" s="622">
        <f>C137</f>
        <v>0</v>
      </c>
      <c r="J165" s="622">
        <f>B165*I165</f>
        <v>0</v>
      </c>
      <c r="K165" s="622">
        <f>C138</f>
        <v>0</v>
      </c>
      <c r="L165" s="622">
        <f>B165*K165</f>
        <v>0</v>
      </c>
    </row>
    <row r="166" spans="1:14" x14ac:dyDescent="0.2">
      <c r="A166" s="623" t="s">
        <v>549</v>
      </c>
      <c r="B166" s="621">
        <f>B165/'Prod. GEXCHA'!O22</f>
        <v>1.3333333333333334E-4</v>
      </c>
      <c r="C166" s="622">
        <f>F134</f>
        <v>0</v>
      </c>
      <c r="D166" s="622">
        <f>C166*B166</f>
        <v>0</v>
      </c>
      <c r="E166" s="622">
        <f>C166</f>
        <v>0</v>
      </c>
      <c r="F166" s="622">
        <f>B166*E166</f>
        <v>0</v>
      </c>
      <c r="G166" s="622">
        <f>C166</f>
        <v>0</v>
      </c>
      <c r="H166" s="622">
        <f>B166*G166</f>
        <v>0</v>
      </c>
      <c r="I166" s="622">
        <f>C166</f>
        <v>0</v>
      </c>
      <c r="J166" s="622">
        <f>B166*I166</f>
        <v>0</v>
      </c>
      <c r="K166" s="622">
        <f>C166</f>
        <v>0</v>
      </c>
      <c r="L166" s="622">
        <f>B166*K166</f>
        <v>0</v>
      </c>
    </row>
    <row r="167" spans="1:14" x14ac:dyDescent="0.2">
      <c r="A167" s="625" t="s">
        <v>553</v>
      </c>
      <c r="B167" s="626"/>
      <c r="C167" s="627"/>
      <c r="D167" s="627">
        <f>SUM(D165:D166)</f>
        <v>0</v>
      </c>
      <c r="E167" s="627"/>
      <c r="F167" s="627">
        <f>SUM(F165:F166)</f>
        <v>0</v>
      </c>
      <c r="G167" s="627"/>
      <c r="H167" s="627">
        <f>SUM(H165:H166)</f>
        <v>0</v>
      </c>
      <c r="I167" s="627"/>
      <c r="J167" s="627">
        <f>SUM(J165:J166)</f>
        <v>0</v>
      </c>
      <c r="K167" s="627"/>
      <c r="L167" s="627">
        <f>SUM(L165:L166)</f>
        <v>0</v>
      </c>
    </row>
    <row r="168" spans="1:14" x14ac:dyDescent="0.2">
      <c r="A168" s="630"/>
      <c r="B168" s="636"/>
      <c r="C168" s="636"/>
      <c r="D168" s="636"/>
      <c r="E168" s="636"/>
    </row>
    <row r="169" spans="1:14" ht="14.25" customHeight="1" x14ac:dyDescent="0.2">
      <c r="A169" s="841" t="s">
        <v>556</v>
      </c>
      <c r="B169" s="841"/>
      <c r="C169" s="841" t="s">
        <v>539</v>
      </c>
      <c r="D169" s="841"/>
      <c r="E169" s="841" t="s">
        <v>540</v>
      </c>
      <c r="F169" s="841"/>
      <c r="G169" s="841" t="s">
        <v>541</v>
      </c>
      <c r="H169" s="841"/>
      <c r="I169" s="841" t="s">
        <v>542</v>
      </c>
      <c r="J169" s="841"/>
      <c r="K169" s="841" t="s">
        <v>543</v>
      </c>
      <c r="L169" s="841"/>
    </row>
    <row r="170" spans="1:14" ht="38.25" x14ac:dyDescent="0.2">
      <c r="A170" s="618" t="s">
        <v>544</v>
      </c>
      <c r="B170" s="619" t="s">
        <v>552</v>
      </c>
      <c r="C170" s="619" t="s">
        <v>546</v>
      </c>
      <c r="D170" s="619" t="s">
        <v>547</v>
      </c>
      <c r="E170" s="619" t="s">
        <v>546</v>
      </c>
      <c r="F170" s="619" t="s">
        <v>547</v>
      </c>
      <c r="G170" s="619" t="s">
        <v>546</v>
      </c>
      <c r="H170" s="619" t="s">
        <v>547</v>
      </c>
      <c r="I170" s="619" t="s">
        <v>546</v>
      </c>
      <c r="J170" s="619" t="s">
        <v>547</v>
      </c>
      <c r="K170" s="619" t="s">
        <v>546</v>
      </c>
      <c r="L170" s="619" t="s">
        <v>547</v>
      </c>
    </row>
    <row r="171" spans="1:14" x14ac:dyDescent="0.2">
      <c r="A171" s="620" t="s">
        <v>557</v>
      </c>
      <c r="B171" s="633">
        <f>1/'Prod. GEXCHA'!G22</f>
        <v>3.7037037037037035E-4</v>
      </c>
      <c r="C171" s="622">
        <f>C134</f>
        <v>0</v>
      </c>
      <c r="D171" s="622">
        <f>B171*C171</f>
        <v>0</v>
      </c>
      <c r="E171" s="622">
        <f>C135</f>
        <v>0</v>
      </c>
      <c r="F171" s="622">
        <f>B171*E171</f>
        <v>0</v>
      </c>
      <c r="G171" s="622">
        <f>C136</f>
        <v>0</v>
      </c>
      <c r="H171" s="622">
        <f>B171*G171</f>
        <v>0</v>
      </c>
      <c r="I171" s="622">
        <f>C137</f>
        <v>0</v>
      </c>
      <c r="J171" s="622">
        <f>B171*I171</f>
        <v>0</v>
      </c>
      <c r="K171" s="622">
        <f>C138</f>
        <v>0</v>
      </c>
      <c r="L171" s="622">
        <f>B171*K171</f>
        <v>0</v>
      </c>
    </row>
    <row r="172" spans="1:14" x14ac:dyDescent="0.2">
      <c r="A172" s="623" t="s">
        <v>549</v>
      </c>
      <c r="B172" s="621">
        <f>B171/'Prod. GEXCHA'!O22</f>
        <v>1.4814814814814813E-5</v>
      </c>
      <c r="C172" s="622">
        <f>F134</f>
        <v>0</v>
      </c>
      <c r="D172" s="622">
        <f>B172*C172</f>
        <v>0</v>
      </c>
      <c r="E172" s="622">
        <f>C172</f>
        <v>0</v>
      </c>
      <c r="F172" s="622">
        <f>B172*E172</f>
        <v>0</v>
      </c>
      <c r="G172" s="622">
        <f>C172</f>
        <v>0</v>
      </c>
      <c r="H172" s="622">
        <f>B172*G172</f>
        <v>0</v>
      </c>
      <c r="I172" s="622">
        <f>C172</f>
        <v>0</v>
      </c>
      <c r="J172" s="622">
        <f>B172*I172</f>
        <v>0</v>
      </c>
      <c r="K172" s="622">
        <f>C172</f>
        <v>0</v>
      </c>
      <c r="L172" s="622">
        <f>B172*K172</f>
        <v>0</v>
      </c>
      <c r="M172" s="840"/>
      <c r="N172" s="840"/>
    </row>
    <row r="173" spans="1:14" x14ac:dyDescent="0.2">
      <c r="A173" s="637" t="s">
        <v>558</v>
      </c>
      <c r="B173" s="638"/>
      <c r="C173" s="639"/>
      <c r="D173" s="640">
        <f>SUM(D171:D172)</f>
        <v>0</v>
      </c>
      <c r="E173" s="639"/>
      <c r="F173" s="640">
        <f>SUM(F171:F172)</f>
        <v>0</v>
      </c>
      <c r="G173" s="639"/>
      <c r="H173" s="640">
        <f>SUM(H171:H172)</f>
        <v>0</v>
      </c>
      <c r="I173" s="639"/>
      <c r="J173" s="640">
        <f>SUM(J171:J172)</f>
        <v>0</v>
      </c>
      <c r="K173" s="639"/>
      <c r="L173" s="640">
        <f>SUM(L171:L172)</f>
        <v>0</v>
      </c>
      <c r="M173" s="628"/>
      <c r="N173" s="629"/>
    </row>
    <row r="174" spans="1:14" x14ac:dyDescent="0.2">
      <c r="A174" s="620" t="s">
        <v>559</v>
      </c>
      <c r="B174" s="633">
        <f>1/'Prod. GEXCHA'!H22</f>
        <v>1.0000000000000001E-5</v>
      </c>
      <c r="C174" s="622">
        <f>C134</f>
        <v>0</v>
      </c>
      <c r="D174" s="622">
        <f>B174*C174</f>
        <v>0</v>
      </c>
      <c r="E174" s="622">
        <f>C135</f>
        <v>0</v>
      </c>
      <c r="F174" s="622">
        <f>B174*E174</f>
        <v>0</v>
      </c>
      <c r="G174" s="622">
        <f>C136</f>
        <v>0</v>
      </c>
      <c r="H174" s="622">
        <f>B174*G174</f>
        <v>0</v>
      </c>
      <c r="I174" s="622">
        <f>C137</f>
        <v>0</v>
      </c>
      <c r="J174" s="622">
        <f>B174*I174</f>
        <v>0</v>
      </c>
      <c r="K174" s="622">
        <f>C138</f>
        <v>0</v>
      </c>
      <c r="L174" s="622">
        <f>B174*K174</f>
        <v>0</v>
      </c>
    </row>
    <row r="175" spans="1:14" x14ac:dyDescent="0.2">
      <c r="A175" s="623" t="s">
        <v>549</v>
      </c>
      <c r="B175" s="621">
        <f>B174/'Prod. GEXCHA'!O22</f>
        <v>4.0000000000000003E-7</v>
      </c>
      <c r="C175" s="622">
        <f>F134</f>
        <v>0</v>
      </c>
      <c r="D175" s="622">
        <f>B175*C175</f>
        <v>0</v>
      </c>
      <c r="E175" s="622">
        <f>C175</f>
        <v>0</v>
      </c>
      <c r="F175" s="622">
        <f>B175*E175</f>
        <v>0</v>
      </c>
      <c r="G175" s="622">
        <f>C175</f>
        <v>0</v>
      </c>
      <c r="H175" s="622">
        <f>B175*G175</f>
        <v>0</v>
      </c>
      <c r="I175" s="622">
        <f>C175</f>
        <v>0</v>
      </c>
      <c r="J175" s="622">
        <f>B175*I175</f>
        <v>0</v>
      </c>
      <c r="K175" s="622">
        <f>C175</f>
        <v>0</v>
      </c>
      <c r="L175" s="622">
        <f>B175*K175</f>
        <v>0</v>
      </c>
    </row>
    <row r="176" spans="1:14" x14ac:dyDescent="0.2">
      <c r="A176" s="637" t="s">
        <v>560</v>
      </c>
      <c r="B176" s="641"/>
      <c r="C176" s="639"/>
      <c r="D176" s="640">
        <f>SUM(D174:D175)</f>
        <v>0</v>
      </c>
      <c r="E176" s="639"/>
      <c r="F176" s="640">
        <f>SUM(F174:F175)</f>
        <v>0</v>
      </c>
      <c r="G176" s="639"/>
      <c r="H176" s="640">
        <f>SUM(H174:H175)</f>
        <v>0</v>
      </c>
      <c r="I176" s="639"/>
      <c r="J176" s="640">
        <f>SUM(J174:J175)</f>
        <v>0</v>
      </c>
      <c r="K176" s="639"/>
      <c r="L176" s="640">
        <f>SUM(L174:L175)</f>
        <v>0</v>
      </c>
    </row>
    <row r="177" spans="1:14" x14ac:dyDescent="0.2">
      <c r="A177" s="620" t="s">
        <v>561</v>
      </c>
      <c r="B177" s="633">
        <f>1/'Prod. GEXCHA'!I22</f>
        <v>1.1111111111111112E-4</v>
      </c>
      <c r="C177" s="622">
        <f>C134</f>
        <v>0</v>
      </c>
      <c r="D177" s="622">
        <f>B177*C177</f>
        <v>0</v>
      </c>
      <c r="E177" s="622">
        <f>C135</f>
        <v>0</v>
      </c>
      <c r="F177" s="622">
        <f>B177*E177</f>
        <v>0</v>
      </c>
      <c r="G177" s="622">
        <f>C136</f>
        <v>0</v>
      </c>
      <c r="H177" s="622">
        <f>B177*G177</f>
        <v>0</v>
      </c>
      <c r="I177" s="622">
        <f>C137</f>
        <v>0</v>
      </c>
      <c r="J177" s="622">
        <f>B177*I177</f>
        <v>0</v>
      </c>
      <c r="K177" s="622">
        <f>C138</f>
        <v>0</v>
      </c>
      <c r="L177" s="622">
        <f>B177*K177</f>
        <v>0</v>
      </c>
    </row>
    <row r="178" spans="1:14" x14ac:dyDescent="0.2">
      <c r="A178" s="623" t="s">
        <v>549</v>
      </c>
      <c r="B178" s="621">
        <f>B177/'Prod. GEXCHA'!O22</f>
        <v>4.444444444444445E-6</v>
      </c>
      <c r="C178" s="622">
        <f>F134</f>
        <v>0</v>
      </c>
      <c r="D178" s="622">
        <f>B178*C178</f>
        <v>0</v>
      </c>
      <c r="E178" s="622">
        <f>C178</f>
        <v>0</v>
      </c>
      <c r="F178" s="622">
        <f>B178*E178</f>
        <v>0</v>
      </c>
      <c r="G178" s="622">
        <f>C178</f>
        <v>0</v>
      </c>
      <c r="H178" s="622">
        <f>B178*G178</f>
        <v>0</v>
      </c>
      <c r="I178" s="622">
        <f>C178</f>
        <v>0</v>
      </c>
      <c r="J178" s="622">
        <f>B178*I178</f>
        <v>0</v>
      </c>
      <c r="K178" s="622">
        <f>C178</f>
        <v>0</v>
      </c>
      <c r="L178" s="622">
        <f>B178*K178</f>
        <v>0</v>
      </c>
    </row>
    <row r="179" spans="1:14" x14ac:dyDescent="0.2">
      <c r="A179" s="637" t="s">
        <v>562</v>
      </c>
      <c r="B179" s="641"/>
      <c r="C179" s="639"/>
      <c r="D179" s="640">
        <f>SUM(D177:D178)</f>
        <v>0</v>
      </c>
      <c r="E179" s="639"/>
      <c r="F179" s="640">
        <f>SUM(F177:F178)</f>
        <v>0</v>
      </c>
      <c r="G179" s="639"/>
      <c r="H179" s="640">
        <f>SUM(H177:H178)</f>
        <v>0</v>
      </c>
      <c r="I179" s="639"/>
      <c r="J179" s="640">
        <f>SUM(J177:J178)</f>
        <v>0</v>
      </c>
      <c r="K179" s="639"/>
      <c r="L179" s="640">
        <f>SUM(L177:L178)</f>
        <v>0</v>
      </c>
    </row>
    <row r="180" spans="1:14" x14ac:dyDescent="0.2">
      <c r="A180" s="630"/>
      <c r="B180" s="635"/>
      <c r="C180" s="635"/>
      <c r="D180" s="635"/>
      <c r="E180" s="635"/>
    </row>
    <row r="181" spans="1:14" ht="14.25" customHeight="1" x14ac:dyDescent="0.2">
      <c r="A181" s="842" t="s">
        <v>563</v>
      </c>
      <c r="B181" s="842"/>
      <c r="C181" s="842" t="s">
        <v>539</v>
      </c>
      <c r="D181" s="842"/>
      <c r="E181" s="842" t="s">
        <v>540</v>
      </c>
      <c r="F181" s="842"/>
      <c r="G181" s="842" t="s">
        <v>541</v>
      </c>
      <c r="H181" s="842"/>
      <c r="I181" s="842" t="s">
        <v>542</v>
      </c>
      <c r="J181" s="842"/>
      <c r="K181" s="842" t="s">
        <v>543</v>
      </c>
      <c r="L181" s="842"/>
    </row>
    <row r="182" spans="1:14" ht="38.25" x14ac:dyDescent="0.2">
      <c r="A182" s="618" t="s">
        <v>544</v>
      </c>
      <c r="B182" s="619" t="s">
        <v>552</v>
      </c>
      <c r="C182" s="619" t="s">
        <v>546</v>
      </c>
      <c r="D182" s="619" t="s">
        <v>547</v>
      </c>
      <c r="E182" s="619" t="s">
        <v>546</v>
      </c>
      <c r="F182" s="619" t="s">
        <v>547</v>
      </c>
      <c r="G182" s="619" t="s">
        <v>546</v>
      </c>
      <c r="H182" s="619" t="s">
        <v>547</v>
      </c>
      <c r="I182" s="619" t="s">
        <v>546</v>
      </c>
      <c r="J182" s="619" t="s">
        <v>547</v>
      </c>
      <c r="K182" s="619" t="s">
        <v>546</v>
      </c>
      <c r="L182" s="619" t="s">
        <v>547</v>
      </c>
    </row>
    <row r="183" spans="1:14" x14ac:dyDescent="0.2">
      <c r="A183" s="642" t="s">
        <v>564</v>
      </c>
      <c r="B183" s="633">
        <f>(1/'Prod. GEXCHA'!J22)*(1/(30/7*44*6))*8</f>
        <v>4.4191919191919199E-5</v>
      </c>
      <c r="C183" s="622">
        <f>E134</f>
        <v>0</v>
      </c>
      <c r="D183" s="622">
        <f>B183*C183</f>
        <v>0</v>
      </c>
      <c r="E183" s="622">
        <f>E135</f>
        <v>0</v>
      </c>
      <c r="F183" s="622">
        <f>B183*E183</f>
        <v>0</v>
      </c>
      <c r="G183" s="622">
        <f>E136</f>
        <v>0</v>
      </c>
      <c r="H183" s="622">
        <f>B183*G183</f>
        <v>0</v>
      </c>
      <c r="I183" s="622">
        <f>E137</f>
        <v>0</v>
      </c>
      <c r="J183" s="622">
        <f>B183*I183</f>
        <v>0</v>
      </c>
      <c r="K183" s="622">
        <f>E138</f>
        <v>0</v>
      </c>
      <c r="L183" s="622">
        <f>B183*K183</f>
        <v>0</v>
      </c>
    </row>
    <row r="184" spans="1:14" x14ac:dyDescent="0.2">
      <c r="A184" s="623" t="s">
        <v>549</v>
      </c>
      <c r="B184" s="633">
        <f>B183/4</f>
        <v>1.10479797979798E-5</v>
      </c>
      <c r="C184" s="622">
        <f>F134</f>
        <v>0</v>
      </c>
      <c r="D184" s="622">
        <f>B184*C184</f>
        <v>0</v>
      </c>
      <c r="E184" s="622">
        <f>C184</f>
        <v>0</v>
      </c>
      <c r="F184" s="622">
        <f>B184*E184</f>
        <v>0</v>
      </c>
      <c r="G184" s="622">
        <f>C184</f>
        <v>0</v>
      </c>
      <c r="H184" s="622">
        <f>B184*G184</f>
        <v>0</v>
      </c>
      <c r="I184" s="622">
        <f>C184</f>
        <v>0</v>
      </c>
      <c r="J184" s="622">
        <f>B184*I184</f>
        <v>0</v>
      </c>
      <c r="K184" s="622">
        <f>C184</f>
        <v>0</v>
      </c>
      <c r="L184" s="622">
        <f>B184*K184</f>
        <v>0</v>
      </c>
      <c r="M184" s="840"/>
      <c r="N184" s="840"/>
    </row>
    <row r="185" spans="1:14" x14ac:dyDescent="0.2">
      <c r="A185" s="643" t="s">
        <v>565</v>
      </c>
      <c r="B185" s="644"/>
      <c r="C185" s="645"/>
      <c r="D185" s="646">
        <f>SUM(D183:D184)</f>
        <v>0</v>
      </c>
      <c r="E185" s="645"/>
      <c r="F185" s="646">
        <f>SUM(F183:F184)</f>
        <v>0</v>
      </c>
      <c r="G185" s="645"/>
      <c r="H185" s="646">
        <f>SUM(H183:H184)</f>
        <v>0</v>
      </c>
      <c r="I185" s="645"/>
      <c r="J185" s="646">
        <f>SUM(J183:J184)</f>
        <v>0</v>
      </c>
      <c r="K185" s="645"/>
      <c r="L185" s="646">
        <f>SUM(L183:L184)</f>
        <v>0</v>
      </c>
      <c r="M185" s="628"/>
      <c r="N185" s="629"/>
    </row>
    <row r="186" spans="1:14" x14ac:dyDescent="0.2">
      <c r="A186" s="642" t="s">
        <v>566</v>
      </c>
      <c r="B186" s="633">
        <f>1/'Prod. GEXCHA'!K22*16*(1/188.76)</f>
        <v>2.2306242401936183E-4</v>
      </c>
      <c r="C186" s="622">
        <f>C134</f>
        <v>0</v>
      </c>
      <c r="D186" s="622">
        <f>B186*C186</f>
        <v>0</v>
      </c>
      <c r="E186" s="622">
        <f>C135</f>
        <v>0</v>
      </c>
      <c r="F186" s="622">
        <f>B186*E186</f>
        <v>0</v>
      </c>
      <c r="G186" s="622">
        <f>C136</f>
        <v>0</v>
      </c>
      <c r="H186" s="622">
        <f>B186*G186</f>
        <v>0</v>
      </c>
      <c r="I186" s="622">
        <f>C137</f>
        <v>0</v>
      </c>
      <c r="J186" s="622">
        <f>B186*I186</f>
        <v>0</v>
      </c>
      <c r="K186" s="622">
        <f>C138</f>
        <v>0</v>
      </c>
      <c r="L186" s="622">
        <f>B186*K186</f>
        <v>0</v>
      </c>
    </row>
    <row r="187" spans="1:14" x14ac:dyDescent="0.2">
      <c r="A187" s="623" t="s">
        <v>549</v>
      </c>
      <c r="B187" s="633">
        <f>1/('Prod. GEXCHA'!O22*'Prod. GEXCHA'!K22)*16*(1/188.76)</f>
        <v>8.9224969607744749E-6</v>
      </c>
      <c r="C187" s="622">
        <f>F134</f>
        <v>0</v>
      </c>
      <c r="D187" s="622">
        <f>B187*C187</f>
        <v>0</v>
      </c>
      <c r="E187" s="622">
        <f>C187</f>
        <v>0</v>
      </c>
      <c r="F187" s="622">
        <f>B187*E187</f>
        <v>0</v>
      </c>
      <c r="G187" s="622">
        <f>C187</f>
        <v>0</v>
      </c>
      <c r="H187" s="622">
        <f>B187*G187</f>
        <v>0</v>
      </c>
      <c r="I187" s="622">
        <f>C187</f>
        <v>0</v>
      </c>
      <c r="J187" s="622">
        <f>B187*I187</f>
        <v>0</v>
      </c>
      <c r="K187" s="622">
        <f>C187</f>
        <v>0</v>
      </c>
      <c r="L187" s="622">
        <f>B187*K187</f>
        <v>0</v>
      </c>
      <c r="M187" s="840"/>
      <c r="N187" s="840"/>
    </row>
    <row r="188" spans="1:14" x14ac:dyDescent="0.2">
      <c r="A188" s="643" t="s">
        <v>567</v>
      </c>
      <c r="B188" s="644"/>
      <c r="C188" s="645"/>
      <c r="D188" s="646">
        <f>SUM(D186:D187)</f>
        <v>0</v>
      </c>
      <c r="E188" s="645"/>
      <c r="F188" s="646">
        <f>SUM(F186:F187)</f>
        <v>0</v>
      </c>
      <c r="G188" s="645"/>
      <c r="H188" s="646">
        <f>SUM(H186:H187)</f>
        <v>0</v>
      </c>
      <c r="I188" s="645"/>
      <c r="J188" s="646">
        <f>SUM(J186:J187)</f>
        <v>0</v>
      </c>
      <c r="K188" s="645"/>
      <c r="L188" s="646">
        <f>SUM(L186:L187)</f>
        <v>0</v>
      </c>
      <c r="M188" s="628"/>
      <c r="N188" s="629"/>
    </row>
    <row r="189" spans="1:14" x14ac:dyDescent="0.2">
      <c r="A189" s="620" t="s">
        <v>568</v>
      </c>
      <c r="B189" s="633">
        <f>1/'Prod. GEXCHA'!L22*16*(1/188.76)</f>
        <v>2.2306242401936183E-4</v>
      </c>
      <c r="C189" s="622">
        <f>C134</f>
        <v>0</v>
      </c>
      <c r="D189" s="622">
        <f>B189*C189</f>
        <v>0</v>
      </c>
      <c r="E189" s="622">
        <f>C135</f>
        <v>0</v>
      </c>
      <c r="F189" s="622">
        <f>B189*E189</f>
        <v>0</v>
      </c>
      <c r="G189" s="622">
        <f>C136</f>
        <v>0</v>
      </c>
      <c r="H189" s="622">
        <f>B189*G189</f>
        <v>0</v>
      </c>
      <c r="I189" s="622">
        <f>C137</f>
        <v>0</v>
      </c>
      <c r="J189" s="622">
        <f>B189*I189</f>
        <v>0</v>
      </c>
      <c r="K189" s="622">
        <f>C138</f>
        <v>0</v>
      </c>
      <c r="L189" s="622">
        <f>B189*K189</f>
        <v>0</v>
      </c>
    </row>
    <row r="190" spans="1:14" x14ac:dyDescent="0.2">
      <c r="A190" s="623" t="s">
        <v>549</v>
      </c>
      <c r="B190" s="633">
        <f>1/('Prod. GEXCHA'!O22*'Prod. GEXCHA'!L22)*16*(1/188.76)</f>
        <v>8.9224969607744749E-6</v>
      </c>
      <c r="C190" s="622">
        <f>F134</f>
        <v>0</v>
      </c>
      <c r="D190" s="622">
        <f>B190*C190</f>
        <v>0</v>
      </c>
      <c r="E190" s="622">
        <f>C190</f>
        <v>0</v>
      </c>
      <c r="F190" s="622">
        <f>B190*E190</f>
        <v>0</v>
      </c>
      <c r="G190" s="622">
        <f>C190</f>
        <v>0</v>
      </c>
      <c r="H190" s="622">
        <f>B190*G190</f>
        <v>0</v>
      </c>
      <c r="I190" s="622">
        <f>C190</f>
        <v>0</v>
      </c>
      <c r="J190" s="622">
        <f>B190*I190</f>
        <v>0</v>
      </c>
      <c r="K190" s="622">
        <f>C190</f>
        <v>0</v>
      </c>
      <c r="L190" s="622">
        <f>B190*K190</f>
        <v>0</v>
      </c>
      <c r="M190" s="840"/>
      <c r="N190" s="840"/>
    </row>
    <row r="191" spans="1:14" x14ac:dyDescent="0.2">
      <c r="A191" s="643" t="s">
        <v>569</v>
      </c>
      <c r="B191" s="644"/>
      <c r="C191" s="645"/>
      <c r="D191" s="646">
        <f>SUM(D189:D190)</f>
        <v>0</v>
      </c>
      <c r="E191" s="645"/>
      <c r="F191" s="646">
        <f>SUM(F189:F190)</f>
        <v>0</v>
      </c>
      <c r="G191" s="645"/>
      <c r="H191" s="646">
        <f>SUM(H189:H190)</f>
        <v>0</v>
      </c>
      <c r="I191" s="645"/>
      <c r="J191" s="646">
        <f>SUM(J189:J190)</f>
        <v>0</v>
      </c>
      <c r="K191" s="645"/>
      <c r="L191" s="646">
        <f>SUM(L189:L190)</f>
        <v>0</v>
      </c>
      <c r="M191" s="628"/>
      <c r="N191" s="629"/>
    </row>
    <row r="192" spans="1:14" x14ac:dyDescent="0.2">
      <c r="A192" s="617"/>
    </row>
  </sheetData>
  <mergeCells count="68">
    <mergeCell ref="M184:N184"/>
    <mergeCell ref="M187:N187"/>
    <mergeCell ref="M190:N190"/>
    <mergeCell ref="K169:L169"/>
    <mergeCell ref="M172:N172"/>
    <mergeCell ref="K181:L181"/>
    <mergeCell ref="A181:B181"/>
    <mergeCell ref="C181:D181"/>
    <mergeCell ref="E181:F181"/>
    <mergeCell ref="G181:H181"/>
    <mergeCell ref="I181:J181"/>
    <mergeCell ref="A169:B169"/>
    <mergeCell ref="C169:D169"/>
    <mergeCell ref="E169:F169"/>
    <mergeCell ref="G169:H169"/>
    <mergeCell ref="I169:J169"/>
    <mergeCell ref="K157:L157"/>
    <mergeCell ref="A163:B163"/>
    <mergeCell ref="C163:D163"/>
    <mergeCell ref="E163:F163"/>
    <mergeCell ref="G163:H163"/>
    <mergeCell ref="I163:J163"/>
    <mergeCell ref="K163:L163"/>
    <mergeCell ref="A157:B157"/>
    <mergeCell ref="C157:D157"/>
    <mergeCell ref="E157:F157"/>
    <mergeCell ref="G157:H157"/>
    <mergeCell ref="I157:J157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A132:B132"/>
    <mergeCell ref="A133:B133"/>
    <mergeCell ref="A145:B145"/>
    <mergeCell ref="C145:D145"/>
    <mergeCell ref="E145:F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F119"/>
    <mergeCell ref="A120:F120"/>
    <mergeCell ref="A121:B121"/>
    <mergeCell ref="A21:F21"/>
    <mergeCell ref="A50:B50"/>
    <mergeCell ref="A51:F51"/>
    <mergeCell ref="A61:B61"/>
    <mergeCell ref="A62:F62"/>
    <mergeCell ref="A1:F1"/>
    <mergeCell ref="A2:F2"/>
    <mergeCell ref="A3:F3"/>
    <mergeCell ref="A9:F9"/>
    <mergeCell ref="A20:B2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0B4"/>
  </sheetPr>
  <dimension ref="A1:AME144"/>
  <sheetViews>
    <sheetView zoomScale="80" zoomScaleNormal="80" workbookViewId="0">
      <selection activeCell="AH13" sqref="AH13"/>
    </sheetView>
  </sheetViews>
  <sheetFormatPr defaultRowHeight="14.25" x14ac:dyDescent="0.2"/>
  <cols>
    <col min="1" max="1" width="55.5" style="458" customWidth="1"/>
    <col min="2" max="2" width="17" style="458" customWidth="1"/>
    <col min="3" max="3" width="15.25" style="458" customWidth="1"/>
    <col min="4" max="4" width="16.25" style="458" customWidth="1"/>
    <col min="5" max="1019" width="9" style="458" customWidth="1"/>
    <col min="1020" max="1025" width="8.375" customWidth="1"/>
  </cols>
  <sheetData>
    <row r="1" spans="1:4" ht="15.75" x14ac:dyDescent="0.2">
      <c r="A1" s="824" t="s">
        <v>427</v>
      </c>
      <c r="B1" s="824"/>
      <c r="C1" s="824"/>
      <c r="D1" s="824"/>
    </row>
    <row r="2" spans="1:4" ht="15.75" x14ac:dyDescent="0.2">
      <c r="A2" s="825" t="s">
        <v>428</v>
      </c>
      <c r="B2" s="825"/>
      <c r="C2" s="825"/>
      <c r="D2" s="825"/>
    </row>
    <row r="3" spans="1:4" ht="15.75" customHeight="1" x14ac:dyDescent="0.2">
      <c r="A3" s="825" t="s">
        <v>429</v>
      </c>
      <c r="B3" s="825"/>
      <c r="C3" s="825"/>
      <c r="D3" s="825"/>
    </row>
    <row r="4" spans="1:4" ht="15.75" x14ac:dyDescent="0.2">
      <c r="A4" s="465"/>
      <c r="B4" s="466"/>
      <c r="C4" s="647" t="s">
        <v>570</v>
      </c>
      <c r="D4" s="469" t="s">
        <v>431</v>
      </c>
    </row>
    <row r="5" spans="1:4" x14ac:dyDescent="0.2">
      <c r="A5" s="470"/>
      <c r="B5" s="471" t="s">
        <v>434</v>
      </c>
      <c r="C5" s="648">
        <f>MC!C11</f>
        <v>0</v>
      </c>
      <c r="D5" s="475">
        <f>MC!E11</f>
        <v>0</v>
      </c>
    </row>
    <row r="6" spans="1:4" x14ac:dyDescent="0.2">
      <c r="A6" s="470"/>
      <c r="B6" s="471" t="s">
        <v>435</v>
      </c>
      <c r="C6" s="649">
        <f>MC!D8</f>
        <v>0</v>
      </c>
      <c r="D6" s="479">
        <f>MC!D8</f>
        <v>0</v>
      </c>
    </row>
    <row r="7" spans="1:4" x14ac:dyDescent="0.2">
      <c r="A7" s="470"/>
      <c r="B7" s="471" t="s">
        <v>436</v>
      </c>
      <c r="C7" s="649">
        <f>MC!C8</f>
        <v>0</v>
      </c>
      <c r="D7" s="479">
        <f>MC!C8</f>
        <v>0</v>
      </c>
    </row>
    <row r="8" spans="1:4" x14ac:dyDescent="0.2">
      <c r="A8" s="470"/>
      <c r="B8" s="471" t="s">
        <v>437</v>
      </c>
      <c r="C8" s="650">
        <f>MC!E8</f>
        <v>0</v>
      </c>
      <c r="D8" s="486">
        <f>MC!E8</f>
        <v>0</v>
      </c>
    </row>
    <row r="9" spans="1:4" x14ac:dyDescent="0.2">
      <c r="A9" s="826"/>
      <c r="B9" s="826"/>
      <c r="C9" s="826"/>
      <c r="D9" s="826"/>
    </row>
    <row r="10" spans="1:4" ht="66.75" customHeight="1" x14ac:dyDescent="0.2">
      <c r="A10" s="487" t="s">
        <v>438</v>
      </c>
      <c r="B10" s="488" t="s">
        <v>439</v>
      </c>
      <c r="C10" s="488" t="s">
        <v>570</v>
      </c>
      <c r="D10" s="489" t="s">
        <v>571</v>
      </c>
    </row>
    <row r="11" spans="1:4" ht="14.25" customHeight="1" x14ac:dyDescent="0.2">
      <c r="A11" s="490" t="s">
        <v>442</v>
      </c>
      <c r="B11" s="490"/>
      <c r="C11" s="490"/>
      <c r="D11" s="490"/>
    </row>
    <row r="12" spans="1:4" ht="14.25" customHeight="1" x14ac:dyDescent="0.2">
      <c r="A12" s="491" t="s">
        <v>443</v>
      </c>
      <c r="B12" s="492" t="s">
        <v>444</v>
      </c>
      <c r="C12" s="492" t="s">
        <v>445</v>
      </c>
      <c r="D12" s="494" t="s">
        <v>445</v>
      </c>
    </row>
    <row r="13" spans="1:4" ht="14.25" customHeight="1" x14ac:dyDescent="0.2">
      <c r="A13" s="495" t="s">
        <v>446</v>
      </c>
      <c r="B13" s="496"/>
      <c r="C13" s="497">
        <f>C5</f>
        <v>0</v>
      </c>
      <c r="D13" s="499">
        <f>MC!E11</f>
        <v>0</v>
      </c>
    </row>
    <row r="14" spans="1:4" ht="14.25" customHeight="1" x14ac:dyDescent="0.2">
      <c r="A14" s="495" t="s">
        <v>447</v>
      </c>
      <c r="B14" s="500">
        <v>0.2</v>
      </c>
      <c r="C14" s="497">
        <f>C13*$B$14</f>
        <v>0</v>
      </c>
      <c r="D14" s="499">
        <f>D13*$B$14</f>
        <v>0</v>
      </c>
    </row>
    <row r="15" spans="1:4" ht="14.25" customHeight="1" x14ac:dyDescent="0.2">
      <c r="A15" s="495" t="s">
        <v>448</v>
      </c>
      <c r="B15" s="501"/>
      <c r="C15" s="497"/>
      <c r="D15" s="499"/>
    </row>
    <row r="16" spans="1:4" ht="14.25" customHeight="1" x14ac:dyDescent="0.2">
      <c r="A16" s="495" t="s">
        <v>449</v>
      </c>
      <c r="B16" s="501"/>
      <c r="C16" s="497"/>
      <c r="D16" s="499"/>
    </row>
    <row r="17" spans="1:4" ht="14.25" customHeight="1" x14ac:dyDescent="0.2">
      <c r="A17" s="495" t="s">
        <v>450</v>
      </c>
      <c r="B17" s="501"/>
      <c r="C17" s="497"/>
      <c r="D17" s="499"/>
    </row>
    <row r="18" spans="1:4" ht="14.25" customHeight="1" x14ac:dyDescent="0.2">
      <c r="A18" s="495" t="s">
        <v>572</v>
      </c>
      <c r="B18" s="651"/>
      <c r="C18" s="497"/>
      <c r="D18" s="499"/>
    </row>
    <row r="19" spans="1:4" ht="14.25" customHeight="1" x14ac:dyDescent="0.2">
      <c r="A19" s="502" t="s">
        <v>452</v>
      </c>
      <c r="B19" s="503"/>
      <c r="C19" s="504">
        <f>SUM(C13:C18)</f>
        <v>0</v>
      </c>
      <c r="D19" s="506">
        <f>SUM(D13:D18)</f>
        <v>0</v>
      </c>
    </row>
    <row r="20" spans="1:4" ht="14.25" customHeight="1" x14ac:dyDescent="0.2">
      <c r="A20" s="827"/>
      <c r="B20" s="827"/>
      <c r="C20" s="508"/>
      <c r="D20" s="510"/>
    </row>
    <row r="21" spans="1:4" ht="14.25" customHeight="1" x14ac:dyDescent="0.2">
      <c r="A21" s="828" t="s">
        <v>453</v>
      </c>
      <c r="B21" s="828"/>
      <c r="C21" s="828"/>
      <c r="D21" s="828"/>
    </row>
    <row r="22" spans="1:4" ht="14.25" customHeight="1" x14ac:dyDescent="0.2">
      <c r="A22" s="511" t="s">
        <v>454</v>
      </c>
      <c r="B22" s="512" t="s">
        <v>444</v>
      </c>
      <c r="C22" s="512" t="s">
        <v>445</v>
      </c>
      <c r="D22" s="513" t="s">
        <v>445</v>
      </c>
    </row>
    <row r="23" spans="1:4" ht="14.25" customHeight="1" x14ac:dyDescent="0.2">
      <c r="A23" s="514" t="s">
        <v>455</v>
      </c>
      <c r="B23" s="500">
        <f>1/12</f>
        <v>8.3333333333333329E-2</v>
      </c>
      <c r="C23" s="497">
        <f>ROUND($B23*C$19,2)</f>
        <v>0</v>
      </c>
      <c r="D23" s="499">
        <f>ROUND($B23*D$19,2)</f>
        <v>0</v>
      </c>
    </row>
    <row r="24" spans="1:4" ht="14.25" customHeight="1" x14ac:dyDescent="0.2">
      <c r="A24" s="514" t="s">
        <v>456</v>
      </c>
      <c r="B24" s="500">
        <f>1/3*1/12</f>
        <v>2.7777777777777776E-2</v>
      </c>
      <c r="C24" s="497">
        <f>C$19*$B$24</f>
        <v>0</v>
      </c>
      <c r="D24" s="499">
        <f>D$19*$B$24</f>
        <v>0</v>
      </c>
    </row>
    <row r="25" spans="1:4" ht="14.25" customHeight="1" x14ac:dyDescent="0.2">
      <c r="A25" s="502" t="s">
        <v>452</v>
      </c>
      <c r="B25" s="515">
        <f>SUM(B23:B24)</f>
        <v>0.1111111111111111</v>
      </c>
      <c r="C25" s="504">
        <f>SUM(C23:C24)</f>
        <v>0</v>
      </c>
      <c r="D25" s="506">
        <f>SUM(D23:D24)</f>
        <v>0</v>
      </c>
    </row>
    <row r="26" spans="1:4" ht="14.25" customHeight="1" x14ac:dyDescent="0.2">
      <c r="A26" s="511" t="s">
        <v>457</v>
      </c>
      <c r="B26" s="512" t="s">
        <v>444</v>
      </c>
      <c r="C26" s="512" t="s">
        <v>445</v>
      </c>
      <c r="D26" s="513" t="s">
        <v>445</v>
      </c>
    </row>
    <row r="27" spans="1:4" ht="14.25" customHeight="1" x14ac:dyDescent="0.2">
      <c r="A27" s="511" t="s">
        <v>458</v>
      </c>
      <c r="B27" s="516"/>
      <c r="C27" s="516"/>
      <c r="D27" s="518"/>
    </row>
    <row r="28" spans="1:4" ht="14.25" customHeight="1" x14ac:dyDescent="0.2">
      <c r="A28" s="514" t="s">
        <v>459</v>
      </c>
      <c r="B28" s="500">
        <v>0.2</v>
      </c>
      <c r="C28" s="519">
        <f t="shared" ref="C28:C35" si="0">ROUND(($C$19+$C$25)*B28,2)</f>
        <v>0</v>
      </c>
      <c r="D28" s="520">
        <f t="shared" ref="D28:D35" si="1">ROUND(($D$19+$D$25)*B28,2)</f>
        <v>0</v>
      </c>
    </row>
    <row r="29" spans="1:4" ht="14.25" customHeight="1" x14ac:dyDescent="0.2">
      <c r="A29" s="514" t="s">
        <v>460</v>
      </c>
      <c r="B29" s="500">
        <v>2.5000000000000001E-2</v>
      </c>
      <c r="C29" s="519">
        <f t="shared" si="0"/>
        <v>0</v>
      </c>
      <c r="D29" s="520">
        <f t="shared" si="1"/>
        <v>0</v>
      </c>
    </row>
    <row r="30" spans="1:4" ht="14.25" customHeight="1" x14ac:dyDescent="0.2">
      <c r="A30" s="514" t="s">
        <v>461</v>
      </c>
      <c r="B30" s="500">
        <v>0.03</v>
      </c>
      <c r="C30" s="519">
        <f t="shared" si="0"/>
        <v>0</v>
      </c>
      <c r="D30" s="520">
        <f t="shared" si="1"/>
        <v>0</v>
      </c>
    </row>
    <row r="31" spans="1:4" ht="14.25" customHeight="1" x14ac:dyDescent="0.2">
      <c r="A31" s="514" t="s">
        <v>462</v>
      </c>
      <c r="B31" s="500">
        <v>1.4999999999999999E-2</v>
      </c>
      <c r="C31" s="519">
        <f t="shared" si="0"/>
        <v>0</v>
      </c>
      <c r="D31" s="520">
        <f t="shared" si="1"/>
        <v>0</v>
      </c>
    </row>
    <row r="32" spans="1:4" ht="14.25" customHeight="1" x14ac:dyDescent="0.2">
      <c r="A32" s="514" t="s">
        <v>463</v>
      </c>
      <c r="B32" s="500">
        <v>0.01</v>
      </c>
      <c r="C32" s="519">
        <f t="shared" si="0"/>
        <v>0</v>
      </c>
      <c r="D32" s="520">
        <f t="shared" si="1"/>
        <v>0</v>
      </c>
    </row>
    <row r="33" spans="1:4" ht="14.25" customHeight="1" x14ac:dyDescent="0.2">
      <c r="A33" s="514" t="s">
        <v>464</v>
      </c>
      <c r="B33" s="500">
        <v>6.0000000000000001E-3</v>
      </c>
      <c r="C33" s="519">
        <f t="shared" si="0"/>
        <v>0</v>
      </c>
      <c r="D33" s="520">
        <f t="shared" si="1"/>
        <v>0</v>
      </c>
    </row>
    <row r="34" spans="1:4" ht="14.25" customHeight="1" x14ac:dyDescent="0.2">
      <c r="A34" s="514" t="s">
        <v>465</v>
      </c>
      <c r="B34" s="500">
        <v>2E-3</v>
      </c>
      <c r="C34" s="519">
        <f t="shared" si="0"/>
        <v>0</v>
      </c>
      <c r="D34" s="520">
        <f t="shared" si="1"/>
        <v>0</v>
      </c>
    </row>
    <row r="35" spans="1:4" ht="14.25" customHeight="1" x14ac:dyDescent="0.2">
      <c r="A35" s="514" t="s">
        <v>466</v>
      </c>
      <c r="B35" s="500">
        <v>0.08</v>
      </c>
      <c r="C35" s="519">
        <f t="shared" si="0"/>
        <v>0</v>
      </c>
      <c r="D35" s="520">
        <f t="shared" si="1"/>
        <v>0</v>
      </c>
    </row>
    <row r="36" spans="1:4" ht="14.25" customHeight="1" x14ac:dyDescent="0.2">
      <c r="A36" s="502" t="s">
        <v>452</v>
      </c>
      <c r="B36" s="515">
        <f>SUM(B28:B35)</f>
        <v>0.36800000000000005</v>
      </c>
      <c r="C36" s="504">
        <f>SUM(C27:C35)</f>
        <v>0</v>
      </c>
      <c r="D36" s="506">
        <f>SUM(D27:D35)</f>
        <v>0</v>
      </c>
    </row>
    <row r="37" spans="1:4" ht="14.25" customHeight="1" x14ac:dyDescent="0.2">
      <c r="A37" s="511" t="s">
        <v>467</v>
      </c>
      <c r="B37" s="512" t="s">
        <v>468</v>
      </c>
      <c r="C37" s="512" t="s">
        <v>445</v>
      </c>
      <c r="D37" s="513" t="s">
        <v>445</v>
      </c>
    </row>
    <row r="38" spans="1:4" ht="14.25" customHeight="1" x14ac:dyDescent="0.2">
      <c r="A38" s="514" t="s">
        <v>469</v>
      </c>
      <c r="B38" s="521">
        <f>MC!D87</f>
        <v>0</v>
      </c>
      <c r="C38" s="497">
        <f>ROUND(((2*22*$B$38)-0.06*C$13),2)</f>
        <v>0</v>
      </c>
      <c r="D38" s="499">
        <f>ROUND(((2*22*$B$38)-0.06*D$13),2)</f>
        <v>0</v>
      </c>
    </row>
    <row r="39" spans="1:4" ht="14.25" customHeight="1" x14ac:dyDescent="0.2">
      <c r="A39" s="514" t="s">
        <v>470</v>
      </c>
      <c r="B39" s="522"/>
      <c r="C39" s="519">
        <f>MC!E17</f>
        <v>0</v>
      </c>
      <c r="D39" s="520">
        <f>MC!E18</f>
        <v>0</v>
      </c>
    </row>
    <row r="40" spans="1:4" ht="14.25" customHeight="1" x14ac:dyDescent="0.2">
      <c r="A40" s="514" t="s">
        <v>471</v>
      </c>
      <c r="B40" s="500">
        <f>MC!C22</f>
        <v>0</v>
      </c>
      <c r="C40" s="519"/>
      <c r="D40" s="520"/>
    </row>
    <row r="41" spans="1:4" ht="14.25" customHeight="1" x14ac:dyDescent="0.2">
      <c r="A41" s="514" t="s">
        <v>472</v>
      </c>
      <c r="B41" s="523">
        <f>MC!E21</f>
        <v>0</v>
      </c>
      <c r="C41" s="519">
        <f>B41</f>
        <v>0</v>
      </c>
      <c r="D41" s="520">
        <f>B41</f>
        <v>0</v>
      </c>
    </row>
    <row r="42" spans="1:4" ht="14.25" customHeight="1" x14ac:dyDescent="0.2">
      <c r="A42" s="514" t="s">
        <v>473</v>
      </c>
      <c r="B42" s="500">
        <f>MC!C20</f>
        <v>0</v>
      </c>
      <c r="C42" s="519">
        <f>$B$42*C19</f>
        <v>0</v>
      </c>
      <c r="D42" s="519">
        <f>$B$42*D19</f>
        <v>0</v>
      </c>
    </row>
    <row r="43" spans="1:4" ht="14.25" customHeight="1" x14ac:dyDescent="0.2">
      <c r="A43" s="514" t="s">
        <v>474</v>
      </c>
      <c r="B43" s="500"/>
      <c r="C43" s="519"/>
      <c r="D43" s="520"/>
    </row>
    <row r="44" spans="1:4" ht="14.25" customHeight="1" x14ac:dyDescent="0.2">
      <c r="A44" s="502" t="s">
        <v>452</v>
      </c>
      <c r="B44" s="503"/>
      <c r="C44" s="504">
        <f>SUM(C38:C43)</f>
        <v>0</v>
      </c>
      <c r="D44" s="506">
        <f>SUM(D38:D43)</f>
        <v>0</v>
      </c>
    </row>
    <row r="45" spans="1:4" ht="14.25" customHeight="1" x14ac:dyDescent="0.2">
      <c r="A45" s="491" t="s">
        <v>475</v>
      </c>
      <c r="B45" s="492" t="s">
        <v>444</v>
      </c>
      <c r="C45" s="492" t="s">
        <v>445</v>
      </c>
      <c r="D45" s="494" t="s">
        <v>445</v>
      </c>
    </row>
    <row r="46" spans="1:4" ht="14.25" customHeight="1" x14ac:dyDescent="0.2">
      <c r="A46" s="514" t="s">
        <v>454</v>
      </c>
      <c r="B46" s="525">
        <f>B25</f>
        <v>0.1111111111111111</v>
      </c>
      <c r="C46" s="526">
        <f>C25</f>
        <v>0</v>
      </c>
      <c r="D46" s="527">
        <f>D25</f>
        <v>0</v>
      </c>
    </row>
    <row r="47" spans="1:4" ht="14.25" customHeight="1" x14ac:dyDescent="0.2">
      <c r="A47" s="514" t="s">
        <v>476</v>
      </c>
      <c r="B47" s="525">
        <f>B36</f>
        <v>0.36800000000000005</v>
      </c>
      <c r="C47" s="526">
        <f>C36</f>
        <v>0</v>
      </c>
      <c r="D47" s="527">
        <f>D36</f>
        <v>0</v>
      </c>
    </row>
    <row r="48" spans="1:4" ht="14.25" customHeight="1" x14ac:dyDescent="0.2">
      <c r="A48" s="514" t="s">
        <v>467</v>
      </c>
      <c r="B48" s="525"/>
      <c r="C48" s="526">
        <f>C44</f>
        <v>0</v>
      </c>
      <c r="D48" s="527">
        <f>D44</f>
        <v>0</v>
      </c>
    </row>
    <row r="49" spans="1:4" ht="14.25" customHeight="1" x14ac:dyDescent="0.2">
      <c r="A49" s="502" t="s">
        <v>452</v>
      </c>
      <c r="B49" s="503"/>
      <c r="C49" s="504">
        <f>SUM(C46:C48)</f>
        <v>0</v>
      </c>
      <c r="D49" s="506">
        <f>SUM(D46:D48)</f>
        <v>0</v>
      </c>
    </row>
    <row r="50" spans="1:4" ht="14.25" customHeight="1" x14ac:dyDescent="0.2">
      <c r="A50" s="827"/>
      <c r="B50" s="827"/>
      <c r="C50" s="508"/>
      <c r="D50" s="510"/>
    </row>
    <row r="51" spans="1:4" s="528" customFormat="1" ht="14.25" customHeight="1" x14ac:dyDescent="0.2">
      <c r="A51" s="828" t="s">
        <v>477</v>
      </c>
      <c r="B51" s="828"/>
      <c r="C51" s="828"/>
      <c r="D51" s="828"/>
    </row>
    <row r="52" spans="1:4" ht="14.25" customHeight="1" x14ac:dyDescent="0.2">
      <c r="A52" s="491" t="s">
        <v>478</v>
      </c>
      <c r="B52" s="492" t="s">
        <v>444</v>
      </c>
      <c r="C52" s="492" t="s">
        <v>445</v>
      </c>
      <c r="D52" s="494" t="s">
        <v>445</v>
      </c>
    </row>
    <row r="53" spans="1:4" ht="14.25" customHeight="1" x14ac:dyDescent="0.2">
      <c r="A53" s="511" t="s">
        <v>479</v>
      </c>
      <c r="B53" s="529"/>
      <c r="C53" s="529"/>
      <c r="D53" s="531"/>
    </row>
    <row r="54" spans="1:4" ht="14.25" customHeight="1" x14ac:dyDescent="0.2">
      <c r="A54" s="514" t="s">
        <v>480</v>
      </c>
      <c r="B54" s="525">
        <f>1/12*0.05</f>
        <v>4.1666666666666666E-3</v>
      </c>
      <c r="C54" s="532">
        <f>C19*$B54</f>
        <v>0</v>
      </c>
      <c r="D54" s="652">
        <f>D19*$B54</f>
        <v>0</v>
      </c>
    </row>
    <row r="55" spans="1:4" ht="14.25" customHeight="1" x14ac:dyDescent="0.2">
      <c r="A55" s="514" t="s">
        <v>481</v>
      </c>
      <c r="B55" s="525">
        <f>B35*B54</f>
        <v>3.3333333333333332E-4</v>
      </c>
      <c r="C55" s="532">
        <f>$B$55*C19</f>
        <v>0</v>
      </c>
      <c r="D55" s="652">
        <f>$B$55*D19</f>
        <v>0</v>
      </c>
    </row>
    <row r="56" spans="1:4" ht="14.25" customHeight="1" x14ac:dyDescent="0.2">
      <c r="A56" s="514" t="s">
        <v>482</v>
      </c>
      <c r="B56" s="525">
        <v>0</v>
      </c>
      <c r="C56" s="532">
        <f>C35*$B56</f>
        <v>0</v>
      </c>
      <c r="D56" s="652">
        <f>D35*$B56</f>
        <v>0</v>
      </c>
    </row>
    <row r="57" spans="1:4" ht="14.25" customHeight="1" x14ac:dyDescent="0.2">
      <c r="A57" s="514" t="s">
        <v>483</v>
      </c>
      <c r="B57" s="525">
        <f>1/12*1/30*7</f>
        <v>1.9444444444444441E-2</v>
      </c>
      <c r="C57" s="526">
        <f>C19*$B57</f>
        <v>0</v>
      </c>
      <c r="D57" s="527">
        <f>D19*$B57</f>
        <v>0</v>
      </c>
    </row>
    <row r="58" spans="1:4" ht="14.25" customHeight="1" x14ac:dyDescent="0.2">
      <c r="A58" s="514" t="s">
        <v>484</v>
      </c>
      <c r="B58" s="525">
        <f>B36*B57</f>
        <v>7.1555555555555556E-3</v>
      </c>
      <c r="C58" s="526">
        <f>$B58*C19</f>
        <v>0</v>
      </c>
      <c r="D58" s="527">
        <f>$B58*D19</f>
        <v>0</v>
      </c>
    </row>
    <row r="59" spans="1:4" ht="14.25" customHeight="1" x14ac:dyDescent="0.2">
      <c r="A59" s="514" t="s">
        <v>485</v>
      </c>
      <c r="B59" s="525">
        <f>B35*40/100*90/100*(1+1/12+1/12+1/3*1/12)</f>
        <v>3.4399999999999993E-2</v>
      </c>
      <c r="C59" s="526">
        <f>C19*$B59</f>
        <v>0</v>
      </c>
      <c r="D59" s="527">
        <f>D19*$B59</f>
        <v>0</v>
      </c>
    </row>
    <row r="60" spans="1:4" ht="14.25" customHeight="1" x14ac:dyDescent="0.2">
      <c r="A60" s="502" t="s">
        <v>452</v>
      </c>
      <c r="B60" s="515">
        <f>SUM(B54:B59)</f>
        <v>6.5499999999999989E-2</v>
      </c>
      <c r="C60" s="533">
        <f>SUM(C54:C59)</f>
        <v>0</v>
      </c>
      <c r="D60" s="535">
        <f>SUM(D54:D59)</f>
        <v>0</v>
      </c>
    </row>
    <row r="61" spans="1:4" ht="14.25" customHeight="1" x14ac:dyDescent="0.2">
      <c r="A61" s="827"/>
      <c r="B61" s="827"/>
      <c r="C61" s="536"/>
      <c r="D61" s="538"/>
    </row>
    <row r="62" spans="1:4" ht="14.25" customHeight="1" x14ac:dyDescent="0.2">
      <c r="A62" s="828" t="s">
        <v>486</v>
      </c>
      <c r="B62" s="828"/>
      <c r="C62" s="828"/>
      <c r="D62" s="828"/>
    </row>
    <row r="63" spans="1:4" ht="14.25" customHeight="1" x14ac:dyDescent="0.2">
      <c r="A63" s="511" t="s">
        <v>41</v>
      </c>
      <c r="B63" s="512"/>
      <c r="C63" s="512"/>
      <c r="D63" s="513"/>
    </row>
    <row r="64" spans="1:4" ht="14.25" customHeight="1" x14ac:dyDescent="0.2">
      <c r="A64" s="514" t="s">
        <v>42</v>
      </c>
      <c r="B64" s="500">
        <f>1/12</f>
        <v>8.3333333333333329E-2</v>
      </c>
      <c r="C64" s="519">
        <f>B64*($C$19+$C$49+$C$60)</f>
        <v>0</v>
      </c>
      <c r="D64" s="520">
        <f>B64*($D$19+$D$49+$D$60)</f>
        <v>0</v>
      </c>
    </row>
    <row r="65" spans="1:4" ht="14.25" customHeight="1" x14ac:dyDescent="0.2">
      <c r="A65" s="514" t="s">
        <v>487</v>
      </c>
      <c r="B65" s="500">
        <f>MC!E52/30/12</f>
        <v>1.3538888888888885E-2</v>
      </c>
      <c r="C65" s="519">
        <f>B65*($C$19+$C$49+$C$60)</f>
        <v>0</v>
      </c>
      <c r="D65" s="520">
        <f>B65*($D$19+$D$49+$D$60)</f>
        <v>0</v>
      </c>
    </row>
    <row r="66" spans="1:4" ht="14.25" customHeight="1" x14ac:dyDescent="0.2">
      <c r="A66" s="514" t="s">
        <v>488</v>
      </c>
      <c r="B66" s="540">
        <f>(5/30)/12*MC!F54*MC!C55</f>
        <v>1.0764583333333333E-4</v>
      </c>
      <c r="C66" s="519">
        <f>B66*($C$19+$C$49+$C$60)</f>
        <v>0</v>
      </c>
      <c r="D66" s="520">
        <f>B66*($D$19+$D$49+$D$60)</f>
        <v>0</v>
      </c>
    </row>
    <row r="67" spans="1:4" ht="14.25" customHeight="1" x14ac:dyDescent="0.2">
      <c r="A67" s="514" t="s">
        <v>489</v>
      </c>
      <c r="B67" s="540">
        <f>MC!C57/30/12</f>
        <v>2.6830555555555553E-3</v>
      </c>
      <c r="C67" s="519">
        <f>B67*($C$19+$C$49+$C$60)</f>
        <v>0</v>
      </c>
      <c r="D67" s="520">
        <f>B67*($D$19+$D$49+$D$60)</f>
        <v>0</v>
      </c>
    </row>
    <row r="68" spans="1:4" ht="14.25" customHeight="1" x14ac:dyDescent="0.2">
      <c r="A68" s="514" t="s">
        <v>490</v>
      </c>
      <c r="B68" s="500"/>
      <c r="C68" s="519"/>
      <c r="D68" s="520"/>
    </row>
    <row r="69" spans="1:4" ht="14.25" customHeight="1" x14ac:dyDescent="0.2">
      <c r="A69" s="541" t="s">
        <v>491</v>
      </c>
      <c r="B69" s="542">
        <f>SUM(B64:B68)</f>
        <v>9.9662923611111107E-2</v>
      </c>
      <c r="C69" s="543">
        <f>SUM(C64:C68)</f>
        <v>0</v>
      </c>
      <c r="D69" s="545">
        <f>SUM(D64:D68)</f>
        <v>0</v>
      </c>
    </row>
    <row r="70" spans="1:4" ht="14.25" customHeight="1" x14ac:dyDescent="0.2">
      <c r="A70" s="511" t="s">
        <v>492</v>
      </c>
      <c r="B70" s="512"/>
      <c r="C70" s="512"/>
      <c r="D70" s="513"/>
    </row>
    <row r="71" spans="1:4" ht="14.25" customHeight="1" x14ac:dyDescent="0.2">
      <c r="A71" s="514" t="s">
        <v>493</v>
      </c>
      <c r="B71" s="500"/>
      <c r="C71" s="519"/>
      <c r="D71" s="520"/>
    </row>
    <row r="72" spans="1:4" ht="14.25" customHeight="1" x14ac:dyDescent="0.2">
      <c r="A72" s="541" t="s">
        <v>491</v>
      </c>
      <c r="B72" s="542"/>
      <c r="C72" s="543">
        <f>C71</f>
        <v>0</v>
      </c>
      <c r="D72" s="545"/>
    </row>
    <row r="73" spans="1:4" ht="14.25" customHeight="1" x14ac:dyDescent="0.2">
      <c r="A73" s="511" t="s">
        <v>63</v>
      </c>
      <c r="B73" s="512"/>
      <c r="C73" s="512"/>
      <c r="D73" s="513"/>
    </row>
    <row r="74" spans="1:4" ht="14.25" customHeight="1" x14ac:dyDescent="0.2">
      <c r="A74" s="514" t="s">
        <v>64</v>
      </c>
      <c r="B74" s="500">
        <f>120/30*MC!C60*MC!C61</f>
        <v>6.18624E-3</v>
      </c>
      <c r="C74" s="519">
        <f>(((C19*2)+ (C19*1/3))+(C36)+(C44-C38-C39))*$B$74</f>
        <v>0</v>
      </c>
      <c r="D74" s="520">
        <f>(((D19*2)+ (D19*1/3))+(D36)+(D44-D38-D39))*$B$74</f>
        <v>0</v>
      </c>
    </row>
    <row r="75" spans="1:4" ht="14.25" customHeight="1" x14ac:dyDescent="0.2">
      <c r="A75" s="541" t="s">
        <v>452</v>
      </c>
      <c r="B75" s="542"/>
      <c r="C75" s="543"/>
      <c r="D75" s="545"/>
    </row>
    <row r="76" spans="1:4" ht="14.25" customHeight="1" x14ac:dyDescent="0.2">
      <c r="A76" s="491" t="s">
        <v>494</v>
      </c>
      <c r="B76" s="492"/>
      <c r="C76" s="492"/>
      <c r="D76" s="494"/>
    </row>
    <row r="77" spans="1:4" ht="14.25" customHeight="1" x14ac:dyDescent="0.2">
      <c r="A77" s="514" t="s">
        <v>41</v>
      </c>
      <c r="B77" s="525">
        <f>B69</f>
        <v>9.9662923611111107E-2</v>
      </c>
      <c r="C77" s="526">
        <f>C69</f>
        <v>0</v>
      </c>
      <c r="D77" s="527">
        <f>D69</f>
        <v>0</v>
      </c>
    </row>
    <row r="78" spans="1:4" ht="14.25" customHeight="1" x14ac:dyDescent="0.2">
      <c r="A78" s="514" t="s">
        <v>492</v>
      </c>
      <c r="B78" s="525">
        <f>B72</f>
        <v>0</v>
      </c>
      <c r="C78" s="526">
        <f>C72</f>
        <v>0</v>
      </c>
      <c r="D78" s="527">
        <f>D72</f>
        <v>0</v>
      </c>
    </row>
    <row r="79" spans="1:4" ht="14.25" customHeight="1" x14ac:dyDescent="0.2">
      <c r="A79" s="514" t="s">
        <v>63</v>
      </c>
      <c r="B79" s="525">
        <f>B74</f>
        <v>6.18624E-3</v>
      </c>
      <c r="C79" s="526">
        <f>C74</f>
        <v>0</v>
      </c>
      <c r="D79" s="527">
        <f>D74</f>
        <v>0</v>
      </c>
    </row>
    <row r="80" spans="1:4" ht="14.25" customHeight="1" x14ac:dyDescent="0.2">
      <c r="A80" s="502" t="s">
        <v>452</v>
      </c>
      <c r="B80" s="503"/>
      <c r="C80" s="504">
        <f>SUM(C77:C79)</f>
        <v>0</v>
      </c>
      <c r="D80" s="506">
        <f>SUM(D77:D79)</f>
        <v>0</v>
      </c>
    </row>
    <row r="81" spans="1:4" ht="14.25" customHeight="1" x14ac:dyDescent="0.2">
      <c r="A81" s="507"/>
      <c r="B81" s="508"/>
      <c r="C81" s="508"/>
      <c r="D81" s="510"/>
    </row>
    <row r="82" spans="1:4" ht="14.25" customHeight="1" x14ac:dyDescent="0.2">
      <c r="A82" s="546" t="s">
        <v>495</v>
      </c>
      <c r="B82" s="547"/>
      <c r="C82" s="547"/>
      <c r="D82" s="548"/>
    </row>
    <row r="83" spans="1:4" ht="14.25" customHeight="1" x14ac:dyDescent="0.2">
      <c r="A83" s="491" t="s">
        <v>496</v>
      </c>
      <c r="B83" s="492" t="s">
        <v>468</v>
      </c>
      <c r="C83" s="492" t="s">
        <v>445</v>
      </c>
      <c r="D83" s="494" t="s">
        <v>445</v>
      </c>
    </row>
    <row r="84" spans="1:4" ht="14.25" customHeight="1" x14ac:dyDescent="0.2">
      <c r="A84" s="514" t="s">
        <v>497</v>
      </c>
      <c r="B84" s="653">
        <f>Insumos!H117</f>
        <v>0</v>
      </c>
      <c r="C84" s="497">
        <f>B84</f>
        <v>0</v>
      </c>
      <c r="D84" s="499">
        <f>B84</f>
        <v>0</v>
      </c>
    </row>
    <row r="85" spans="1:4" ht="14.25" customHeight="1" x14ac:dyDescent="0.2">
      <c r="A85" s="550" t="s">
        <v>498</v>
      </c>
      <c r="B85" s="653">
        <f>Insumos!G69</f>
        <v>0</v>
      </c>
      <c r="C85" s="497">
        <f>B85</f>
        <v>0</v>
      </c>
      <c r="D85" s="499">
        <f>B85</f>
        <v>0</v>
      </c>
    </row>
    <row r="86" spans="1:4" ht="14.25" customHeight="1" x14ac:dyDescent="0.2">
      <c r="A86" s="550" t="s">
        <v>499</v>
      </c>
      <c r="B86" s="654">
        <v>0</v>
      </c>
      <c r="C86" s="497"/>
      <c r="D86" s="499"/>
    </row>
    <row r="87" spans="1:4" ht="14.25" customHeight="1" x14ac:dyDescent="0.2">
      <c r="A87" s="550" t="s">
        <v>500</v>
      </c>
      <c r="B87" s="655">
        <f>Insumos!I122</f>
        <v>0</v>
      </c>
      <c r="C87" s="497">
        <f>B87</f>
        <v>0</v>
      </c>
      <c r="D87" s="499">
        <f>Insumos!H122</f>
        <v>0</v>
      </c>
    </row>
    <row r="88" spans="1:4" ht="14.25" customHeight="1" x14ac:dyDescent="0.2">
      <c r="A88" s="550" t="s">
        <v>501</v>
      </c>
      <c r="B88" s="656">
        <v>0</v>
      </c>
      <c r="C88" s="497"/>
      <c r="D88" s="499"/>
    </row>
    <row r="89" spans="1:4" ht="14.25" customHeight="1" x14ac:dyDescent="0.2">
      <c r="A89" s="550" t="s">
        <v>573</v>
      </c>
      <c r="B89" s="653">
        <v>0</v>
      </c>
      <c r="C89" s="497"/>
      <c r="D89" s="499"/>
    </row>
    <row r="90" spans="1:4" ht="14.25" customHeight="1" x14ac:dyDescent="0.2">
      <c r="A90" s="550" t="s">
        <v>574</v>
      </c>
      <c r="B90" s="653">
        <v>0</v>
      </c>
      <c r="C90" s="497"/>
      <c r="D90" s="499"/>
    </row>
    <row r="91" spans="1:4" ht="14.25" customHeight="1" x14ac:dyDescent="0.2">
      <c r="A91" s="541" t="s">
        <v>452</v>
      </c>
      <c r="B91" s="552"/>
      <c r="C91" s="543">
        <f>SUM(C84:C90)</f>
        <v>0</v>
      </c>
      <c r="D91" s="545">
        <f>SUM(D84:D90)</f>
        <v>0</v>
      </c>
    </row>
    <row r="92" spans="1:4" ht="14.25" customHeight="1" x14ac:dyDescent="0.2">
      <c r="A92" s="827"/>
      <c r="B92" s="827"/>
      <c r="C92" s="553"/>
      <c r="D92" s="555"/>
    </row>
    <row r="93" spans="1:4" ht="14.25" customHeight="1" x14ac:dyDescent="0.2">
      <c r="A93" s="546" t="s">
        <v>504</v>
      </c>
      <c r="B93" s="547"/>
      <c r="C93" s="547"/>
      <c r="D93" s="548"/>
    </row>
    <row r="94" spans="1:4" ht="14.25" customHeight="1" x14ac:dyDescent="0.2">
      <c r="A94" s="491" t="s">
        <v>505</v>
      </c>
      <c r="B94" s="492" t="s">
        <v>444</v>
      </c>
      <c r="C94" s="492" t="s">
        <v>445</v>
      </c>
      <c r="D94" s="494" t="s">
        <v>445</v>
      </c>
    </row>
    <row r="95" spans="1:4" ht="14.25" customHeight="1" x14ac:dyDescent="0.2">
      <c r="A95" s="495" t="s">
        <v>69</v>
      </c>
      <c r="B95" s="500">
        <v>0.03</v>
      </c>
      <c r="C95" s="519">
        <f>($C$19+$C$49+$C$60+$C$80+$C$91)*$B$95</f>
        <v>0</v>
      </c>
      <c r="D95" s="520">
        <f>($D$19+$D$49+$D$60+$D$80+$D$91)*$B$95</f>
        <v>0</v>
      </c>
    </row>
    <row r="96" spans="1:4" ht="14.25" customHeight="1" x14ac:dyDescent="0.2">
      <c r="A96" s="495" t="s">
        <v>70</v>
      </c>
      <c r="B96" s="500">
        <v>6.7900000000000002E-2</v>
      </c>
      <c r="C96" s="519">
        <f>($C$19+$C$49+$C$60+$C$80+$C$91+C95)*B96</f>
        <v>0</v>
      </c>
      <c r="D96" s="520">
        <f>($D$19+$D$49+$D$60+$D$80+$D$91+$D$95)*$B$96</f>
        <v>0</v>
      </c>
    </row>
    <row r="97" spans="1:5" ht="14.25" customHeight="1" x14ac:dyDescent="0.2">
      <c r="A97" s="556" t="s">
        <v>506</v>
      </c>
      <c r="B97" s="557">
        <f>B98+B99</f>
        <v>0.1125</v>
      </c>
      <c r="C97" s="558">
        <f>((C19+C49+C60+C80+C91+C95+C96)/(1-($B$97)))*$B$97</f>
        <v>0</v>
      </c>
      <c r="D97" s="657">
        <f>((D19+D49+D60+D80+D91+D95+D96)/(1-($B$97)))*$B$97</f>
        <v>0</v>
      </c>
    </row>
    <row r="98" spans="1:5" ht="14.25" customHeight="1" x14ac:dyDescent="0.2">
      <c r="A98" s="495" t="s">
        <v>507</v>
      </c>
      <c r="B98" s="500">
        <f>0.0165+0.076</f>
        <v>9.2499999999999999E-2</v>
      </c>
      <c r="C98" s="559">
        <f>((C$19+C$49+C$60+C$80+C$91+C$95+C$96)/(1-($B$97)))*$B$98</f>
        <v>0</v>
      </c>
      <c r="D98" s="658">
        <f>((D$19+D$49+D$60+D$80+D$91+D$95+D$96)/(1-($B$97)))*$B$98</f>
        <v>0</v>
      </c>
    </row>
    <row r="99" spans="1:5" ht="14.25" customHeight="1" x14ac:dyDescent="0.2">
      <c r="A99" s="495" t="s">
        <v>508</v>
      </c>
      <c r="B99" s="500">
        <v>0.02</v>
      </c>
      <c r="C99" s="560">
        <f>((C$19+C$49+C$60+C$80+C$91+C$95+C$96)/(1-($B$97)))*$B$99</f>
        <v>0</v>
      </c>
      <c r="D99" s="659">
        <f>((D$19+D$49+D$60+D$80+D$91+D$95+D$96)/(1-($B$97)))*$B$99</f>
        <v>0</v>
      </c>
    </row>
    <row r="100" spans="1:5" ht="14.25" customHeight="1" x14ac:dyDescent="0.2">
      <c r="A100" s="556" t="s">
        <v>509</v>
      </c>
      <c r="B100" s="557">
        <f>B101+B102</f>
        <v>0.11749999999999999</v>
      </c>
      <c r="C100" s="558">
        <f>((C19+C49+C60+C80+C91+C95+C96)/(1-($B$100)))*$B$100</f>
        <v>0</v>
      </c>
      <c r="D100" s="657">
        <f>((D19+D49+D60+D80+D91+D95+D96)/(1-($B$100)))*$B$100</f>
        <v>0</v>
      </c>
    </row>
    <row r="101" spans="1:5" ht="14.25" customHeight="1" x14ac:dyDescent="0.2">
      <c r="A101" s="495" t="s">
        <v>507</v>
      </c>
      <c r="B101" s="500">
        <f>0.0165+0.076</f>
        <v>9.2499999999999999E-2</v>
      </c>
      <c r="C101" s="559">
        <f>((C19+C49+C60+C80+C91+C95+C96)/(1-($B$100)))*$B$101</f>
        <v>0</v>
      </c>
      <c r="D101" s="658">
        <f>((D19+D49+D60+D80+D91+D95+D96)/(1-($B$100)))*$B$101</f>
        <v>0</v>
      </c>
    </row>
    <row r="102" spans="1:5" ht="14.25" customHeight="1" x14ac:dyDescent="0.2">
      <c r="A102" s="495" t="s">
        <v>508</v>
      </c>
      <c r="B102" s="500">
        <v>2.5000000000000001E-2</v>
      </c>
      <c r="C102" s="560">
        <f>((C$19+C$49+C$60+C$80+C$91+C$95+C$96)/(1-($B$100)))*$B$102</f>
        <v>0</v>
      </c>
      <c r="D102" s="659">
        <f>((D$19+D$49+D$60+D$80+D$91+D$95+D$96)/(1-($B$100)))*$B$102</f>
        <v>0</v>
      </c>
    </row>
    <row r="103" spans="1:5" ht="14.25" customHeight="1" x14ac:dyDescent="0.2">
      <c r="A103" s="556" t="s">
        <v>510</v>
      </c>
      <c r="B103" s="557">
        <f>B104+B105</f>
        <v>0.1225</v>
      </c>
      <c r="C103" s="558">
        <f>((C19+C49+C60+C80+C91+C95+C96)/(1-($B$103)))*$B$103</f>
        <v>0</v>
      </c>
      <c r="D103" s="657">
        <f>((D19+D49+D60+D80+D91+D95+D96)/(1-($B$103)))*$B$103</f>
        <v>0</v>
      </c>
    </row>
    <row r="104" spans="1:5" ht="14.25" customHeight="1" x14ac:dyDescent="0.2">
      <c r="A104" s="495" t="s">
        <v>507</v>
      </c>
      <c r="B104" s="500">
        <f>0.0165+0.076</f>
        <v>9.2499999999999999E-2</v>
      </c>
      <c r="C104" s="559">
        <f>((C19+C49+C60+C80+C91+C95+C96)/(1-($B$103)))*$B$104</f>
        <v>0</v>
      </c>
      <c r="D104" s="658">
        <f>((D19+D49+D60+D80+D91+D95+D96)/(1-($B$103)))*$B$104</f>
        <v>0</v>
      </c>
    </row>
    <row r="105" spans="1:5" ht="14.25" customHeight="1" x14ac:dyDescent="0.2">
      <c r="A105" s="495" t="s">
        <v>508</v>
      </c>
      <c r="B105" s="500">
        <v>0.03</v>
      </c>
      <c r="C105" s="560">
        <f>((C19+C49+C60+C80+C91+C95+C96)/(1-($B$103)))*$B$105</f>
        <v>0</v>
      </c>
      <c r="D105" s="659">
        <f>((D19+D49+D60+D80+D91+D95+D96)/(1-($B$103)))*$B$105</f>
        <v>0</v>
      </c>
      <c r="E105" s="561"/>
    </row>
    <row r="106" spans="1:5" ht="14.25" customHeight="1" x14ac:dyDescent="0.2">
      <c r="A106" s="556" t="s">
        <v>511</v>
      </c>
      <c r="B106" s="557">
        <f>B107+B108</f>
        <v>0.13250000000000001</v>
      </c>
      <c r="C106" s="558">
        <f>((C19+C49+C60+C80+C91+C95+C96)/(1-($B$106)))*$B$106</f>
        <v>0</v>
      </c>
      <c r="D106" s="657">
        <f>((D19+D49+D60+D80+D91+D95+D96)/(1-($B$106)))*$B$106</f>
        <v>0</v>
      </c>
    </row>
    <row r="107" spans="1:5" ht="14.25" customHeight="1" x14ac:dyDescent="0.2">
      <c r="A107" s="495" t="s">
        <v>507</v>
      </c>
      <c r="B107" s="500">
        <f>0.0165+0.076</f>
        <v>9.2499999999999999E-2</v>
      </c>
      <c r="C107" s="559">
        <f>((C19+C49+C60+C80+C91+C95+C96)/(1-($B$106)))*$B$107</f>
        <v>0</v>
      </c>
      <c r="D107" s="658">
        <f>((D19+D49+D60+D80+D91+D95+D96)/(1-($B$106)))*$B$107</f>
        <v>0</v>
      </c>
    </row>
    <row r="108" spans="1:5" ht="14.25" customHeight="1" x14ac:dyDescent="0.2">
      <c r="A108" s="495" t="s">
        <v>508</v>
      </c>
      <c r="B108" s="500">
        <v>0.04</v>
      </c>
      <c r="C108" s="560">
        <f>((C19+C49+C60+C80+C91+C95+C96)/(1-($B$106)))*$B$108</f>
        <v>0</v>
      </c>
      <c r="D108" s="659">
        <f>((D19+D49+D60+D80+D91+D95+D96)/(1-($B$106)))*$B$108</f>
        <v>0</v>
      </c>
    </row>
    <row r="109" spans="1:5" ht="14.25" customHeight="1" x14ac:dyDescent="0.2">
      <c r="A109" s="556" t="s">
        <v>512</v>
      </c>
      <c r="B109" s="557">
        <f>B110+B111</f>
        <v>0.14250000000000002</v>
      </c>
      <c r="C109" s="558">
        <f>((C19+C49+C60+C80+C91+C95+C96)/(1-($B$109)))*$B$109</f>
        <v>0</v>
      </c>
      <c r="D109" s="657">
        <f>((D19+D49+D60+D80+D91+D95+D96)/(1-($B$109)))*$B$109</f>
        <v>0</v>
      </c>
    </row>
    <row r="110" spans="1:5" ht="14.25" customHeight="1" x14ac:dyDescent="0.2">
      <c r="A110" s="495" t="s">
        <v>507</v>
      </c>
      <c r="B110" s="500">
        <f>0.0165+0.076</f>
        <v>9.2499999999999999E-2</v>
      </c>
      <c r="C110" s="559">
        <f>((C19+C49+C60+C80+C91+C95+C96)/(1-($B$109)))*$B$110</f>
        <v>0</v>
      </c>
      <c r="D110" s="658">
        <f>((D19+D49+D60+D80+D91+D95+D96)/(1-($B$109)))*$B$110</f>
        <v>0</v>
      </c>
    </row>
    <row r="111" spans="1:5" ht="14.25" customHeight="1" x14ac:dyDescent="0.2">
      <c r="A111" s="495" t="s">
        <v>508</v>
      </c>
      <c r="B111" s="562">
        <v>0.05</v>
      </c>
      <c r="C111" s="560">
        <f>((C19+C49+C60+C80+C91+C95+C96)/(1-($B$109)))*$B$111</f>
        <v>0</v>
      </c>
      <c r="D111" s="659">
        <f>((D19+D49+D60+D80+D91+D95+D96)/(1-($B$109)))*$B$111</f>
        <v>0</v>
      </c>
    </row>
    <row r="112" spans="1:5" ht="14.25" customHeight="1" x14ac:dyDescent="0.2">
      <c r="A112" s="829" t="s">
        <v>513</v>
      </c>
      <c r="B112" s="563">
        <v>0.02</v>
      </c>
      <c r="C112" s="564">
        <f>C95+C96+C97</f>
        <v>0</v>
      </c>
      <c r="D112" s="660">
        <f>D95+D96+D97</f>
        <v>0</v>
      </c>
    </row>
    <row r="113" spans="1:5" ht="14.25" customHeight="1" x14ac:dyDescent="0.2">
      <c r="A113" s="829"/>
      <c r="B113" s="565">
        <v>2.5000000000000001E-2</v>
      </c>
      <c r="C113" s="566">
        <f>C95+C96+C100</f>
        <v>0</v>
      </c>
      <c r="D113" s="661">
        <f>D95+D96+D100</f>
        <v>0</v>
      </c>
    </row>
    <row r="114" spans="1:5" ht="14.25" customHeight="1" x14ac:dyDescent="0.2">
      <c r="A114" s="829"/>
      <c r="B114" s="565">
        <v>0.03</v>
      </c>
      <c r="C114" s="566">
        <f>C95+C96+C103</f>
        <v>0</v>
      </c>
      <c r="D114" s="661">
        <f>D95+D96+D103</f>
        <v>0</v>
      </c>
      <c r="E114" s="561"/>
    </row>
    <row r="115" spans="1:5" ht="14.25" customHeight="1" x14ac:dyDescent="0.2">
      <c r="A115" s="829"/>
      <c r="B115" s="565">
        <v>0.04</v>
      </c>
      <c r="C115" s="566">
        <f>C95+C96+C106</f>
        <v>0</v>
      </c>
      <c r="D115" s="661">
        <f>D95+D96+D106</f>
        <v>0</v>
      </c>
    </row>
    <row r="116" spans="1:5" ht="14.25" customHeight="1" x14ac:dyDescent="0.2">
      <c r="A116" s="829"/>
      <c r="B116" s="567">
        <v>0.05</v>
      </c>
      <c r="C116" s="568">
        <f>C95+C96+C109</f>
        <v>0</v>
      </c>
      <c r="D116" s="662">
        <f>D95+D96+D109</f>
        <v>0</v>
      </c>
    </row>
    <row r="117" spans="1:5" ht="14.25" customHeight="1" x14ac:dyDescent="0.2">
      <c r="A117" s="495" t="s">
        <v>514</v>
      </c>
      <c r="B117" s="569"/>
      <c r="C117" s="570"/>
      <c r="D117" s="572"/>
    </row>
    <row r="118" spans="1:5" ht="14.25" customHeight="1" x14ac:dyDescent="0.2">
      <c r="A118" s="573"/>
      <c r="B118" s="574"/>
      <c r="C118" s="575"/>
      <c r="D118" s="577"/>
    </row>
    <row r="119" spans="1:5" ht="7.5" customHeight="1" x14ac:dyDescent="0.2">
      <c r="A119" s="830"/>
      <c r="B119" s="830"/>
      <c r="C119" s="830"/>
      <c r="D119" s="830"/>
    </row>
    <row r="120" spans="1:5" ht="7.5" customHeight="1" x14ac:dyDescent="0.2">
      <c r="A120" s="831"/>
      <c r="B120" s="831"/>
      <c r="C120" s="831"/>
      <c r="D120" s="831"/>
    </row>
    <row r="121" spans="1:5" ht="54.75" customHeight="1" x14ac:dyDescent="0.2">
      <c r="A121" s="832" t="s">
        <v>515</v>
      </c>
      <c r="B121" s="832"/>
      <c r="C121" s="578" t="str">
        <f>C10</f>
        <v>Servente 44h COVID</v>
      </c>
      <c r="D121" s="580" t="str">
        <f>D10</f>
        <v>Servente 30h COVID</v>
      </c>
    </row>
    <row r="122" spans="1:5" ht="15.75" customHeight="1" x14ac:dyDescent="0.2">
      <c r="A122" s="833" t="s">
        <v>516</v>
      </c>
      <c r="B122" s="833"/>
      <c r="C122" s="581" t="s">
        <v>445</v>
      </c>
      <c r="D122" s="582" t="s">
        <v>445</v>
      </c>
    </row>
    <row r="123" spans="1:5" ht="14.25" customHeight="1" x14ac:dyDescent="0.2">
      <c r="A123" s="834" t="s">
        <v>517</v>
      </c>
      <c r="B123" s="834"/>
      <c r="C123" s="583">
        <f>C19</f>
        <v>0</v>
      </c>
      <c r="D123" s="584">
        <f>D19</f>
        <v>0</v>
      </c>
    </row>
    <row r="124" spans="1:5" ht="14.25" customHeight="1" x14ac:dyDescent="0.2">
      <c r="A124" s="835" t="s">
        <v>518</v>
      </c>
      <c r="B124" s="835"/>
      <c r="C124" s="585">
        <f>C49</f>
        <v>0</v>
      </c>
      <c r="D124" s="586">
        <f>D49</f>
        <v>0</v>
      </c>
    </row>
    <row r="125" spans="1:5" ht="14.25" customHeight="1" x14ac:dyDescent="0.2">
      <c r="A125" s="835" t="s">
        <v>519</v>
      </c>
      <c r="B125" s="835"/>
      <c r="C125" s="585">
        <f>C60</f>
        <v>0</v>
      </c>
      <c r="D125" s="586">
        <f>D60</f>
        <v>0</v>
      </c>
    </row>
    <row r="126" spans="1:5" ht="14.25" customHeight="1" x14ac:dyDescent="0.2">
      <c r="A126" s="835" t="s">
        <v>520</v>
      </c>
      <c r="B126" s="835"/>
      <c r="C126" s="585">
        <f>C80</f>
        <v>0</v>
      </c>
      <c r="D126" s="586">
        <f>D80</f>
        <v>0</v>
      </c>
    </row>
    <row r="127" spans="1:5" ht="15.75" customHeight="1" x14ac:dyDescent="0.2">
      <c r="A127" s="835" t="s">
        <v>521</v>
      </c>
      <c r="B127" s="835"/>
      <c r="C127" s="585">
        <f>C91</f>
        <v>0</v>
      </c>
      <c r="D127" s="586">
        <f>D91</f>
        <v>0</v>
      </c>
    </row>
    <row r="128" spans="1:5" ht="15.75" customHeight="1" x14ac:dyDescent="0.2">
      <c r="A128" s="836" t="s">
        <v>522</v>
      </c>
      <c r="B128" s="836"/>
      <c r="C128" s="587">
        <f>SUM(C123:C127)</f>
        <v>0</v>
      </c>
      <c r="D128" s="589">
        <f>SUM(D123:D127)</f>
        <v>0</v>
      </c>
    </row>
    <row r="129" spans="1:4" ht="15.75" customHeight="1" x14ac:dyDescent="0.2">
      <c r="A129" s="837" t="s">
        <v>523</v>
      </c>
      <c r="B129" s="837"/>
      <c r="C129" s="590">
        <f t="shared" ref="C129:D133" si="2">C112</f>
        <v>0</v>
      </c>
      <c r="D129" s="591">
        <f t="shared" si="2"/>
        <v>0</v>
      </c>
    </row>
    <row r="130" spans="1:4" ht="15.75" customHeight="1" x14ac:dyDescent="0.2">
      <c r="A130" s="835" t="s">
        <v>524</v>
      </c>
      <c r="B130" s="835"/>
      <c r="C130" s="592">
        <f t="shared" si="2"/>
        <v>0</v>
      </c>
      <c r="D130" s="593">
        <f t="shared" si="2"/>
        <v>0</v>
      </c>
    </row>
    <row r="131" spans="1:4" ht="15.75" customHeight="1" x14ac:dyDescent="0.2">
      <c r="A131" s="835" t="s">
        <v>525</v>
      </c>
      <c r="B131" s="835"/>
      <c r="C131" s="592">
        <f t="shared" si="2"/>
        <v>0</v>
      </c>
      <c r="D131" s="593">
        <f t="shared" si="2"/>
        <v>0</v>
      </c>
    </row>
    <row r="132" spans="1:4" ht="15.75" customHeight="1" x14ac:dyDescent="0.2">
      <c r="A132" s="835" t="s">
        <v>526</v>
      </c>
      <c r="B132" s="835"/>
      <c r="C132" s="592">
        <f t="shared" si="2"/>
        <v>0</v>
      </c>
      <c r="D132" s="593">
        <f t="shared" si="2"/>
        <v>0</v>
      </c>
    </row>
    <row r="133" spans="1:4" ht="15.75" customHeight="1" x14ac:dyDescent="0.2">
      <c r="A133" s="837" t="s">
        <v>527</v>
      </c>
      <c r="B133" s="837"/>
      <c r="C133" s="592">
        <f t="shared" si="2"/>
        <v>0</v>
      </c>
      <c r="D133" s="593">
        <f t="shared" si="2"/>
        <v>0</v>
      </c>
    </row>
    <row r="134" spans="1:4" ht="15.75" customHeight="1" x14ac:dyDescent="0.2">
      <c r="A134" s="594" t="s">
        <v>528</v>
      </c>
      <c r="B134" s="595"/>
      <c r="C134" s="596">
        <f>C128+C129</f>
        <v>0</v>
      </c>
      <c r="D134" s="597">
        <f>D128+D129</f>
        <v>0</v>
      </c>
    </row>
    <row r="135" spans="1:4" ht="15.75" customHeight="1" x14ac:dyDescent="0.2">
      <c r="A135" s="598" t="s">
        <v>529</v>
      </c>
      <c r="B135" s="599"/>
      <c r="C135" s="600">
        <f>C128+C130</f>
        <v>0</v>
      </c>
      <c r="D135" s="601">
        <f>D128+D130</f>
        <v>0</v>
      </c>
    </row>
    <row r="136" spans="1:4" ht="15.75" customHeight="1" x14ac:dyDescent="0.2">
      <c r="A136" s="598" t="s">
        <v>530</v>
      </c>
      <c r="B136" s="599"/>
      <c r="C136" s="600">
        <f>C128+C131</f>
        <v>0</v>
      </c>
      <c r="D136" s="601">
        <f>D128+D131</f>
        <v>0</v>
      </c>
    </row>
    <row r="137" spans="1:4" ht="15.75" customHeight="1" x14ac:dyDescent="0.2">
      <c r="A137" s="598" t="s">
        <v>531</v>
      </c>
      <c r="B137" s="599"/>
      <c r="C137" s="600">
        <f>C128+C132</f>
        <v>0</v>
      </c>
      <c r="D137" s="601">
        <f>D128+D132</f>
        <v>0</v>
      </c>
    </row>
    <row r="138" spans="1:4" ht="15.75" customHeight="1" x14ac:dyDescent="0.2">
      <c r="A138" s="598" t="s">
        <v>532</v>
      </c>
      <c r="B138" s="599"/>
      <c r="C138" s="600">
        <f>C128+C133</f>
        <v>0</v>
      </c>
      <c r="D138" s="601">
        <f>D128+D133</f>
        <v>0</v>
      </c>
    </row>
    <row r="139" spans="1:4" ht="15.75" customHeight="1" x14ac:dyDescent="0.2">
      <c r="A139" s="602" t="s">
        <v>533</v>
      </c>
      <c r="B139" s="603"/>
      <c r="C139" s="604">
        <f>C134/220</f>
        <v>0</v>
      </c>
      <c r="D139" s="663"/>
    </row>
    <row r="140" spans="1:4" ht="15.75" customHeight="1" x14ac:dyDescent="0.2">
      <c r="A140" s="607" t="s">
        <v>534</v>
      </c>
      <c r="B140" s="608"/>
      <c r="C140" s="609">
        <f>C135/220</f>
        <v>0</v>
      </c>
      <c r="D140" s="664"/>
    </row>
    <row r="141" spans="1:4" ht="15.75" customHeight="1" x14ac:dyDescent="0.2">
      <c r="A141" s="607" t="s">
        <v>535</v>
      </c>
      <c r="B141" s="608"/>
      <c r="C141" s="609">
        <f>C136/220</f>
        <v>0</v>
      </c>
      <c r="D141" s="664"/>
    </row>
    <row r="142" spans="1:4" ht="15.75" customHeight="1" x14ac:dyDescent="0.2">
      <c r="A142" s="607" t="s">
        <v>536</v>
      </c>
      <c r="B142" s="608"/>
      <c r="C142" s="609">
        <f>C137/220</f>
        <v>0</v>
      </c>
      <c r="D142" s="664"/>
    </row>
    <row r="143" spans="1:4" ht="15.75" customHeight="1" x14ac:dyDescent="0.2">
      <c r="A143" s="612" t="s">
        <v>537</v>
      </c>
      <c r="B143" s="613"/>
      <c r="C143" s="614">
        <f>C138/220</f>
        <v>0</v>
      </c>
      <c r="D143" s="665"/>
    </row>
    <row r="144" spans="1:4" x14ac:dyDescent="0.2">
      <c r="A144" s="617"/>
    </row>
  </sheetData>
  <mergeCells count="27">
    <mergeCell ref="A132:B132"/>
    <mergeCell ref="A133:B133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D119"/>
    <mergeCell ref="A120:D120"/>
    <mergeCell ref="A121:B121"/>
    <mergeCell ref="A21:D21"/>
    <mergeCell ref="A50:B50"/>
    <mergeCell ref="A51:D51"/>
    <mergeCell ref="A61:B61"/>
    <mergeCell ref="A62:D62"/>
    <mergeCell ref="A1:D1"/>
    <mergeCell ref="A2:D2"/>
    <mergeCell ref="A3:D3"/>
    <mergeCell ref="A9:D9"/>
    <mergeCell ref="A20:B2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7070"/>
  </sheetPr>
  <dimension ref="A1:AMK148"/>
  <sheetViews>
    <sheetView zoomScale="80" zoomScaleNormal="80" workbookViewId="0">
      <pane xSplit="1" topLeftCell="G1" activePane="topRight" state="frozen"/>
      <selection pane="topRight" activeCell="G5" sqref="G5"/>
    </sheetView>
  </sheetViews>
  <sheetFormatPr defaultRowHeight="15" x14ac:dyDescent="0.25"/>
  <cols>
    <col min="1" max="1" width="26.5" style="322" customWidth="1"/>
    <col min="2" max="2" width="5.375" style="322" customWidth="1"/>
    <col min="3" max="28" width="9" style="322" customWidth="1"/>
    <col min="29" max="29" width="16.625" style="271" customWidth="1"/>
    <col min="30" max="1012" width="9" style="271" customWidth="1"/>
    <col min="1013" max="1025" width="9" style="322" customWidth="1"/>
  </cols>
  <sheetData>
    <row r="1" spans="1:1014" x14ac:dyDescent="0.25">
      <c r="A1" s="271"/>
      <c r="B1" s="271"/>
      <c r="C1" s="803" t="s">
        <v>313</v>
      </c>
      <c r="D1" s="803"/>
      <c r="E1" s="803"/>
      <c r="F1" s="803"/>
      <c r="G1" s="804" t="s">
        <v>314</v>
      </c>
      <c r="H1" s="804"/>
      <c r="I1" s="804"/>
      <c r="J1" s="805" t="s">
        <v>315</v>
      </c>
      <c r="K1" s="805"/>
      <c r="L1" s="805"/>
      <c r="M1" s="271"/>
      <c r="N1" s="271"/>
      <c r="O1" s="271"/>
      <c r="P1" s="271"/>
      <c r="Q1" s="271"/>
      <c r="R1" s="271"/>
      <c r="S1" s="271"/>
      <c r="T1" s="271"/>
      <c r="U1" s="271"/>
      <c r="V1" s="806" t="s">
        <v>377</v>
      </c>
      <c r="W1" s="806"/>
      <c r="X1" s="806"/>
      <c r="Y1" s="806"/>
      <c r="Z1" s="806"/>
      <c r="AA1" s="806"/>
      <c r="AB1" s="272"/>
      <c r="AC1" s="339"/>
      <c r="AD1" s="272"/>
      <c r="AE1" s="272"/>
    </row>
    <row r="2" spans="1:1014" ht="55.5" customHeight="1" x14ac:dyDescent="0.25">
      <c r="A2" s="807" t="s">
        <v>322</v>
      </c>
      <c r="B2" s="843" t="s">
        <v>73</v>
      </c>
      <c r="C2" s="809" t="s">
        <v>324</v>
      </c>
      <c r="D2" s="791" t="s">
        <v>325</v>
      </c>
      <c r="E2" s="790" t="s">
        <v>326</v>
      </c>
      <c r="F2" s="810" t="s">
        <v>327</v>
      </c>
      <c r="G2" s="811" t="s">
        <v>328</v>
      </c>
      <c r="H2" s="786" t="s">
        <v>378</v>
      </c>
      <c r="I2" s="812" t="s">
        <v>330</v>
      </c>
      <c r="J2" s="813" t="s">
        <v>331</v>
      </c>
      <c r="K2" s="798" t="s">
        <v>332</v>
      </c>
      <c r="L2" s="814" t="s">
        <v>333</v>
      </c>
      <c r="M2" s="844" t="s">
        <v>379</v>
      </c>
      <c r="N2" s="820" t="s">
        <v>380</v>
      </c>
      <c r="O2" s="820"/>
      <c r="P2" s="821" t="s">
        <v>381</v>
      </c>
      <c r="Q2" s="821"/>
      <c r="R2" s="341" t="s">
        <v>382</v>
      </c>
      <c r="S2" s="342" t="s">
        <v>383</v>
      </c>
      <c r="T2" s="666" t="s">
        <v>384</v>
      </c>
      <c r="U2" s="344" t="s">
        <v>385</v>
      </c>
      <c r="V2" s="822" t="s">
        <v>386</v>
      </c>
      <c r="W2" s="822"/>
      <c r="X2" s="822"/>
      <c r="Y2" s="823" t="s">
        <v>387</v>
      </c>
      <c r="Z2" s="823"/>
      <c r="AA2" s="823"/>
      <c r="AB2" s="815" t="s">
        <v>388</v>
      </c>
      <c r="AC2" s="816" t="s">
        <v>389</v>
      </c>
      <c r="AD2" s="817" t="s">
        <v>73</v>
      </c>
      <c r="AE2" s="818" t="s">
        <v>74</v>
      </c>
      <c r="ALY2" s="271"/>
      <c r="ALZ2" s="271"/>
    </row>
    <row r="3" spans="1:1014" ht="26.25" customHeight="1" x14ac:dyDescent="0.25">
      <c r="A3" s="807"/>
      <c r="B3" s="843"/>
      <c r="C3" s="809"/>
      <c r="D3" s="791"/>
      <c r="E3" s="790"/>
      <c r="F3" s="810"/>
      <c r="G3" s="811"/>
      <c r="H3" s="786"/>
      <c r="I3" s="812"/>
      <c r="J3" s="813"/>
      <c r="K3" s="798"/>
      <c r="L3" s="814"/>
      <c r="M3" s="844"/>
      <c r="N3" s="345" t="s">
        <v>390</v>
      </c>
      <c r="O3" s="340" t="s">
        <v>391</v>
      </c>
      <c r="P3" s="346" t="s">
        <v>390</v>
      </c>
      <c r="Q3" s="347" t="s">
        <v>391</v>
      </c>
      <c r="R3" s="348" t="s">
        <v>392</v>
      </c>
      <c r="S3" s="349" t="s">
        <v>392</v>
      </c>
      <c r="T3" s="667" t="s">
        <v>393</v>
      </c>
      <c r="U3" s="668" t="s">
        <v>391</v>
      </c>
      <c r="V3" s="350" t="s">
        <v>391</v>
      </c>
      <c r="W3" s="351" t="s">
        <v>390</v>
      </c>
      <c r="X3" s="351" t="s">
        <v>394</v>
      </c>
      <c r="Y3" s="352" t="s">
        <v>391</v>
      </c>
      <c r="Z3" s="351" t="s">
        <v>390</v>
      </c>
      <c r="AA3" s="353" t="s">
        <v>394</v>
      </c>
      <c r="AB3" s="815"/>
      <c r="AC3" s="816"/>
      <c r="AD3" s="817"/>
      <c r="AE3" s="818"/>
      <c r="ALY3" s="271"/>
      <c r="ALZ3" s="271"/>
    </row>
    <row r="4" spans="1:1014" ht="15" customHeight="1" x14ac:dyDescent="0.25">
      <c r="A4" s="669" t="s">
        <v>80</v>
      </c>
      <c r="B4" s="670">
        <f>'Resumo Proposta'!D24</f>
        <v>0</v>
      </c>
      <c r="C4" s="671">
        <v>2821</v>
      </c>
      <c r="D4" s="672">
        <v>203</v>
      </c>
      <c r="E4" s="672"/>
      <c r="F4" s="672">
        <v>96.31</v>
      </c>
      <c r="G4" s="672">
        <v>746.9</v>
      </c>
      <c r="H4" s="356"/>
      <c r="I4" s="356"/>
      <c r="J4" s="356"/>
      <c r="K4" s="356"/>
      <c r="L4" s="673">
        <v>1152.56</v>
      </c>
      <c r="M4" s="674">
        <f t="shared" ref="M4:M16" si="0">C4/$C$18+D4/$D$18+E4/$E$18+F4/$F$18+G4/$G$18+H4/$H$18+I4/$I$18+K4/(($K$18*188.76)/16)+L4/(($L$18*188.76)/16)</f>
        <v>4.7935233785099403</v>
      </c>
      <c r="N4" s="675" t="s">
        <v>406</v>
      </c>
      <c r="O4" s="676">
        <v>6</v>
      </c>
      <c r="P4" s="677" t="s">
        <v>406</v>
      </c>
      <c r="Q4" s="677">
        <v>2</v>
      </c>
      <c r="R4" s="362">
        <v>6</v>
      </c>
      <c r="S4" s="363">
        <v>6</v>
      </c>
      <c r="T4" s="678">
        <v>22</v>
      </c>
      <c r="U4" s="679">
        <v>1</v>
      </c>
      <c r="V4" s="680">
        <v>5</v>
      </c>
      <c r="W4" s="681" t="s">
        <v>406</v>
      </c>
      <c r="X4" s="682" t="s">
        <v>406</v>
      </c>
      <c r="Y4" s="681" t="s">
        <v>406</v>
      </c>
      <c r="Z4" s="681" t="s">
        <v>406</v>
      </c>
      <c r="AA4" s="682" t="s">
        <v>406</v>
      </c>
      <c r="AB4" s="683">
        <v>11</v>
      </c>
      <c r="AC4" s="684" t="s">
        <v>575</v>
      </c>
      <c r="AD4" s="685">
        <v>5</v>
      </c>
      <c r="AE4" s="686">
        <v>4.25</v>
      </c>
    </row>
    <row r="5" spans="1:1014" ht="15" customHeight="1" x14ac:dyDescent="0.25">
      <c r="A5" s="687" t="s">
        <v>82</v>
      </c>
      <c r="B5" s="688">
        <f>'Resumo Proposta'!D25</f>
        <v>0</v>
      </c>
      <c r="C5" s="689">
        <v>165</v>
      </c>
      <c r="D5" s="690">
        <v>1835</v>
      </c>
      <c r="E5" s="691"/>
      <c r="F5" s="691">
        <v>24.5</v>
      </c>
      <c r="G5" s="691">
        <v>135</v>
      </c>
      <c r="H5" s="356"/>
      <c r="I5" s="356"/>
      <c r="J5" s="356"/>
      <c r="K5" s="356"/>
      <c r="L5" s="692">
        <v>30</v>
      </c>
      <c r="M5" s="693">
        <f t="shared" si="0"/>
        <v>1.6192553576199822</v>
      </c>
      <c r="N5" s="694" t="s">
        <v>406</v>
      </c>
      <c r="O5" s="695">
        <v>2</v>
      </c>
      <c r="P5" s="696" t="s">
        <v>406</v>
      </c>
      <c r="Q5" s="696" t="s">
        <v>406</v>
      </c>
      <c r="R5" s="378">
        <v>6</v>
      </c>
      <c r="S5" s="379">
        <v>6</v>
      </c>
      <c r="T5" s="697"/>
      <c r="U5" s="698"/>
      <c r="V5" s="680">
        <v>2</v>
      </c>
      <c r="W5" s="681" t="s">
        <v>406</v>
      </c>
      <c r="X5" s="682" t="s">
        <v>406</v>
      </c>
      <c r="Y5" s="681" t="s">
        <v>406</v>
      </c>
      <c r="Z5" s="681" t="s">
        <v>406</v>
      </c>
      <c r="AA5" s="682" t="s">
        <v>406</v>
      </c>
      <c r="AB5" s="683" t="s">
        <v>576</v>
      </c>
      <c r="AC5" s="699" t="s">
        <v>576</v>
      </c>
      <c r="AD5" s="685">
        <v>5</v>
      </c>
      <c r="AE5" s="686">
        <v>5</v>
      </c>
    </row>
    <row r="6" spans="1:1014" ht="15" customHeight="1" x14ac:dyDescent="0.25">
      <c r="A6" s="687" t="s">
        <v>84</v>
      </c>
      <c r="B6" s="688">
        <f>'Resumo Proposta'!D26</f>
        <v>0</v>
      </c>
      <c r="C6" s="700">
        <v>1516</v>
      </c>
      <c r="D6" s="691">
        <v>666.5</v>
      </c>
      <c r="E6" s="691">
        <v>542.46</v>
      </c>
      <c r="F6" s="691">
        <v>60.67</v>
      </c>
      <c r="G6" s="691">
        <v>700</v>
      </c>
      <c r="H6" s="356"/>
      <c r="I6" s="356"/>
      <c r="J6" s="356"/>
      <c r="K6" s="356"/>
      <c r="L6" s="692">
        <v>241.7</v>
      </c>
      <c r="M6" s="693">
        <f t="shared" si="0"/>
        <v>3.5577824640752311</v>
      </c>
      <c r="N6" s="694" t="s">
        <v>406</v>
      </c>
      <c r="O6" s="695">
        <v>3</v>
      </c>
      <c r="P6" s="696" t="s">
        <v>406</v>
      </c>
      <c r="Q6" s="696">
        <v>1</v>
      </c>
      <c r="R6" s="378">
        <v>6</v>
      </c>
      <c r="S6" s="379">
        <v>6</v>
      </c>
      <c r="T6" s="701"/>
      <c r="U6" s="698"/>
      <c r="V6" s="680">
        <v>3</v>
      </c>
      <c r="W6" s="681" t="s">
        <v>406</v>
      </c>
      <c r="X6" s="682" t="s">
        <v>406</v>
      </c>
      <c r="Y6" s="681" t="s">
        <v>406</v>
      </c>
      <c r="Z6" s="681" t="s">
        <v>406</v>
      </c>
      <c r="AA6" s="682" t="s">
        <v>406</v>
      </c>
      <c r="AB6" s="683">
        <v>4</v>
      </c>
      <c r="AC6" s="702" t="s">
        <v>577</v>
      </c>
      <c r="AD6" s="703">
        <v>3</v>
      </c>
      <c r="AE6" s="686">
        <v>4.2</v>
      </c>
    </row>
    <row r="7" spans="1:1014" ht="15" customHeight="1" x14ac:dyDescent="0.25">
      <c r="A7" s="687" t="s">
        <v>86</v>
      </c>
      <c r="B7" s="688">
        <f>'Resumo Proposta'!D27</f>
        <v>0</v>
      </c>
      <c r="C7" s="689">
        <v>467</v>
      </c>
      <c r="D7" s="691">
        <v>48</v>
      </c>
      <c r="E7" s="691"/>
      <c r="F7" s="691">
        <v>24.24</v>
      </c>
      <c r="G7" s="691">
        <v>806</v>
      </c>
      <c r="H7" s="356"/>
      <c r="I7" s="356"/>
      <c r="J7" s="356"/>
      <c r="K7" s="356"/>
      <c r="L7" s="692">
        <v>111.2</v>
      </c>
      <c r="M7" s="693">
        <f t="shared" si="0"/>
        <v>1.1188038685732362</v>
      </c>
      <c r="N7" s="694" t="s">
        <v>406</v>
      </c>
      <c r="O7" s="695">
        <v>1</v>
      </c>
      <c r="P7" s="696">
        <v>1</v>
      </c>
      <c r="Q7" s="696" t="s">
        <v>406</v>
      </c>
      <c r="R7" s="378">
        <v>6</v>
      </c>
      <c r="S7" s="379">
        <v>6</v>
      </c>
      <c r="T7" s="701"/>
      <c r="U7" s="698"/>
      <c r="V7" s="680">
        <v>1</v>
      </c>
      <c r="W7" s="681" t="s">
        <v>406</v>
      </c>
      <c r="X7" s="682" t="s">
        <v>406</v>
      </c>
      <c r="Y7" s="681" t="s">
        <v>406</v>
      </c>
      <c r="Z7" s="681" t="s">
        <v>406</v>
      </c>
      <c r="AA7" s="682" t="s">
        <v>406</v>
      </c>
      <c r="AB7" s="683">
        <v>2</v>
      </c>
      <c r="AC7" s="699" t="s">
        <v>578</v>
      </c>
      <c r="AD7" s="703">
        <v>4</v>
      </c>
      <c r="AE7" s="686">
        <v>4.5999999999999996</v>
      </c>
    </row>
    <row r="8" spans="1:1014" ht="15" customHeight="1" x14ac:dyDescent="0.25">
      <c r="A8" s="687" t="s">
        <v>88</v>
      </c>
      <c r="B8" s="688">
        <f>'Resumo Proposta'!D28</f>
        <v>0</v>
      </c>
      <c r="C8" s="689">
        <v>809.64</v>
      </c>
      <c r="D8" s="691">
        <v>125</v>
      </c>
      <c r="E8" s="691"/>
      <c r="F8" s="691">
        <v>29.38</v>
      </c>
      <c r="G8" s="691">
        <v>79.42</v>
      </c>
      <c r="H8" s="356"/>
      <c r="I8" s="356"/>
      <c r="J8" s="356"/>
      <c r="K8" s="356"/>
      <c r="L8" s="692">
        <v>74.61</v>
      </c>
      <c r="M8" s="693">
        <f t="shared" si="0"/>
        <v>1.2978945055603157</v>
      </c>
      <c r="N8" s="694" t="s">
        <v>406</v>
      </c>
      <c r="O8" s="695">
        <v>1</v>
      </c>
      <c r="P8" s="696" t="s">
        <v>406</v>
      </c>
      <c r="Q8" s="696" t="s">
        <v>406</v>
      </c>
      <c r="R8" s="378">
        <v>6</v>
      </c>
      <c r="S8" s="379">
        <v>6</v>
      </c>
      <c r="T8" s="701"/>
      <c r="U8" s="698"/>
      <c r="V8" s="680">
        <v>1</v>
      </c>
      <c r="W8" s="681" t="s">
        <v>406</v>
      </c>
      <c r="X8" s="682" t="s">
        <v>406</v>
      </c>
      <c r="Y8" s="681" t="s">
        <v>406</v>
      </c>
      <c r="Z8" s="681" t="s">
        <v>406</v>
      </c>
      <c r="AA8" s="682" t="s">
        <v>406</v>
      </c>
      <c r="AB8" s="683" t="s">
        <v>576</v>
      </c>
      <c r="AC8" s="699" t="s">
        <v>576</v>
      </c>
      <c r="AD8" s="685">
        <v>5</v>
      </c>
      <c r="AE8" s="686">
        <v>4.5</v>
      </c>
      <c r="AF8" s="386"/>
    </row>
    <row r="9" spans="1:1014" ht="15" customHeight="1" x14ac:dyDescent="0.25">
      <c r="A9" s="687" t="s">
        <v>90</v>
      </c>
      <c r="B9" s="688">
        <f>'Resumo Proposta'!D29</f>
        <v>0</v>
      </c>
      <c r="C9" s="689">
        <v>519.29999999999995</v>
      </c>
      <c r="D9" s="691">
        <v>30</v>
      </c>
      <c r="E9" s="691"/>
      <c r="F9" s="691">
        <v>22.51</v>
      </c>
      <c r="G9" s="691">
        <v>521</v>
      </c>
      <c r="H9" s="356"/>
      <c r="I9" s="356"/>
      <c r="J9" s="356"/>
      <c r="K9" s="356"/>
      <c r="L9" s="692">
        <v>102.1</v>
      </c>
      <c r="M9" s="693">
        <f t="shared" si="0"/>
        <v>1.0370446588874453</v>
      </c>
      <c r="N9" s="694" t="s">
        <v>406</v>
      </c>
      <c r="O9" s="695">
        <v>1</v>
      </c>
      <c r="P9" s="696" t="s">
        <v>406</v>
      </c>
      <c r="Q9" s="696" t="s">
        <v>406</v>
      </c>
      <c r="R9" s="378">
        <v>6</v>
      </c>
      <c r="S9" s="379">
        <v>6</v>
      </c>
      <c r="T9" s="701"/>
      <c r="U9" s="698"/>
      <c r="V9" s="680">
        <v>1</v>
      </c>
      <c r="W9" s="681" t="s">
        <v>406</v>
      </c>
      <c r="X9" s="682" t="s">
        <v>406</v>
      </c>
      <c r="Y9" s="681" t="s">
        <v>406</v>
      </c>
      <c r="Z9" s="681" t="s">
        <v>406</v>
      </c>
      <c r="AA9" s="682" t="s">
        <v>406</v>
      </c>
      <c r="AB9" s="683" t="s">
        <v>576</v>
      </c>
      <c r="AC9" s="699" t="s">
        <v>576</v>
      </c>
      <c r="AD9" s="704">
        <v>4</v>
      </c>
      <c r="AE9" s="686"/>
    </row>
    <row r="10" spans="1:1014" ht="15" customHeight="1" x14ac:dyDescent="0.25">
      <c r="A10" s="687" t="s">
        <v>92</v>
      </c>
      <c r="B10" s="688">
        <f>'Resumo Proposta'!D30</f>
        <v>0</v>
      </c>
      <c r="C10" s="700">
        <v>1313</v>
      </c>
      <c r="D10" s="691"/>
      <c r="E10" s="690">
        <v>2211</v>
      </c>
      <c r="F10" s="691">
        <v>68.430000000000007</v>
      </c>
      <c r="G10" s="691">
        <v>307.11</v>
      </c>
      <c r="H10" s="356"/>
      <c r="I10" s="356"/>
      <c r="J10" s="356"/>
      <c r="K10" s="356"/>
      <c r="L10" s="692">
        <v>730.59</v>
      </c>
      <c r="M10" s="693">
        <f t="shared" si="0"/>
        <v>4.5343511770179754</v>
      </c>
      <c r="N10" s="694" t="s">
        <v>406</v>
      </c>
      <c r="O10" s="695">
        <v>4</v>
      </c>
      <c r="P10" s="696">
        <v>1</v>
      </c>
      <c r="Q10" s="696">
        <v>1</v>
      </c>
      <c r="R10" s="378">
        <v>6</v>
      </c>
      <c r="S10" s="379">
        <v>6</v>
      </c>
      <c r="T10" s="701"/>
      <c r="U10" s="698"/>
      <c r="V10" s="680">
        <v>4</v>
      </c>
      <c r="W10" s="681" t="s">
        <v>406</v>
      </c>
      <c r="X10" s="682" t="s">
        <v>406</v>
      </c>
      <c r="Y10" s="681" t="s">
        <v>406</v>
      </c>
      <c r="Z10" s="681" t="s">
        <v>406</v>
      </c>
      <c r="AA10" s="682" t="s">
        <v>406</v>
      </c>
      <c r="AB10" s="683">
        <v>9</v>
      </c>
      <c r="AC10" s="702" t="s">
        <v>579</v>
      </c>
      <c r="AD10" s="685">
        <v>3</v>
      </c>
      <c r="AE10" s="686">
        <v>4.5</v>
      </c>
    </row>
    <row r="11" spans="1:1014" ht="15" customHeight="1" x14ac:dyDescent="0.25">
      <c r="A11" s="687" t="s">
        <v>94</v>
      </c>
      <c r="B11" s="688">
        <f>'Resumo Proposta'!D31</f>
        <v>0</v>
      </c>
      <c r="C11" s="689">
        <v>498</v>
      </c>
      <c r="D11" s="691">
        <v>58</v>
      </c>
      <c r="E11" s="691"/>
      <c r="F11" s="691">
        <v>17.52</v>
      </c>
      <c r="G11" s="691">
        <v>107.15</v>
      </c>
      <c r="H11" s="356"/>
      <c r="I11" s="356"/>
      <c r="J11" s="356"/>
      <c r="K11" s="356"/>
      <c r="L11" s="692">
        <v>115.3</v>
      </c>
      <c r="M11" s="693">
        <f t="shared" si="0"/>
        <v>0.82793114667502021</v>
      </c>
      <c r="N11" s="694" t="s">
        <v>406</v>
      </c>
      <c r="O11" s="695">
        <v>1</v>
      </c>
      <c r="P11" s="696" t="s">
        <v>406</v>
      </c>
      <c r="Q11" s="696" t="s">
        <v>406</v>
      </c>
      <c r="R11" s="378">
        <v>6</v>
      </c>
      <c r="S11" s="379">
        <v>6</v>
      </c>
      <c r="T11" s="701"/>
      <c r="U11" s="698"/>
      <c r="V11" s="680">
        <v>1</v>
      </c>
      <c r="W11" s="681" t="s">
        <v>406</v>
      </c>
      <c r="X11" s="682" t="s">
        <v>406</v>
      </c>
      <c r="Y11" s="681" t="s">
        <v>406</v>
      </c>
      <c r="Z11" s="681" t="s">
        <v>406</v>
      </c>
      <c r="AA11" s="682" t="s">
        <v>406</v>
      </c>
      <c r="AB11" s="683" t="s">
        <v>576</v>
      </c>
      <c r="AC11" s="699" t="s">
        <v>576</v>
      </c>
      <c r="AD11" s="704">
        <v>3</v>
      </c>
      <c r="AE11" s="686">
        <v>5</v>
      </c>
      <c r="AF11" s="386"/>
    </row>
    <row r="12" spans="1:1014" ht="15" customHeight="1" x14ac:dyDescent="0.25">
      <c r="A12" s="687" t="s">
        <v>96</v>
      </c>
      <c r="B12" s="688">
        <f>'Resumo Proposta'!D32</f>
        <v>0</v>
      </c>
      <c r="C12" s="689">
        <v>276</v>
      </c>
      <c r="D12" s="691">
        <v>74</v>
      </c>
      <c r="E12" s="691"/>
      <c r="F12" s="691">
        <v>15.55</v>
      </c>
      <c r="G12" s="691">
        <v>59</v>
      </c>
      <c r="H12" s="356"/>
      <c r="I12" s="356"/>
      <c r="J12" s="356"/>
      <c r="K12" s="356"/>
      <c r="L12" s="692">
        <v>97.57</v>
      </c>
      <c r="M12" s="693">
        <f t="shared" si="0"/>
        <v>0.52530349481436434</v>
      </c>
      <c r="N12" s="694" t="s">
        <v>406</v>
      </c>
      <c r="O12" s="695">
        <v>1</v>
      </c>
      <c r="P12" s="696" t="s">
        <v>406</v>
      </c>
      <c r="Q12" s="696" t="s">
        <v>406</v>
      </c>
      <c r="R12" s="378">
        <v>6</v>
      </c>
      <c r="S12" s="379">
        <v>6</v>
      </c>
      <c r="T12" s="701"/>
      <c r="U12" s="698"/>
      <c r="V12" s="680">
        <v>1</v>
      </c>
      <c r="W12" s="681" t="s">
        <v>406</v>
      </c>
      <c r="X12" s="682" t="s">
        <v>406</v>
      </c>
      <c r="Y12" s="681" t="s">
        <v>406</v>
      </c>
      <c r="Z12" s="681" t="s">
        <v>406</v>
      </c>
      <c r="AA12" s="682" t="s">
        <v>406</v>
      </c>
      <c r="AB12" s="683" t="s">
        <v>576</v>
      </c>
      <c r="AC12" s="699" t="s">
        <v>576</v>
      </c>
      <c r="AD12" s="685">
        <v>5</v>
      </c>
      <c r="AE12" s="686">
        <v>4.5</v>
      </c>
      <c r="AF12" s="386"/>
    </row>
    <row r="13" spans="1:1014" ht="15" customHeight="1" x14ac:dyDescent="0.25">
      <c r="A13" s="687" t="s">
        <v>98</v>
      </c>
      <c r="B13" s="688">
        <f>'Resumo Proposta'!D33</f>
        <v>0</v>
      </c>
      <c r="C13" s="689">
        <v>364.2</v>
      </c>
      <c r="D13" s="691">
        <v>405</v>
      </c>
      <c r="E13" s="691">
        <v>800.46</v>
      </c>
      <c r="F13" s="691">
        <v>27.5</v>
      </c>
      <c r="G13" s="691">
        <v>484.58</v>
      </c>
      <c r="H13" s="356"/>
      <c r="I13" s="356"/>
      <c r="J13" s="356"/>
      <c r="K13" s="356"/>
      <c r="L13" s="692">
        <v>142.80000000000001</v>
      </c>
      <c r="M13" s="693">
        <f t="shared" si="0"/>
        <v>1.9142444877783613</v>
      </c>
      <c r="N13" s="694" t="s">
        <v>406</v>
      </c>
      <c r="O13" s="695">
        <v>1</v>
      </c>
      <c r="P13" s="696" t="s">
        <v>406</v>
      </c>
      <c r="Q13" s="696" t="s">
        <v>406</v>
      </c>
      <c r="R13" s="378">
        <v>6</v>
      </c>
      <c r="S13" s="379">
        <v>6</v>
      </c>
      <c r="T13" s="701"/>
      <c r="U13" s="698"/>
      <c r="V13" s="680">
        <v>2</v>
      </c>
      <c r="W13" s="681" t="s">
        <v>406</v>
      </c>
      <c r="X13" s="682" t="s">
        <v>406</v>
      </c>
      <c r="Y13" s="681" t="s">
        <v>406</v>
      </c>
      <c r="Z13" s="681" t="s">
        <v>406</v>
      </c>
      <c r="AA13" s="682" t="s">
        <v>406</v>
      </c>
      <c r="AB13" s="683" t="s">
        <v>576</v>
      </c>
      <c r="AC13" s="699" t="s">
        <v>576</v>
      </c>
      <c r="AD13" s="703">
        <v>3</v>
      </c>
      <c r="AE13" s="686">
        <v>5</v>
      </c>
    </row>
    <row r="14" spans="1:1014" ht="15" customHeight="1" x14ac:dyDescent="0.25">
      <c r="A14" s="687" t="s">
        <v>100</v>
      </c>
      <c r="B14" s="688">
        <f>'Resumo Proposta'!D34</f>
        <v>0</v>
      </c>
      <c r="C14" s="689">
        <v>334.4</v>
      </c>
      <c r="D14" s="691">
        <v>50</v>
      </c>
      <c r="E14" s="691"/>
      <c r="F14" s="691">
        <v>22.51</v>
      </c>
      <c r="G14" s="691">
        <v>521</v>
      </c>
      <c r="H14" s="356"/>
      <c r="I14" s="356"/>
      <c r="J14" s="356"/>
      <c r="K14" s="356"/>
      <c r="L14" s="692">
        <v>102.1</v>
      </c>
      <c r="M14" s="693">
        <f t="shared" si="0"/>
        <v>0.81925299222077874</v>
      </c>
      <c r="N14" s="694" t="s">
        <v>406</v>
      </c>
      <c r="O14" s="695">
        <v>1</v>
      </c>
      <c r="P14" s="696">
        <v>1</v>
      </c>
      <c r="Q14" s="696" t="s">
        <v>406</v>
      </c>
      <c r="R14" s="378">
        <v>6</v>
      </c>
      <c r="S14" s="379">
        <v>6</v>
      </c>
      <c r="T14" s="701"/>
      <c r="U14" s="698"/>
      <c r="V14" s="680">
        <v>1</v>
      </c>
      <c r="W14" s="681" t="s">
        <v>406</v>
      </c>
      <c r="X14" s="682" t="s">
        <v>406</v>
      </c>
      <c r="Y14" s="681" t="s">
        <v>406</v>
      </c>
      <c r="Z14" s="681" t="s">
        <v>406</v>
      </c>
      <c r="AA14" s="682" t="s">
        <v>406</v>
      </c>
      <c r="AB14" s="683">
        <v>2</v>
      </c>
      <c r="AC14" s="699" t="s">
        <v>580</v>
      </c>
      <c r="AD14" s="704">
        <v>3</v>
      </c>
      <c r="AE14" s="686">
        <v>5</v>
      </c>
    </row>
    <row r="15" spans="1:1014" ht="15" customHeight="1" x14ac:dyDescent="0.25">
      <c r="A15" s="687" t="s">
        <v>102</v>
      </c>
      <c r="B15" s="688">
        <f>'Resumo Proposta'!D35</f>
        <v>0</v>
      </c>
      <c r="C15" s="689">
        <v>334.4</v>
      </c>
      <c r="D15" s="691">
        <v>0</v>
      </c>
      <c r="E15" s="691">
        <v>0</v>
      </c>
      <c r="F15" s="691">
        <v>23.92</v>
      </c>
      <c r="G15" s="691">
        <v>977.7</v>
      </c>
      <c r="H15" s="356"/>
      <c r="I15" s="356"/>
      <c r="J15" s="356"/>
      <c r="K15" s="356"/>
      <c r="L15" s="692">
        <v>123.8</v>
      </c>
      <c r="M15" s="693">
        <f t="shared" si="0"/>
        <v>0.99766611877362865</v>
      </c>
      <c r="N15" s="694" t="s">
        <v>406</v>
      </c>
      <c r="O15" s="695">
        <v>1</v>
      </c>
      <c r="P15" s="696" t="s">
        <v>406</v>
      </c>
      <c r="Q15" s="696">
        <v>1</v>
      </c>
      <c r="R15" s="378">
        <v>6</v>
      </c>
      <c r="S15" s="379">
        <v>6</v>
      </c>
      <c r="T15" s="701"/>
      <c r="U15" s="698"/>
      <c r="V15" s="680">
        <v>1</v>
      </c>
      <c r="W15" s="681" t="s">
        <v>406</v>
      </c>
      <c r="X15" s="682" t="s">
        <v>406</v>
      </c>
      <c r="Y15" s="681" t="s">
        <v>406</v>
      </c>
      <c r="Z15" s="681" t="s">
        <v>406</v>
      </c>
      <c r="AA15" s="682" t="s">
        <v>406</v>
      </c>
      <c r="AB15" s="683">
        <v>2</v>
      </c>
      <c r="AC15" s="705" t="s">
        <v>581</v>
      </c>
      <c r="AD15" s="703">
        <v>3</v>
      </c>
      <c r="AE15" s="686">
        <v>5</v>
      </c>
    </row>
    <row r="16" spans="1:1014" ht="15" customHeight="1" x14ac:dyDescent="0.25">
      <c r="A16" s="706" t="s">
        <v>104</v>
      </c>
      <c r="B16" s="707">
        <f>'Resumo Proposta'!D36</f>
        <v>0</v>
      </c>
      <c r="C16" s="708">
        <v>334.4</v>
      </c>
      <c r="D16" s="709"/>
      <c r="E16" s="709"/>
      <c r="F16" s="709">
        <v>24.5</v>
      </c>
      <c r="G16" s="709">
        <v>865.6</v>
      </c>
      <c r="H16" s="356"/>
      <c r="I16" s="356"/>
      <c r="J16" s="356"/>
      <c r="K16" s="356"/>
      <c r="L16" s="710">
        <v>123.8</v>
      </c>
      <c r="M16" s="711">
        <f t="shared" si="0"/>
        <v>0.95182698833884616</v>
      </c>
      <c r="N16" s="694" t="s">
        <v>406</v>
      </c>
      <c r="O16" s="695">
        <v>1</v>
      </c>
      <c r="P16" s="696" t="s">
        <v>406</v>
      </c>
      <c r="Q16" s="696" t="s">
        <v>406</v>
      </c>
      <c r="R16" s="378">
        <v>6</v>
      </c>
      <c r="S16" s="379">
        <v>6</v>
      </c>
      <c r="T16" s="701"/>
      <c r="U16" s="698"/>
      <c r="V16" s="680">
        <v>1</v>
      </c>
      <c r="W16" s="681" t="s">
        <v>406</v>
      </c>
      <c r="X16" s="682" t="s">
        <v>406</v>
      </c>
      <c r="Y16" s="681" t="s">
        <v>406</v>
      </c>
      <c r="Z16" s="681" t="s">
        <v>406</v>
      </c>
      <c r="AA16" s="682" t="s">
        <v>406</v>
      </c>
      <c r="AB16" s="683" t="s">
        <v>576</v>
      </c>
      <c r="AC16" s="699" t="s">
        <v>576</v>
      </c>
      <c r="AD16" s="685">
        <v>5</v>
      </c>
      <c r="AE16" s="686"/>
    </row>
    <row r="17" spans="1:31" x14ac:dyDescent="0.25">
      <c r="A17" s="398" t="s">
        <v>407</v>
      </c>
      <c r="B17" s="712"/>
      <c r="C17" s="399">
        <f t="shared" ref="C17:Z17" si="1">SUM(C4:C16)</f>
        <v>9752.34</v>
      </c>
      <c r="D17" s="400">
        <f t="shared" si="1"/>
        <v>3494.5</v>
      </c>
      <c r="E17" s="400">
        <f t="shared" si="1"/>
        <v>3553.92</v>
      </c>
      <c r="F17" s="400">
        <f t="shared" si="1"/>
        <v>457.54</v>
      </c>
      <c r="G17" s="400">
        <f t="shared" si="1"/>
        <v>6310.46</v>
      </c>
      <c r="H17" s="400">
        <f t="shared" si="1"/>
        <v>0</v>
      </c>
      <c r="I17" s="400">
        <f t="shared" si="1"/>
        <v>0</v>
      </c>
      <c r="J17" s="400">
        <f t="shared" si="1"/>
        <v>0</v>
      </c>
      <c r="K17" s="400">
        <f t="shared" si="1"/>
        <v>0</v>
      </c>
      <c r="L17" s="401">
        <f t="shared" si="1"/>
        <v>3148.1300000000006</v>
      </c>
      <c r="M17" s="713">
        <f t="shared" si="1"/>
        <v>23.994880638845128</v>
      </c>
      <c r="N17" s="403">
        <f t="shared" si="1"/>
        <v>0</v>
      </c>
      <c r="O17" s="403">
        <f t="shared" si="1"/>
        <v>24</v>
      </c>
      <c r="P17" s="714">
        <f t="shared" si="1"/>
        <v>3</v>
      </c>
      <c r="Q17" s="405">
        <f t="shared" si="1"/>
        <v>5</v>
      </c>
      <c r="R17" s="407">
        <f t="shared" si="1"/>
        <v>78</v>
      </c>
      <c r="S17" s="408">
        <f t="shared" si="1"/>
        <v>78</v>
      </c>
      <c r="T17" s="715">
        <f t="shared" si="1"/>
        <v>22</v>
      </c>
      <c r="U17" s="716">
        <f t="shared" si="1"/>
        <v>1</v>
      </c>
      <c r="V17" s="411">
        <f t="shared" si="1"/>
        <v>24</v>
      </c>
      <c r="W17" s="412">
        <f t="shared" si="1"/>
        <v>0</v>
      </c>
      <c r="X17" s="413">
        <f t="shared" si="1"/>
        <v>0</v>
      </c>
      <c r="Y17" s="412">
        <f t="shared" si="1"/>
        <v>0</v>
      </c>
      <c r="Z17" s="412">
        <f t="shared" si="1"/>
        <v>0</v>
      </c>
      <c r="AA17" s="402"/>
      <c r="AB17" s="414">
        <f>SUM(AB4:AB16)</f>
        <v>30</v>
      </c>
      <c r="AC17" s="415"/>
      <c r="AD17" s="416"/>
      <c r="AE17" s="417"/>
    </row>
    <row r="18" spans="1:31" x14ac:dyDescent="0.25">
      <c r="A18" s="418" t="s">
        <v>408</v>
      </c>
      <c r="B18" s="319"/>
      <c r="C18" s="717">
        <v>800</v>
      </c>
      <c r="D18" s="718">
        <v>1500</v>
      </c>
      <c r="E18" s="718">
        <v>1000</v>
      </c>
      <c r="F18" s="718">
        <v>200</v>
      </c>
      <c r="G18" s="718">
        <v>2300</v>
      </c>
      <c r="H18" s="718">
        <v>100000</v>
      </c>
      <c r="I18" s="718">
        <v>9000</v>
      </c>
      <c r="J18" s="718">
        <v>160</v>
      </c>
      <c r="K18" s="718">
        <v>300</v>
      </c>
      <c r="L18" s="719">
        <v>300</v>
      </c>
      <c r="M18" s="422"/>
      <c r="N18" s="423" t="s">
        <v>409</v>
      </c>
      <c r="O18" s="720">
        <f>N17+O17</f>
        <v>24</v>
      </c>
      <c r="P18" s="721" t="s">
        <v>409</v>
      </c>
      <c r="Q18" s="426">
        <f>P17+Q17</f>
        <v>8</v>
      </c>
      <c r="R18" s="427"/>
      <c r="S18" s="427"/>
      <c r="T18" s="427"/>
    </row>
    <row r="19" spans="1:31" x14ac:dyDescent="0.25">
      <c r="A19" s="428" t="s">
        <v>410</v>
      </c>
      <c r="B19" s="428"/>
      <c r="C19" s="429">
        <f t="shared" ref="C19:I19" si="2">C17/C18</f>
        <v>12.190424999999999</v>
      </c>
      <c r="D19" s="430">
        <f t="shared" si="2"/>
        <v>2.3296666666666668</v>
      </c>
      <c r="E19" s="430">
        <f t="shared" si="2"/>
        <v>3.5539200000000002</v>
      </c>
      <c r="F19" s="430">
        <f t="shared" si="2"/>
        <v>2.2877000000000001</v>
      </c>
      <c r="G19" s="430">
        <f t="shared" si="2"/>
        <v>2.7436782608695651</v>
      </c>
      <c r="H19" s="430">
        <f t="shared" si="2"/>
        <v>0</v>
      </c>
      <c r="I19" s="430">
        <f t="shared" si="2"/>
        <v>0</v>
      </c>
      <c r="J19" s="430">
        <f>1/J18*8*1/1132.6*J17</f>
        <v>0</v>
      </c>
      <c r="K19" s="430">
        <f>1/K18*16*1/188.76*K17</f>
        <v>0</v>
      </c>
      <c r="L19" s="431">
        <f>1/L18*16*1/188.76*L17</f>
        <v>0.88949071130889334</v>
      </c>
      <c r="M19" s="432">
        <f>SUM(C19:L19)-J19</f>
        <v>23.994880638845128</v>
      </c>
      <c r="N19" s="433" t="s">
        <v>411</v>
      </c>
      <c r="O19" s="434">
        <f>O17+(N17*0.75)</f>
        <v>24</v>
      </c>
      <c r="P19" s="435"/>
      <c r="Q19" s="321"/>
      <c r="R19" s="321"/>
      <c r="S19" s="321"/>
      <c r="T19" s="321"/>
      <c r="U19" s="321"/>
    </row>
    <row r="20" spans="1:31" ht="13.9" customHeight="1" x14ac:dyDescent="0.25">
      <c r="A20" s="436" t="s">
        <v>412</v>
      </c>
      <c r="B20" s="436"/>
      <c r="C20" s="437">
        <f>C17/(M17*C18)</f>
        <v>0.50804274392867843</v>
      </c>
      <c r="D20" s="438">
        <f>D17/(M17*D18)</f>
        <v>9.7090154426323211E-2</v>
      </c>
      <c r="E20" s="438">
        <f>E17/(M17*E18)</f>
        <v>0.14811159319736672</v>
      </c>
      <c r="F20" s="438">
        <f>F17/(M17*F18)</f>
        <v>9.5341170245142201E-2</v>
      </c>
      <c r="G20" s="438">
        <f>G17/(M17*G18)</f>
        <v>0.11434431794704765</v>
      </c>
      <c r="H20" s="438">
        <f>H17/(M17*H18)</f>
        <v>0</v>
      </c>
      <c r="I20" s="438">
        <f>I17/(M17*I18)</f>
        <v>0</v>
      </c>
      <c r="J20" s="438">
        <f>1/4*1/J18*8*1/1132.6*J17</f>
        <v>0</v>
      </c>
      <c r="K20" s="438">
        <f>1/M17*1/K18*16*1/188.76*K17</f>
        <v>0</v>
      </c>
      <c r="L20" s="439">
        <f>1/M17*1/L18*16*1/188.76*L17</f>
        <v>3.7070020255441635E-2</v>
      </c>
      <c r="M20" s="440">
        <f>SUM(C20:L20)-J20</f>
        <v>0.99999999999999989</v>
      </c>
      <c r="N20" s="321"/>
      <c r="O20" s="321"/>
      <c r="P20" s="321"/>
      <c r="Q20" s="321"/>
      <c r="R20" s="321"/>
      <c r="S20" s="321"/>
      <c r="T20" s="321"/>
    </row>
    <row r="21" spans="1:31" ht="13.9" hidden="1" customHeight="1" x14ac:dyDescent="0.25">
      <c r="A21" s="441" t="s">
        <v>413</v>
      </c>
      <c r="B21" s="441"/>
      <c r="C21" s="442">
        <f t="shared" ref="C21:I21" si="3">ROUND(1/C18,9)</f>
        <v>1.25E-3</v>
      </c>
      <c r="D21" s="443">
        <f t="shared" si="3"/>
        <v>6.6666700000000002E-4</v>
      </c>
      <c r="E21" s="443">
        <f t="shared" si="3"/>
        <v>1E-3</v>
      </c>
      <c r="F21" s="443">
        <f t="shared" si="3"/>
        <v>5.0000000000000001E-3</v>
      </c>
      <c r="G21" s="443">
        <f t="shared" si="3"/>
        <v>4.34783E-4</v>
      </c>
      <c r="H21" s="443">
        <f t="shared" si="3"/>
        <v>1.0000000000000001E-5</v>
      </c>
      <c r="I21" s="443">
        <f t="shared" si="3"/>
        <v>1.11111E-4</v>
      </c>
      <c r="J21" s="444">
        <f>(1/J18)*(1/L29)*8</f>
        <v>4.8611111111111115E-5</v>
      </c>
      <c r="K21" s="444">
        <f>(1/K18)*(1/L28)*16</f>
        <v>3.1111111111111113E-4</v>
      </c>
      <c r="L21" s="445">
        <f>(1/L18)*(1/L28)*16</f>
        <v>3.1111111111111113E-4</v>
      </c>
    </row>
    <row r="22" spans="1:31" ht="13.9" hidden="1" customHeight="1" x14ac:dyDescent="0.25">
      <c r="A22" s="446" t="s">
        <v>414</v>
      </c>
      <c r="B22" s="446"/>
      <c r="C22" s="447">
        <f t="shared" ref="C22:L22" si="4">C21/$V$17</f>
        <v>5.2083333333333337E-5</v>
      </c>
      <c r="D22" s="448">
        <f t="shared" si="4"/>
        <v>2.7777791666666669E-5</v>
      </c>
      <c r="E22" s="448">
        <f t="shared" si="4"/>
        <v>4.1666666666666665E-5</v>
      </c>
      <c r="F22" s="448">
        <f t="shared" si="4"/>
        <v>2.0833333333333335E-4</v>
      </c>
      <c r="G22" s="448">
        <f t="shared" si="4"/>
        <v>1.8115958333333332E-5</v>
      </c>
      <c r="H22" s="448">
        <f t="shared" si="4"/>
        <v>4.1666666666666672E-7</v>
      </c>
      <c r="I22" s="448">
        <f t="shared" si="4"/>
        <v>4.6296249999999997E-6</v>
      </c>
      <c r="J22" s="449">
        <f t="shared" si="4"/>
        <v>2.025462962962963E-6</v>
      </c>
      <c r="K22" s="449">
        <f t="shared" si="4"/>
        <v>1.2962962962962964E-5</v>
      </c>
      <c r="L22" s="450">
        <f t="shared" si="4"/>
        <v>1.2962962962962964E-5</v>
      </c>
    </row>
    <row r="23" spans="1:31" ht="13.9" hidden="1" customHeight="1" x14ac:dyDescent="0.25">
      <c r="A23" s="451" t="s">
        <v>415</v>
      </c>
      <c r="B23" s="451"/>
      <c r="C23" s="452" t="s">
        <v>416</v>
      </c>
      <c r="D23" s="453" t="s">
        <v>417</v>
      </c>
      <c r="E23" s="453" t="s">
        <v>418</v>
      </c>
      <c r="F23" s="453" t="s">
        <v>419</v>
      </c>
      <c r="G23" s="454" t="s">
        <v>420</v>
      </c>
      <c r="H23" s="455">
        <v>100000</v>
      </c>
      <c r="I23" s="454" t="s">
        <v>421</v>
      </c>
      <c r="J23" s="456" t="s">
        <v>422</v>
      </c>
      <c r="K23" s="456" t="s">
        <v>423</v>
      </c>
      <c r="L23" s="457" t="s">
        <v>423</v>
      </c>
    </row>
    <row r="24" spans="1:31" ht="13.9" hidden="1" customHeight="1" x14ac:dyDescent="0.25"/>
    <row r="25" spans="1:31" ht="13.9" hidden="1" customHeight="1" x14ac:dyDescent="0.25"/>
    <row r="26" spans="1:31" ht="13.9" hidden="1" customHeight="1" x14ac:dyDescent="0.25"/>
    <row r="27" spans="1:31" ht="13.9" hidden="1" customHeight="1" x14ac:dyDescent="0.25"/>
    <row r="28" spans="1:31" ht="13.9" hidden="1" customHeight="1" x14ac:dyDescent="0.25">
      <c r="J28" s="458">
        <f>30/7</f>
        <v>4.2857142857142856</v>
      </c>
      <c r="K28" s="458">
        <v>40</v>
      </c>
      <c r="L28" s="458">
        <f>J28*K28</f>
        <v>171.42857142857142</v>
      </c>
      <c r="M28" s="458"/>
      <c r="N28" s="458"/>
      <c r="O28" s="458"/>
      <c r="P28" s="458"/>
      <c r="Q28" s="458"/>
      <c r="R28" s="458"/>
      <c r="S28" s="458"/>
      <c r="T28" s="458"/>
    </row>
    <row r="29" spans="1:31" ht="13.9" hidden="1" customHeight="1" x14ac:dyDescent="0.25">
      <c r="J29" s="458"/>
      <c r="K29" s="458"/>
      <c r="L29" s="458">
        <f>L28*6</f>
        <v>1028.5714285714284</v>
      </c>
      <c r="M29" s="458" t="s">
        <v>424</v>
      </c>
      <c r="N29" s="458"/>
      <c r="O29" s="458"/>
      <c r="P29" s="458"/>
      <c r="Q29" s="458"/>
      <c r="R29" s="458"/>
      <c r="S29" s="458"/>
      <c r="T29" s="458"/>
      <c r="U29" s="458" t="s">
        <v>425</v>
      </c>
    </row>
    <row r="30" spans="1:31" x14ac:dyDescent="0.25">
      <c r="C30" s="459" t="s">
        <v>416</v>
      </c>
      <c r="D30" s="460" t="s">
        <v>417</v>
      </c>
      <c r="E30" s="460" t="s">
        <v>418</v>
      </c>
      <c r="F30" s="460" t="s">
        <v>419</v>
      </c>
      <c r="G30" s="461" t="s">
        <v>420</v>
      </c>
      <c r="H30" s="462">
        <v>100000</v>
      </c>
      <c r="I30" s="461" t="s">
        <v>421</v>
      </c>
      <c r="J30" s="461" t="s">
        <v>422</v>
      </c>
      <c r="K30" s="463" t="s">
        <v>423</v>
      </c>
      <c r="L30" s="464" t="s">
        <v>423</v>
      </c>
    </row>
    <row r="148" spans="3:3" x14ac:dyDescent="0.25">
      <c r="C148" s="322">
        <f>C147/'Prod. GEXCRI'!O18</f>
        <v>0</v>
      </c>
    </row>
  </sheetData>
  <mergeCells count="25">
    <mergeCell ref="AB2:AB3"/>
    <mergeCell ref="AC2:AC3"/>
    <mergeCell ref="AD2:AD3"/>
    <mergeCell ref="AE2:AE3"/>
    <mergeCell ref="M2:M3"/>
    <mergeCell ref="N2:O2"/>
    <mergeCell ref="P2:Q2"/>
    <mergeCell ref="V2:X2"/>
    <mergeCell ref="Y2:AA2"/>
    <mergeCell ref="C1:F1"/>
    <mergeCell ref="G1:I1"/>
    <mergeCell ref="J1:L1"/>
    <mergeCell ref="V1:AA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G192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M170" sqref="M170"/>
    </sheetView>
  </sheetViews>
  <sheetFormatPr defaultRowHeight="14.25" x14ac:dyDescent="0.2"/>
  <cols>
    <col min="1" max="1" width="53.75" style="458" customWidth="1"/>
    <col min="2" max="2" width="10" style="458" customWidth="1"/>
    <col min="3" max="3" width="14.875" style="458" customWidth="1"/>
    <col min="4" max="4" width="15.75" style="458" customWidth="1"/>
    <col min="5" max="5" width="16.75" style="458" customWidth="1"/>
    <col min="6" max="6" width="14.875" style="458" customWidth="1"/>
    <col min="7" max="1021" width="9" style="458" customWidth="1"/>
    <col min="1022" max="1025" width="8.375" customWidth="1"/>
  </cols>
  <sheetData>
    <row r="1" spans="1:6" ht="15.75" x14ac:dyDescent="0.2">
      <c r="A1" s="824" t="s">
        <v>427</v>
      </c>
      <c r="B1" s="824"/>
      <c r="C1" s="824"/>
      <c r="D1" s="824"/>
      <c r="E1" s="824"/>
      <c r="F1" s="824"/>
    </row>
    <row r="2" spans="1:6" ht="15.75" x14ac:dyDescent="0.2">
      <c r="A2" s="825" t="s">
        <v>428</v>
      </c>
      <c r="B2" s="825"/>
      <c r="C2" s="825"/>
      <c r="D2" s="825"/>
      <c r="E2" s="825"/>
      <c r="F2" s="825"/>
    </row>
    <row r="3" spans="1:6" ht="15.75" customHeight="1" x14ac:dyDescent="0.2">
      <c r="A3" s="825" t="s">
        <v>429</v>
      </c>
      <c r="B3" s="825"/>
      <c r="C3" s="825"/>
      <c r="D3" s="825"/>
      <c r="E3" s="825"/>
      <c r="F3" s="825"/>
    </row>
    <row r="4" spans="1:6" ht="15.75" x14ac:dyDescent="0.2">
      <c r="A4" s="465"/>
      <c r="B4" s="466"/>
      <c r="C4" s="467" t="s">
        <v>430</v>
      </c>
      <c r="D4" s="468" t="s">
        <v>431</v>
      </c>
      <c r="E4" s="468" t="s">
        <v>432</v>
      </c>
      <c r="F4" s="469" t="s">
        <v>433</v>
      </c>
    </row>
    <row r="5" spans="1:6" x14ac:dyDescent="0.2">
      <c r="A5" s="470"/>
      <c r="B5" s="471" t="s">
        <v>434</v>
      </c>
      <c r="C5" s="472">
        <f>MC!C11</f>
        <v>0</v>
      </c>
      <c r="D5" s="473">
        <f>MC!E11</f>
        <v>0</v>
      </c>
      <c r="E5" s="474">
        <f>MC!C14</f>
        <v>0</v>
      </c>
      <c r="F5" s="475">
        <f>MC!C12</f>
        <v>0</v>
      </c>
    </row>
    <row r="6" spans="1:6" x14ac:dyDescent="0.2">
      <c r="A6" s="470"/>
      <c r="B6" s="471" t="s">
        <v>435</v>
      </c>
      <c r="C6" s="476">
        <v>44562</v>
      </c>
      <c r="D6" s="477">
        <v>44562</v>
      </c>
      <c r="E6" s="478">
        <v>44562</v>
      </c>
      <c r="F6" s="479">
        <f>MC!D8</f>
        <v>0</v>
      </c>
    </row>
    <row r="7" spans="1:6" x14ac:dyDescent="0.2">
      <c r="A7" s="470"/>
      <c r="B7" s="471" t="s">
        <v>436</v>
      </c>
      <c r="C7" s="480" t="s">
        <v>10</v>
      </c>
      <c r="D7" s="481" t="s">
        <v>10</v>
      </c>
      <c r="E7" s="482" t="s">
        <v>10</v>
      </c>
      <c r="F7" s="482" t="s">
        <v>10</v>
      </c>
    </row>
    <row r="8" spans="1:6" x14ac:dyDescent="0.2">
      <c r="A8" s="470"/>
      <c r="B8" s="471" t="s">
        <v>437</v>
      </c>
      <c r="C8" s="483" t="s">
        <v>11</v>
      </c>
      <c r="D8" s="484" t="s">
        <v>11</v>
      </c>
      <c r="E8" s="485" t="s">
        <v>11</v>
      </c>
      <c r="F8" s="486">
        <f>MC!E8</f>
        <v>0</v>
      </c>
    </row>
    <row r="9" spans="1:6" x14ac:dyDescent="0.2">
      <c r="A9" s="826"/>
      <c r="B9" s="826"/>
      <c r="C9" s="826"/>
      <c r="D9" s="826"/>
      <c r="E9" s="826"/>
      <c r="F9" s="826"/>
    </row>
    <row r="10" spans="1:6" ht="66.75" customHeight="1" x14ac:dyDescent="0.2">
      <c r="A10" s="487" t="s">
        <v>438</v>
      </c>
      <c r="B10" s="488" t="s">
        <v>439</v>
      </c>
      <c r="C10" s="488" t="s">
        <v>440</v>
      </c>
      <c r="D10" s="489" t="s">
        <v>431</v>
      </c>
      <c r="E10" s="488" t="s">
        <v>432</v>
      </c>
      <c r="F10" s="488" t="s">
        <v>441</v>
      </c>
    </row>
    <row r="11" spans="1:6" ht="15.75" customHeight="1" x14ac:dyDescent="0.2">
      <c r="A11" s="490" t="s">
        <v>442</v>
      </c>
      <c r="B11" s="490"/>
      <c r="C11" s="490"/>
      <c r="D11" s="490"/>
      <c r="E11" s="490"/>
      <c r="F11" s="490"/>
    </row>
    <row r="12" spans="1:6" ht="15.75" customHeight="1" x14ac:dyDescent="0.2">
      <c r="A12" s="491" t="s">
        <v>443</v>
      </c>
      <c r="B12" s="492" t="s">
        <v>444</v>
      </c>
      <c r="C12" s="492" t="s">
        <v>445</v>
      </c>
      <c r="D12" s="492" t="s">
        <v>445</v>
      </c>
      <c r="E12" s="493"/>
      <c r="F12" s="494" t="s">
        <v>445</v>
      </c>
    </row>
    <row r="13" spans="1:6" ht="15.75" customHeight="1" x14ac:dyDescent="0.2">
      <c r="A13" s="495" t="s">
        <v>446</v>
      </c>
      <c r="B13" s="496"/>
      <c r="C13" s="497">
        <f>C5</f>
        <v>0</v>
      </c>
      <c r="D13" s="498">
        <f>D5</f>
        <v>0</v>
      </c>
      <c r="E13" s="498">
        <f>E5</f>
        <v>0</v>
      </c>
      <c r="F13" s="499">
        <f>F5</f>
        <v>0</v>
      </c>
    </row>
    <row r="14" spans="1:6" ht="15.75" customHeight="1" x14ac:dyDescent="0.2">
      <c r="A14" s="495" t="s">
        <v>447</v>
      </c>
      <c r="B14" s="500">
        <v>0.2</v>
      </c>
      <c r="C14" s="497">
        <f>C13*$B$14</f>
        <v>0</v>
      </c>
      <c r="D14" s="497">
        <f>D13*$B$14</f>
        <v>0</v>
      </c>
      <c r="E14" s="497"/>
      <c r="F14" s="499">
        <f>F13*$B$14</f>
        <v>0</v>
      </c>
    </row>
    <row r="15" spans="1:6" ht="15.75" customHeight="1" x14ac:dyDescent="0.2">
      <c r="A15" s="495" t="s">
        <v>448</v>
      </c>
      <c r="B15" s="500"/>
      <c r="C15" s="497"/>
      <c r="D15" s="498"/>
      <c r="E15" s="498"/>
      <c r="F15" s="499"/>
    </row>
    <row r="16" spans="1:6" ht="15.75" customHeight="1" x14ac:dyDescent="0.2">
      <c r="A16" s="495" t="s">
        <v>449</v>
      </c>
      <c r="B16" s="501"/>
      <c r="C16" s="497"/>
      <c r="D16" s="498"/>
      <c r="E16" s="498"/>
      <c r="F16" s="499"/>
    </row>
    <row r="17" spans="1:6" ht="15.75" customHeight="1" x14ac:dyDescent="0.2">
      <c r="A17" s="495" t="s">
        <v>450</v>
      </c>
      <c r="B17" s="501"/>
      <c r="C17" s="497"/>
      <c r="D17" s="498"/>
      <c r="E17" s="498"/>
      <c r="F17" s="499"/>
    </row>
    <row r="18" spans="1:6" ht="15.75" customHeight="1" x14ac:dyDescent="0.2">
      <c r="A18" s="495" t="s">
        <v>451</v>
      </c>
      <c r="B18" s="500">
        <v>0.3</v>
      </c>
      <c r="C18" s="497"/>
      <c r="D18" s="497"/>
      <c r="E18" s="498">
        <f>B18*E13</f>
        <v>0</v>
      </c>
      <c r="F18" s="499"/>
    </row>
    <row r="19" spans="1:6" ht="15.75" customHeight="1" x14ac:dyDescent="0.2">
      <c r="A19" s="502" t="s">
        <v>452</v>
      </c>
      <c r="B19" s="503"/>
      <c r="C19" s="504">
        <f>SUM(C13:C18)</f>
        <v>0</v>
      </c>
      <c r="D19" s="505">
        <f>SUM(D13:D18)</f>
        <v>0</v>
      </c>
      <c r="E19" s="505">
        <f>SUM(E13:E18)</f>
        <v>0</v>
      </c>
      <c r="F19" s="506">
        <f>SUM(F13:F18)</f>
        <v>0</v>
      </c>
    </row>
    <row r="20" spans="1:6" ht="15.75" customHeight="1" x14ac:dyDescent="0.2">
      <c r="A20" s="827"/>
      <c r="B20" s="827"/>
      <c r="C20" s="508"/>
      <c r="D20" s="509"/>
      <c r="E20" s="509"/>
      <c r="F20" s="510"/>
    </row>
    <row r="21" spans="1:6" ht="15.75" customHeight="1" x14ac:dyDescent="0.2">
      <c r="A21" s="828" t="s">
        <v>453</v>
      </c>
      <c r="B21" s="828"/>
      <c r="C21" s="828"/>
      <c r="D21" s="828"/>
      <c r="E21" s="828"/>
      <c r="F21" s="828"/>
    </row>
    <row r="22" spans="1:6" ht="15.75" customHeight="1" x14ac:dyDescent="0.2">
      <c r="A22" s="511" t="s">
        <v>454</v>
      </c>
      <c r="B22" s="512" t="s">
        <v>444</v>
      </c>
      <c r="C22" s="512" t="s">
        <v>445</v>
      </c>
      <c r="D22" s="512" t="s">
        <v>445</v>
      </c>
      <c r="E22" s="512" t="s">
        <v>445</v>
      </c>
      <c r="F22" s="513" t="s">
        <v>445</v>
      </c>
    </row>
    <row r="23" spans="1:6" ht="15.75" customHeight="1" x14ac:dyDescent="0.2">
      <c r="A23" s="514" t="s">
        <v>455</v>
      </c>
      <c r="B23" s="500">
        <f>1/12</f>
        <v>8.3333333333333329E-2</v>
      </c>
      <c r="C23" s="497">
        <f>ROUND($B23*C$19,2)</f>
        <v>0</v>
      </c>
      <c r="D23" s="497">
        <f>ROUND($B23*D$19,2)</f>
        <v>0</v>
      </c>
      <c r="E23" s="497">
        <f>ROUND($B23*E$19,2)</f>
        <v>0</v>
      </c>
      <c r="F23" s="499">
        <f>ROUND($B23*F$19,2)</f>
        <v>0</v>
      </c>
    </row>
    <row r="24" spans="1:6" ht="15.75" customHeight="1" x14ac:dyDescent="0.2">
      <c r="A24" s="514" t="s">
        <v>456</v>
      </c>
      <c r="B24" s="500">
        <f>1/3*1/12</f>
        <v>2.7777777777777776E-2</v>
      </c>
      <c r="C24" s="497">
        <f>C$19*$B$24</f>
        <v>0</v>
      </c>
      <c r="D24" s="497">
        <f>D$19*$B$24</f>
        <v>0</v>
      </c>
      <c r="E24" s="497">
        <f>E$19*$B$24</f>
        <v>0</v>
      </c>
      <c r="F24" s="499">
        <f>F$19*$B$24</f>
        <v>0</v>
      </c>
    </row>
    <row r="25" spans="1:6" ht="15.75" customHeight="1" x14ac:dyDescent="0.2">
      <c r="A25" s="502" t="s">
        <v>452</v>
      </c>
      <c r="B25" s="515">
        <f>SUM(B23:B24)</f>
        <v>0.1111111111111111</v>
      </c>
      <c r="C25" s="504">
        <f>SUM(C23:C24)</f>
        <v>0</v>
      </c>
      <c r="D25" s="504">
        <f>SUM(D23:D24)</f>
        <v>0</v>
      </c>
      <c r="E25" s="504">
        <f>SUM(E23:E24)</f>
        <v>0</v>
      </c>
      <c r="F25" s="506">
        <f>SUM(F23:F24)</f>
        <v>0</v>
      </c>
    </row>
    <row r="26" spans="1:6" ht="15.75" customHeight="1" x14ac:dyDescent="0.2">
      <c r="A26" s="511" t="s">
        <v>457</v>
      </c>
      <c r="B26" s="512" t="s">
        <v>444</v>
      </c>
      <c r="C26" s="512" t="s">
        <v>445</v>
      </c>
      <c r="D26" s="512" t="s">
        <v>445</v>
      </c>
      <c r="E26" s="512" t="s">
        <v>445</v>
      </c>
      <c r="F26" s="513" t="s">
        <v>445</v>
      </c>
    </row>
    <row r="27" spans="1:6" ht="15.75" customHeight="1" x14ac:dyDescent="0.2">
      <c r="A27" s="511" t="s">
        <v>458</v>
      </c>
      <c r="B27" s="516"/>
      <c r="C27" s="516"/>
      <c r="D27" s="516"/>
      <c r="E27" s="517"/>
      <c r="F27" s="518"/>
    </row>
    <row r="28" spans="1:6" ht="15.75" customHeight="1" x14ac:dyDescent="0.2">
      <c r="A28" s="514" t="s">
        <v>459</v>
      </c>
      <c r="B28" s="500">
        <v>0.2</v>
      </c>
      <c r="C28" s="519">
        <f t="shared" ref="C28:C35" si="0">ROUND(($C$19+$C$25)*B28,2)</f>
        <v>0</v>
      </c>
      <c r="D28" s="519">
        <f t="shared" ref="D28:D35" si="1">ROUND(($D$19+$D$25)*B28,2)</f>
        <v>0</v>
      </c>
      <c r="E28" s="519">
        <f t="shared" ref="E28:E35" si="2">ROUND(($E$19+$E$25)*B28,2)</f>
        <v>0</v>
      </c>
      <c r="F28" s="520">
        <f t="shared" ref="F28:F35" si="3">ROUND(($F$19+$F$25)*B28,2)</f>
        <v>0</v>
      </c>
    </row>
    <row r="29" spans="1:6" ht="15.75" customHeight="1" x14ac:dyDescent="0.2">
      <c r="A29" s="514" t="s">
        <v>460</v>
      </c>
      <c r="B29" s="500">
        <v>2.5000000000000001E-2</v>
      </c>
      <c r="C29" s="519">
        <f t="shared" si="0"/>
        <v>0</v>
      </c>
      <c r="D29" s="519">
        <f t="shared" si="1"/>
        <v>0</v>
      </c>
      <c r="E29" s="519">
        <f t="shared" si="2"/>
        <v>0</v>
      </c>
      <c r="F29" s="520">
        <f t="shared" si="3"/>
        <v>0</v>
      </c>
    </row>
    <row r="30" spans="1:6" ht="15.75" customHeight="1" x14ac:dyDescent="0.2">
      <c r="A30" s="514" t="s">
        <v>461</v>
      </c>
      <c r="B30" s="500">
        <v>0.03</v>
      </c>
      <c r="C30" s="519">
        <f t="shared" si="0"/>
        <v>0</v>
      </c>
      <c r="D30" s="519">
        <f t="shared" si="1"/>
        <v>0</v>
      </c>
      <c r="E30" s="519">
        <f t="shared" si="2"/>
        <v>0</v>
      </c>
      <c r="F30" s="520">
        <f t="shared" si="3"/>
        <v>0</v>
      </c>
    </row>
    <row r="31" spans="1:6" ht="15.75" customHeight="1" x14ac:dyDescent="0.2">
      <c r="A31" s="514" t="s">
        <v>462</v>
      </c>
      <c r="B31" s="500">
        <v>1.4999999999999999E-2</v>
      </c>
      <c r="C31" s="519">
        <f t="shared" si="0"/>
        <v>0</v>
      </c>
      <c r="D31" s="519">
        <f t="shared" si="1"/>
        <v>0</v>
      </c>
      <c r="E31" s="519">
        <f t="shared" si="2"/>
        <v>0</v>
      </c>
      <c r="F31" s="520">
        <f t="shared" si="3"/>
        <v>0</v>
      </c>
    </row>
    <row r="32" spans="1:6" ht="15.75" customHeight="1" x14ac:dyDescent="0.2">
      <c r="A32" s="514" t="s">
        <v>463</v>
      </c>
      <c r="B32" s="500">
        <v>0.01</v>
      </c>
      <c r="C32" s="519">
        <f t="shared" si="0"/>
        <v>0</v>
      </c>
      <c r="D32" s="519">
        <f t="shared" si="1"/>
        <v>0</v>
      </c>
      <c r="E32" s="519">
        <f t="shared" si="2"/>
        <v>0</v>
      </c>
      <c r="F32" s="520">
        <f t="shared" si="3"/>
        <v>0</v>
      </c>
    </row>
    <row r="33" spans="1:6" ht="15.75" customHeight="1" x14ac:dyDescent="0.2">
      <c r="A33" s="514" t="s">
        <v>464</v>
      </c>
      <c r="B33" s="500">
        <v>6.0000000000000001E-3</v>
      </c>
      <c r="C33" s="519">
        <f t="shared" si="0"/>
        <v>0</v>
      </c>
      <c r="D33" s="519">
        <f t="shared" si="1"/>
        <v>0</v>
      </c>
      <c r="E33" s="519">
        <f t="shared" si="2"/>
        <v>0</v>
      </c>
      <c r="F33" s="520">
        <f t="shared" si="3"/>
        <v>0</v>
      </c>
    </row>
    <row r="34" spans="1:6" ht="15.75" customHeight="1" x14ac:dyDescent="0.2">
      <c r="A34" s="514" t="s">
        <v>465</v>
      </c>
      <c r="B34" s="500">
        <v>2E-3</v>
      </c>
      <c r="C34" s="519">
        <f t="shared" si="0"/>
        <v>0</v>
      </c>
      <c r="D34" s="519">
        <f t="shared" si="1"/>
        <v>0</v>
      </c>
      <c r="E34" s="519">
        <f t="shared" si="2"/>
        <v>0</v>
      </c>
      <c r="F34" s="520">
        <f t="shared" si="3"/>
        <v>0</v>
      </c>
    </row>
    <row r="35" spans="1:6" ht="15.75" customHeight="1" x14ac:dyDescent="0.2">
      <c r="A35" s="514" t="s">
        <v>466</v>
      </c>
      <c r="B35" s="500">
        <v>0.08</v>
      </c>
      <c r="C35" s="519">
        <f t="shared" si="0"/>
        <v>0</v>
      </c>
      <c r="D35" s="519">
        <f t="shared" si="1"/>
        <v>0</v>
      </c>
      <c r="E35" s="519">
        <f t="shared" si="2"/>
        <v>0</v>
      </c>
      <c r="F35" s="520">
        <f t="shared" si="3"/>
        <v>0</v>
      </c>
    </row>
    <row r="36" spans="1:6" ht="15.75" customHeight="1" x14ac:dyDescent="0.2">
      <c r="A36" s="502" t="s">
        <v>452</v>
      </c>
      <c r="B36" s="515">
        <f>SUM(B28:B35)</f>
        <v>0.36800000000000005</v>
      </c>
      <c r="C36" s="504">
        <f>SUM(C27:C35)</f>
        <v>0</v>
      </c>
      <c r="D36" s="504">
        <f>SUM(D27:D35)</f>
        <v>0</v>
      </c>
      <c r="E36" s="505">
        <f>SUM(E28:E35)</f>
        <v>0</v>
      </c>
      <c r="F36" s="506">
        <f>SUM(F27:F35)</f>
        <v>0</v>
      </c>
    </row>
    <row r="37" spans="1:6" ht="15.75" customHeight="1" x14ac:dyDescent="0.2">
      <c r="A37" s="511" t="s">
        <v>467</v>
      </c>
      <c r="B37" s="512" t="s">
        <v>468</v>
      </c>
      <c r="C37" s="512" t="s">
        <v>445</v>
      </c>
      <c r="D37" s="512" t="s">
        <v>445</v>
      </c>
      <c r="E37" s="512" t="s">
        <v>445</v>
      </c>
      <c r="F37" s="513" t="s">
        <v>445</v>
      </c>
    </row>
    <row r="38" spans="1:6" ht="15.75" customHeight="1" x14ac:dyDescent="0.2">
      <c r="A38" s="514" t="s">
        <v>469</v>
      </c>
      <c r="B38" s="521">
        <f>MC!J84</f>
        <v>0</v>
      </c>
      <c r="C38" s="497">
        <f>ROUND(((2*22*$B$38)-0.06*C$13),2)</f>
        <v>0</v>
      </c>
      <c r="D38" s="497">
        <f>ROUND(((2*22*$B$38)-0.06*D$13),2)</f>
        <v>0</v>
      </c>
      <c r="E38" s="497">
        <f>ROUND(((2*22*$B$38)-0.06*E$13),2)</f>
        <v>0</v>
      </c>
      <c r="F38" s="497">
        <f>ROUND(((2*22*$B$38)-0.06*F$13),2)</f>
        <v>0</v>
      </c>
    </row>
    <row r="39" spans="1:6" ht="15.75" customHeight="1" x14ac:dyDescent="0.2">
      <c r="A39" s="514" t="s">
        <v>470</v>
      </c>
      <c r="B39" s="522"/>
      <c r="C39" s="519">
        <f>MC!E17</f>
        <v>0</v>
      </c>
      <c r="D39" s="519">
        <f>MC!E18</f>
        <v>0</v>
      </c>
      <c r="E39" s="519">
        <f>MC!E17</f>
        <v>0</v>
      </c>
      <c r="F39" s="519">
        <f>MC!E17</f>
        <v>0</v>
      </c>
    </row>
    <row r="40" spans="1:6" ht="15.75" customHeight="1" x14ac:dyDescent="0.2">
      <c r="A40" s="514" t="s">
        <v>471</v>
      </c>
      <c r="B40" s="500">
        <f>MC!C22</f>
        <v>0</v>
      </c>
      <c r="C40" s="519"/>
      <c r="D40" s="519"/>
      <c r="E40" s="519">
        <f>MC!E22</f>
        <v>0</v>
      </c>
      <c r="F40" s="519"/>
    </row>
    <row r="41" spans="1:6" ht="15.75" customHeight="1" x14ac:dyDescent="0.2">
      <c r="A41" s="514" t="s">
        <v>472</v>
      </c>
      <c r="B41" s="523">
        <f>MC!E21</f>
        <v>0</v>
      </c>
      <c r="C41" s="519">
        <f>B41</f>
        <v>0</v>
      </c>
      <c r="D41" s="519">
        <f>B41</f>
        <v>0</v>
      </c>
      <c r="E41" s="524">
        <f>B41</f>
        <v>0</v>
      </c>
      <c r="F41" s="520">
        <f>B41</f>
        <v>0</v>
      </c>
    </row>
    <row r="42" spans="1:6" ht="15.75" customHeight="1" x14ac:dyDescent="0.2">
      <c r="A42" s="514" t="s">
        <v>473</v>
      </c>
      <c r="B42" s="500">
        <f>MC!C20</f>
        <v>0</v>
      </c>
      <c r="C42" s="519">
        <f>$B$42*C19</f>
        <v>0</v>
      </c>
      <c r="D42" s="519">
        <f>$B$42*D19</f>
        <v>0</v>
      </c>
      <c r="E42" s="519">
        <f>$B$42*E19</f>
        <v>0</v>
      </c>
      <c r="F42" s="519">
        <f>$B$42*F19</f>
        <v>0</v>
      </c>
    </row>
    <row r="43" spans="1:6" ht="15.75" customHeight="1" x14ac:dyDescent="0.2">
      <c r="A43" s="514" t="s">
        <v>474</v>
      </c>
      <c r="B43" s="500"/>
      <c r="C43" s="519"/>
      <c r="D43" s="519"/>
      <c r="E43" s="524"/>
      <c r="F43" s="520"/>
    </row>
    <row r="44" spans="1:6" ht="15.75" customHeight="1" x14ac:dyDescent="0.2">
      <c r="A44" s="502" t="s">
        <v>452</v>
      </c>
      <c r="B44" s="503"/>
      <c r="C44" s="504">
        <f>SUM(C38:C43)</f>
        <v>0</v>
      </c>
      <c r="D44" s="504">
        <f>SUM(D38:D43)</f>
        <v>0</v>
      </c>
      <c r="E44" s="505">
        <f>SUM(E38:E43)</f>
        <v>0</v>
      </c>
      <c r="F44" s="506">
        <f>SUM(F38:F43)</f>
        <v>0</v>
      </c>
    </row>
    <row r="45" spans="1:6" ht="15.75" customHeight="1" x14ac:dyDescent="0.2">
      <c r="A45" s="491" t="s">
        <v>475</v>
      </c>
      <c r="B45" s="492" t="s">
        <v>444</v>
      </c>
      <c r="C45" s="492" t="s">
        <v>445</v>
      </c>
      <c r="D45" s="492" t="s">
        <v>445</v>
      </c>
      <c r="E45" s="492" t="s">
        <v>445</v>
      </c>
      <c r="F45" s="494" t="s">
        <v>445</v>
      </c>
    </row>
    <row r="46" spans="1:6" ht="15.75" customHeight="1" x14ac:dyDescent="0.2">
      <c r="A46" s="514" t="s">
        <v>454</v>
      </c>
      <c r="B46" s="525">
        <f>B25</f>
        <v>0.1111111111111111</v>
      </c>
      <c r="C46" s="526">
        <f>C25</f>
        <v>0</v>
      </c>
      <c r="D46" s="526">
        <f>D25</f>
        <v>0</v>
      </c>
      <c r="E46" s="526">
        <f>E25</f>
        <v>0</v>
      </c>
      <c r="F46" s="527">
        <f>F25</f>
        <v>0</v>
      </c>
    </row>
    <row r="47" spans="1:6" ht="15.75" customHeight="1" x14ac:dyDescent="0.2">
      <c r="A47" s="514" t="s">
        <v>476</v>
      </c>
      <c r="B47" s="525">
        <f>B36</f>
        <v>0.36800000000000005</v>
      </c>
      <c r="C47" s="526">
        <f>C36</f>
        <v>0</v>
      </c>
      <c r="D47" s="526">
        <f>D36</f>
        <v>0</v>
      </c>
      <c r="E47" s="526">
        <f>E36</f>
        <v>0</v>
      </c>
      <c r="F47" s="527">
        <f>F36</f>
        <v>0</v>
      </c>
    </row>
    <row r="48" spans="1:6" ht="15.75" customHeight="1" x14ac:dyDescent="0.2">
      <c r="A48" s="514" t="s">
        <v>467</v>
      </c>
      <c r="B48" s="525"/>
      <c r="C48" s="526">
        <f>C44</f>
        <v>0</v>
      </c>
      <c r="D48" s="526">
        <f>D44</f>
        <v>0</v>
      </c>
      <c r="E48" s="526">
        <f>E44</f>
        <v>0</v>
      </c>
      <c r="F48" s="527">
        <f>F44</f>
        <v>0</v>
      </c>
    </row>
    <row r="49" spans="1:6" ht="15.75" customHeight="1" x14ac:dyDescent="0.2">
      <c r="A49" s="502" t="s">
        <v>452</v>
      </c>
      <c r="B49" s="503"/>
      <c r="C49" s="504">
        <f>SUM(C46:C48)</f>
        <v>0</v>
      </c>
      <c r="D49" s="504">
        <f>SUM(D46:D48)</f>
        <v>0</v>
      </c>
      <c r="E49" s="505">
        <f>SUM(E46:E48)</f>
        <v>0</v>
      </c>
      <c r="F49" s="506">
        <f>SUM(F46:F48)</f>
        <v>0</v>
      </c>
    </row>
    <row r="50" spans="1:6" ht="15.75" customHeight="1" x14ac:dyDescent="0.2">
      <c r="A50" s="827"/>
      <c r="B50" s="827"/>
      <c r="C50" s="508"/>
      <c r="D50" s="510"/>
      <c r="E50" s="510"/>
      <c r="F50" s="510"/>
    </row>
    <row r="51" spans="1:6" s="528" customFormat="1" ht="15.75" customHeight="1" x14ac:dyDescent="0.2">
      <c r="A51" s="828" t="s">
        <v>477</v>
      </c>
      <c r="B51" s="828"/>
      <c r="C51" s="828"/>
      <c r="D51" s="828"/>
      <c r="E51" s="828"/>
      <c r="F51" s="828"/>
    </row>
    <row r="52" spans="1:6" ht="15.75" customHeight="1" x14ac:dyDescent="0.2">
      <c r="A52" s="491" t="s">
        <v>478</v>
      </c>
      <c r="B52" s="492" t="s">
        <v>444</v>
      </c>
      <c r="C52" s="492" t="s">
        <v>445</v>
      </c>
      <c r="D52" s="492" t="s">
        <v>445</v>
      </c>
      <c r="E52" s="492" t="s">
        <v>445</v>
      </c>
      <c r="F52" s="494" t="s">
        <v>445</v>
      </c>
    </row>
    <row r="53" spans="1:6" ht="15.75" customHeight="1" x14ac:dyDescent="0.2">
      <c r="A53" s="511" t="s">
        <v>479</v>
      </c>
      <c r="B53" s="529"/>
      <c r="C53" s="529"/>
      <c r="D53" s="529"/>
      <c r="E53" s="530"/>
      <c r="F53" s="531"/>
    </row>
    <row r="54" spans="1:6" ht="15.75" customHeight="1" x14ac:dyDescent="0.2">
      <c r="A54" s="514" t="s">
        <v>480</v>
      </c>
      <c r="B54" s="525">
        <f>1/12*0.05</f>
        <v>4.1666666666666666E-3</v>
      </c>
      <c r="C54" s="532">
        <f>C19*$B54</f>
        <v>0</v>
      </c>
      <c r="D54" s="532">
        <f>D19*$B54</f>
        <v>0</v>
      </c>
      <c r="E54" s="532">
        <f>E19*$B54</f>
        <v>0</v>
      </c>
      <c r="F54" s="532">
        <f>F19*$B54</f>
        <v>0</v>
      </c>
    </row>
    <row r="55" spans="1:6" ht="15.75" customHeight="1" x14ac:dyDescent="0.2">
      <c r="A55" s="514" t="s">
        <v>481</v>
      </c>
      <c r="B55" s="525">
        <f>B35*B54</f>
        <v>3.3333333333333332E-4</v>
      </c>
      <c r="C55" s="532">
        <f>$B$55*C19</f>
        <v>0</v>
      </c>
      <c r="D55" s="532">
        <f>$B$55*D19</f>
        <v>0</v>
      </c>
      <c r="E55" s="532">
        <f>$B$55*E19</f>
        <v>0</v>
      </c>
      <c r="F55" s="532">
        <f>$B$55*F19</f>
        <v>0</v>
      </c>
    </row>
    <row r="56" spans="1:6" ht="15.75" customHeight="1" x14ac:dyDescent="0.2">
      <c r="A56" s="514" t="s">
        <v>482</v>
      </c>
      <c r="B56" s="525">
        <v>0</v>
      </c>
      <c r="C56" s="532">
        <f>C35*$B56</f>
        <v>0</v>
      </c>
      <c r="D56" s="532">
        <f>D35*$B56</f>
        <v>0</v>
      </c>
      <c r="E56" s="532">
        <f>E35*$B56</f>
        <v>0</v>
      </c>
      <c r="F56" s="532">
        <f>F35*$B56</f>
        <v>0</v>
      </c>
    </row>
    <row r="57" spans="1:6" ht="15.75" customHeight="1" x14ac:dyDescent="0.2">
      <c r="A57" s="514" t="s">
        <v>483</v>
      </c>
      <c r="B57" s="525">
        <f>1/12*1/30*7</f>
        <v>1.9444444444444441E-2</v>
      </c>
      <c r="C57" s="526">
        <f>C19*$B57</f>
        <v>0</v>
      </c>
      <c r="D57" s="526">
        <f>D19*$B57</f>
        <v>0</v>
      </c>
      <c r="E57" s="526">
        <f>E19*$B57</f>
        <v>0</v>
      </c>
      <c r="F57" s="526">
        <f>F19*$B57</f>
        <v>0</v>
      </c>
    </row>
    <row r="58" spans="1:6" ht="15.75" customHeight="1" x14ac:dyDescent="0.2">
      <c r="A58" s="514" t="s">
        <v>484</v>
      </c>
      <c r="B58" s="525">
        <f>B36*B57</f>
        <v>7.1555555555555556E-3</v>
      </c>
      <c r="C58" s="526">
        <f>$B58*C19</f>
        <v>0</v>
      </c>
      <c r="D58" s="526">
        <f>$B58*D19</f>
        <v>0</v>
      </c>
      <c r="E58" s="526">
        <f>$B58*E19</f>
        <v>0</v>
      </c>
      <c r="F58" s="526">
        <f>$B58*F19</f>
        <v>0</v>
      </c>
    </row>
    <row r="59" spans="1:6" ht="15.75" customHeight="1" x14ac:dyDescent="0.2">
      <c r="A59" s="514" t="s">
        <v>485</v>
      </c>
      <c r="B59" s="525">
        <f>B35*40/100*90/100*(1+1/12+1/12+1/3*1/12)</f>
        <v>3.4399999999999993E-2</v>
      </c>
      <c r="C59" s="526">
        <f>C19*$B59</f>
        <v>0</v>
      </c>
      <c r="D59" s="526">
        <f>D19*$B59</f>
        <v>0</v>
      </c>
      <c r="E59" s="526">
        <f>E19*$B59</f>
        <v>0</v>
      </c>
      <c r="F59" s="526">
        <f>F19*$B59</f>
        <v>0</v>
      </c>
    </row>
    <row r="60" spans="1:6" ht="15.75" customHeight="1" x14ac:dyDescent="0.2">
      <c r="A60" s="502" t="s">
        <v>452</v>
      </c>
      <c r="B60" s="515">
        <f>SUM(B54:B59)</f>
        <v>6.5499999999999989E-2</v>
      </c>
      <c r="C60" s="533">
        <f>SUM(C54:C59)</f>
        <v>0</v>
      </c>
      <c r="D60" s="533">
        <f>SUM(D54:D59)</f>
        <v>0</v>
      </c>
      <c r="E60" s="534">
        <f>SUM(E54:E59)</f>
        <v>0</v>
      </c>
      <c r="F60" s="535">
        <f>SUM(F54:F59)</f>
        <v>0</v>
      </c>
    </row>
    <row r="61" spans="1:6" ht="15.75" customHeight="1" x14ac:dyDescent="0.2">
      <c r="A61" s="827"/>
      <c r="B61" s="827"/>
      <c r="C61" s="536"/>
      <c r="D61" s="536"/>
      <c r="E61" s="537"/>
      <c r="F61" s="538"/>
    </row>
    <row r="62" spans="1:6" ht="15.75" customHeight="1" x14ac:dyDescent="0.2">
      <c r="A62" s="828" t="s">
        <v>486</v>
      </c>
      <c r="B62" s="828"/>
      <c r="C62" s="828"/>
      <c r="D62" s="828"/>
      <c r="E62" s="828"/>
      <c r="F62" s="828"/>
    </row>
    <row r="63" spans="1:6" ht="15.75" customHeight="1" x14ac:dyDescent="0.2">
      <c r="A63" s="511" t="s">
        <v>41</v>
      </c>
      <c r="B63" s="512"/>
      <c r="C63" s="512"/>
      <c r="D63" s="512"/>
      <c r="E63" s="539"/>
      <c r="F63" s="513"/>
    </row>
    <row r="64" spans="1:6" ht="15.75" customHeight="1" x14ac:dyDescent="0.2">
      <c r="A64" s="514" t="s">
        <v>42</v>
      </c>
      <c r="B64" s="500">
        <f>1/12</f>
        <v>8.3333333333333329E-2</v>
      </c>
      <c r="C64" s="519">
        <f>B64*($C$19+$C$49+$C$60)</f>
        <v>0</v>
      </c>
      <c r="D64" s="519">
        <f>B64*($D$19+$D$49+$D$60)</f>
        <v>0</v>
      </c>
      <c r="E64" s="524">
        <f>B64*($E$19+$E$49+$E$60)</f>
        <v>0</v>
      </c>
      <c r="F64" s="520">
        <f>B64*($F$19+$F$49+$F$60)</f>
        <v>0</v>
      </c>
    </row>
    <row r="65" spans="1:6" ht="15.75" customHeight="1" x14ac:dyDescent="0.2">
      <c r="A65" s="514" t="s">
        <v>487</v>
      </c>
      <c r="B65" s="500">
        <f>MC!E52/30/12</f>
        <v>1.3538888888888885E-2</v>
      </c>
      <c r="C65" s="519">
        <f>B65*($C$19+$C$49+$C$60)</f>
        <v>0</v>
      </c>
      <c r="D65" s="519">
        <f>B65*($D$19+$D$49+$D$60)</f>
        <v>0</v>
      </c>
      <c r="E65" s="524">
        <f>B65*($E$19+$E$49+$E$60)</f>
        <v>0</v>
      </c>
      <c r="F65" s="520">
        <f>B65*($F$19+$F$49+$F$60)</f>
        <v>0</v>
      </c>
    </row>
    <row r="66" spans="1:6" ht="15.75" customHeight="1" x14ac:dyDescent="0.2">
      <c r="A66" s="514" t="s">
        <v>488</v>
      </c>
      <c r="B66" s="540">
        <f>(5/30)/12*MC!F54*MC!C55</f>
        <v>1.0764583333333333E-4</v>
      </c>
      <c r="C66" s="519">
        <f>B66*($C$19+$C$49+$C$60)</f>
        <v>0</v>
      </c>
      <c r="D66" s="519">
        <f>B66*($D$19+$D$49+$D$60)</f>
        <v>0</v>
      </c>
      <c r="E66" s="524">
        <f>B66*($E$19+$E$49+$E$60)</f>
        <v>0</v>
      </c>
      <c r="F66" s="520">
        <f>B66*($F$19+$F$49+$F$60)</f>
        <v>0</v>
      </c>
    </row>
    <row r="67" spans="1:6" ht="15.75" customHeight="1" x14ac:dyDescent="0.2">
      <c r="A67" s="514" t="s">
        <v>489</v>
      </c>
      <c r="B67" s="540">
        <f>MC!C57/30/12</f>
        <v>2.6830555555555553E-3</v>
      </c>
      <c r="C67" s="519">
        <f>B67*($C$19+$C$49+$C$60)</f>
        <v>0</v>
      </c>
      <c r="D67" s="519">
        <f>B67*($D$19+$D$49+$D$60)</f>
        <v>0</v>
      </c>
      <c r="E67" s="524">
        <f>B67*($E$19+$E$49+$E$60)</f>
        <v>0</v>
      </c>
      <c r="F67" s="520">
        <f>B67*($F$19+$F$49+$F$60)</f>
        <v>0</v>
      </c>
    </row>
    <row r="68" spans="1:6" ht="15.75" customHeight="1" x14ac:dyDescent="0.2">
      <c r="A68" s="514" t="s">
        <v>490</v>
      </c>
      <c r="B68" s="500"/>
      <c r="C68" s="519"/>
      <c r="D68" s="519"/>
      <c r="E68" s="524">
        <f>B68*($E$19+$E$49+$E$60)</f>
        <v>0</v>
      </c>
      <c r="F68" s="520"/>
    </row>
    <row r="69" spans="1:6" ht="15.75" customHeight="1" x14ac:dyDescent="0.2">
      <c r="A69" s="541" t="s">
        <v>491</v>
      </c>
      <c r="B69" s="542">
        <f>SUM(B64:B68)</f>
        <v>9.9662923611111107E-2</v>
      </c>
      <c r="C69" s="543">
        <f>SUM(C64:C68)</f>
        <v>0</v>
      </c>
      <c r="D69" s="543">
        <f>SUM(D64:D68)</f>
        <v>0</v>
      </c>
      <c r="E69" s="544">
        <f>SUM(E64:E68)</f>
        <v>0</v>
      </c>
      <c r="F69" s="545">
        <f>SUM(F64:F68)</f>
        <v>0</v>
      </c>
    </row>
    <row r="70" spans="1:6" ht="15.75" customHeight="1" x14ac:dyDescent="0.2">
      <c r="A70" s="511" t="s">
        <v>492</v>
      </c>
      <c r="B70" s="512"/>
      <c r="C70" s="512"/>
      <c r="D70" s="512"/>
      <c r="E70" s="539"/>
      <c r="F70" s="513"/>
    </row>
    <row r="71" spans="1:6" ht="15.75" customHeight="1" x14ac:dyDescent="0.2">
      <c r="A71" s="514" t="s">
        <v>493</v>
      </c>
      <c r="B71" s="500"/>
      <c r="C71" s="519"/>
      <c r="D71" s="519"/>
      <c r="E71" s="524"/>
      <c r="F71" s="520"/>
    </row>
    <row r="72" spans="1:6" ht="15.75" customHeight="1" x14ac:dyDescent="0.2">
      <c r="A72" s="541" t="s">
        <v>491</v>
      </c>
      <c r="B72" s="542"/>
      <c r="C72" s="543">
        <f>C71</f>
        <v>0</v>
      </c>
      <c r="D72" s="543"/>
      <c r="E72" s="544"/>
      <c r="F72" s="545"/>
    </row>
    <row r="73" spans="1:6" ht="15.75" customHeight="1" x14ac:dyDescent="0.2">
      <c r="A73" s="511" t="s">
        <v>63</v>
      </c>
      <c r="B73" s="512"/>
      <c r="C73" s="512"/>
      <c r="D73" s="512"/>
      <c r="E73" s="539"/>
      <c r="F73" s="513"/>
    </row>
    <row r="74" spans="1:6" ht="15.75" customHeight="1" x14ac:dyDescent="0.2">
      <c r="A74" s="514" t="s">
        <v>64</v>
      </c>
      <c r="B74" s="500">
        <f>120/30*MC!C60*MC!C61</f>
        <v>6.18624E-3</v>
      </c>
      <c r="C74" s="519">
        <f>(((C19*2)+ (C19*1/3))+(C36)+(C44-C38-C39))*$B$74</f>
        <v>0</v>
      </c>
      <c r="D74" s="519">
        <f>(((D19*2)+ (D19*1/3))+(D36)+(D44-D38-D39))*$B$74</f>
        <v>0</v>
      </c>
      <c r="E74" s="519">
        <f>(((E19*2)+ (E19*1/3))+(E36)+(E44-E38-E39))*$B$74</f>
        <v>0</v>
      </c>
      <c r="F74" s="520">
        <f>(((F19*2)+ (F19*1/3))+(F36)+(F44-F38-F39))*$B$74</f>
        <v>0</v>
      </c>
    </row>
    <row r="75" spans="1:6" ht="15.75" customHeight="1" x14ac:dyDescent="0.2">
      <c r="A75" s="541" t="s">
        <v>452</v>
      </c>
      <c r="B75" s="542"/>
      <c r="C75" s="543"/>
      <c r="D75" s="543"/>
      <c r="E75" s="544"/>
      <c r="F75" s="545"/>
    </row>
    <row r="76" spans="1:6" ht="15.75" customHeight="1" x14ac:dyDescent="0.2">
      <c r="A76" s="491" t="s">
        <v>494</v>
      </c>
      <c r="B76" s="492"/>
      <c r="C76" s="492"/>
      <c r="D76" s="492"/>
      <c r="E76" s="493"/>
      <c r="F76" s="494"/>
    </row>
    <row r="77" spans="1:6" ht="15.75" customHeight="1" x14ac:dyDescent="0.2">
      <c r="A77" s="514" t="s">
        <v>41</v>
      </c>
      <c r="B77" s="525">
        <f>B69</f>
        <v>9.9662923611111107E-2</v>
      </c>
      <c r="C77" s="526">
        <f>C69</f>
        <v>0</v>
      </c>
      <c r="D77" s="526">
        <f>D69</f>
        <v>0</v>
      </c>
      <c r="E77" s="526">
        <f>E69</f>
        <v>0</v>
      </c>
      <c r="F77" s="527">
        <f>F69</f>
        <v>0</v>
      </c>
    </row>
    <row r="78" spans="1:6" ht="15.75" customHeight="1" x14ac:dyDescent="0.2">
      <c r="A78" s="514" t="s">
        <v>492</v>
      </c>
      <c r="B78" s="525">
        <f>B72</f>
        <v>0</v>
      </c>
      <c r="C78" s="526">
        <f>C72</f>
        <v>0</v>
      </c>
      <c r="D78" s="526">
        <f>D72</f>
        <v>0</v>
      </c>
      <c r="E78" s="526">
        <f>E72</f>
        <v>0</v>
      </c>
      <c r="F78" s="527">
        <f>F72</f>
        <v>0</v>
      </c>
    </row>
    <row r="79" spans="1:6" ht="15.75" customHeight="1" x14ac:dyDescent="0.2">
      <c r="A79" s="514" t="s">
        <v>63</v>
      </c>
      <c r="B79" s="525">
        <f>B74</f>
        <v>6.18624E-3</v>
      </c>
      <c r="C79" s="526">
        <f>C74</f>
        <v>0</v>
      </c>
      <c r="D79" s="526">
        <f>D74</f>
        <v>0</v>
      </c>
      <c r="E79" s="526">
        <f>E74</f>
        <v>0</v>
      </c>
      <c r="F79" s="527">
        <f>F74</f>
        <v>0</v>
      </c>
    </row>
    <row r="80" spans="1:6" ht="15.75" customHeight="1" x14ac:dyDescent="0.2">
      <c r="A80" s="502" t="s">
        <v>452</v>
      </c>
      <c r="B80" s="503"/>
      <c r="C80" s="504">
        <f>SUM(C77:C79)</f>
        <v>0</v>
      </c>
      <c r="D80" s="504">
        <f>SUM(D77:D79)</f>
        <v>0</v>
      </c>
      <c r="E80" s="505">
        <f>SUM(E77:E79)</f>
        <v>0</v>
      </c>
      <c r="F80" s="506">
        <f>SUM(F77:F79)</f>
        <v>0</v>
      </c>
    </row>
    <row r="81" spans="1:6" ht="15.75" customHeight="1" x14ac:dyDescent="0.2">
      <c r="A81" s="507"/>
      <c r="B81" s="508"/>
      <c r="C81" s="508"/>
      <c r="D81" s="508"/>
      <c r="E81" s="509"/>
      <c r="F81" s="510"/>
    </row>
    <row r="82" spans="1:6" ht="15.75" customHeight="1" x14ac:dyDescent="0.2">
      <c r="A82" s="546" t="s">
        <v>495</v>
      </c>
      <c r="B82" s="547"/>
      <c r="C82" s="547"/>
      <c r="D82" s="547"/>
      <c r="E82" s="547"/>
      <c r="F82" s="548"/>
    </row>
    <row r="83" spans="1:6" ht="15.75" customHeight="1" x14ac:dyDescent="0.2">
      <c r="A83" s="491" t="s">
        <v>496</v>
      </c>
      <c r="B83" s="492" t="s">
        <v>468</v>
      </c>
      <c r="C83" s="492" t="s">
        <v>445</v>
      </c>
      <c r="D83" s="492" t="s">
        <v>445</v>
      </c>
      <c r="E83" s="492" t="s">
        <v>445</v>
      </c>
      <c r="F83" s="494" t="s">
        <v>445</v>
      </c>
    </row>
    <row r="84" spans="1:6" ht="15.75" customHeight="1" x14ac:dyDescent="0.2">
      <c r="A84" s="514" t="s">
        <v>497</v>
      </c>
      <c r="B84" s="549">
        <f>Insumos!I105</f>
        <v>0</v>
      </c>
      <c r="C84" s="497">
        <f>B84</f>
        <v>0</v>
      </c>
      <c r="D84" s="497">
        <f>B84</f>
        <v>0</v>
      </c>
      <c r="E84" s="498">
        <f>B84</f>
        <v>0</v>
      </c>
      <c r="F84" s="499">
        <f>Insumos!I112</f>
        <v>0</v>
      </c>
    </row>
    <row r="85" spans="1:6" ht="15.75" customHeight="1" x14ac:dyDescent="0.2">
      <c r="A85" s="550" t="s">
        <v>498</v>
      </c>
      <c r="B85" s="549">
        <f>Insumos!G59</f>
        <v>0</v>
      </c>
      <c r="C85" s="497">
        <f>B85</f>
        <v>0</v>
      </c>
      <c r="D85" s="497">
        <f>B85</f>
        <v>0</v>
      </c>
      <c r="E85" s="498"/>
      <c r="F85" s="499"/>
    </row>
    <row r="86" spans="1:6" ht="15.75" customHeight="1" x14ac:dyDescent="0.2">
      <c r="A86" s="550" t="s">
        <v>499</v>
      </c>
      <c r="B86" s="551">
        <f>Insumos!I99</f>
        <v>0</v>
      </c>
      <c r="C86" s="497">
        <f>B86</f>
        <v>0</v>
      </c>
      <c r="D86" s="497">
        <f>B86</f>
        <v>0</v>
      </c>
      <c r="E86" s="498"/>
      <c r="F86" s="499"/>
    </row>
    <row r="87" spans="1:6" ht="15.75" customHeight="1" x14ac:dyDescent="0.2">
      <c r="A87" s="550" t="s">
        <v>500</v>
      </c>
      <c r="B87" s="549">
        <f>Insumos!I129</f>
        <v>0</v>
      </c>
      <c r="C87" s="497">
        <f>Insumos!I129</f>
        <v>0</v>
      </c>
      <c r="D87" s="497">
        <f>Insumos!H129</f>
        <v>0</v>
      </c>
      <c r="E87" s="498"/>
      <c r="F87" s="499"/>
    </row>
    <row r="88" spans="1:6" ht="15.75" customHeight="1" x14ac:dyDescent="0.2">
      <c r="A88" s="550" t="s">
        <v>501</v>
      </c>
      <c r="B88" s="500">
        <v>0.12</v>
      </c>
      <c r="C88" s="497"/>
      <c r="D88" s="497"/>
      <c r="E88" s="498">
        <f>B88*(E123+E124+E84)</f>
        <v>0</v>
      </c>
      <c r="F88" s="499"/>
    </row>
    <row r="89" spans="1:6" ht="15.75" customHeight="1" x14ac:dyDescent="0.2">
      <c r="A89" s="550" t="s">
        <v>502</v>
      </c>
      <c r="B89" s="549">
        <f>Insumos!H146</f>
        <v>0</v>
      </c>
      <c r="C89" s="497"/>
      <c r="D89" s="497"/>
      <c r="E89" s="498"/>
      <c r="F89" s="499">
        <f>B89</f>
        <v>0</v>
      </c>
    </row>
    <row r="90" spans="1:6" ht="15.75" customHeight="1" x14ac:dyDescent="0.2">
      <c r="A90" s="550" t="s">
        <v>503</v>
      </c>
      <c r="B90" s="549"/>
      <c r="C90" s="497"/>
      <c r="D90" s="497"/>
      <c r="E90" s="498"/>
      <c r="F90" s="499">
        <f>B90</f>
        <v>0</v>
      </c>
    </row>
    <row r="91" spans="1:6" ht="15.75" customHeight="1" x14ac:dyDescent="0.2">
      <c r="A91" s="541" t="s">
        <v>452</v>
      </c>
      <c r="B91" s="552"/>
      <c r="C91" s="543">
        <f>SUM(C84:C90)</f>
        <v>0</v>
      </c>
      <c r="D91" s="543">
        <f>SUM(D84:D90)</f>
        <v>0</v>
      </c>
      <c r="E91" s="543">
        <f>SUM(E84:E90)</f>
        <v>0</v>
      </c>
      <c r="F91" s="543">
        <f>SUM(F84:F90)</f>
        <v>0</v>
      </c>
    </row>
    <row r="92" spans="1:6" ht="15.75" customHeight="1" x14ac:dyDescent="0.2">
      <c r="A92" s="827"/>
      <c r="B92" s="827"/>
      <c r="C92" s="553"/>
      <c r="D92" s="553"/>
      <c r="E92" s="554"/>
      <c r="F92" s="555"/>
    </row>
    <row r="93" spans="1:6" ht="15.75" customHeight="1" x14ac:dyDescent="0.2">
      <c r="A93" s="546" t="s">
        <v>504</v>
      </c>
      <c r="B93" s="547"/>
      <c r="C93" s="547"/>
      <c r="D93" s="547"/>
      <c r="E93" s="547"/>
      <c r="F93" s="548"/>
    </row>
    <row r="94" spans="1:6" ht="15.75" customHeight="1" x14ac:dyDescent="0.2">
      <c r="A94" s="491" t="s">
        <v>505</v>
      </c>
      <c r="B94" s="492" t="s">
        <v>444</v>
      </c>
      <c r="C94" s="492" t="s">
        <v>445</v>
      </c>
      <c r="D94" s="492" t="s">
        <v>445</v>
      </c>
      <c r="E94" s="492" t="s">
        <v>445</v>
      </c>
      <c r="F94" s="494"/>
    </row>
    <row r="95" spans="1:6" ht="15.75" customHeight="1" x14ac:dyDescent="0.2">
      <c r="A95" s="495" t="s">
        <v>69</v>
      </c>
      <c r="B95" s="500">
        <f>MC!C64</f>
        <v>0</v>
      </c>
      <c r="C95" s="519">
        <f>($C$19+$C$49+$C$60+$C$80+$C$91)*$B$95</f>
        <v>0</v>
      </c>
      <c r="D95" s="519">
        <f>($D$19+$D$49+$D$60+$D$80+$D$91)*$B$95</f>
        <v>0</v>
      </c>
      <c r="E95" s="524">
        <f>($E$19+$E$49+$E$60+$E$80+$E$91)*$B$95</f>
        <v>0</v>
      </c>
      <c r="F95" s="520">
        <f>($F$19+$F$49+$F$60+$F$80+$F$91)*$B$95</f>
        <v>0</v>
      </c>
    </row>
    <row r="96" spans="1:6" ht="15.75" customHeight="1" x14ac:dyDescent="0.2">
      <c r="A96" s="495" t="s">
        <v>70</v>
      </c>
      <c r="B96" s="500">
        <f>MC!C65</f>
        <v>0</v>
      </c>
      <c r="C96" s="519">
        <f>($C$19+$C$49+$C$60+$C$80+$C$91+C95)*B96</f>
        <v>0</v>
      </c>
      <c r="D96" s="519">
        <f>($D$19+$D$49+$D$60+$D$80+$D$91+$D$95)*$B$96</f>
        <v>0</v>
      </c>
      <c r="E96" s="519">
        <f>($E$19+$E$49+$E$60+$E$80+$E$91+$E$95)*$B$96</f>
        <v>0</v>
      </c>
      <c r="F96" s="520">
        <f>($F$19+$F$49+$F$60+$F$80+$F$91+F95)*$B$96</f>
        <v>0</v>
      </c>
    </row>
    <row r="97" spans="1:7" ht="15.75" customHeight="1" x14ac:dyDescent="0.2">
      <c r="A97" s="556" t="s">
        <v>506</v>
      </c>
      <c r="B97" s="557">
        <f>B98+B99</f>
        <v>0.1125</v>
      </c>
      <c r="C97" s="558">
        <f>((C19+C49+C60+C80+C91+C95+C96)/(1-($B$97)))*$B$97</f>
        <v>0</v>
      </c>
      <c r="D97" s="558">
        <f>((D19+D49+D60+D80+D91+D95+D96)/(1-($B$97)))*$B$97</f>
        <v>0</v>
      </c>
      <c r="E97" s="558">
        <f>((E19+E49+E60+E80+E91+E95+E96)/(1-($B$97)))*$B$97</f>
        <v>0</v>
      </c>
      <c r="F97" s="558">
        <f>((F19+F49+F60+F80+F91+F95+F96)/(1-($B$97)))*$B$97</f>
        <v>0</v>
      </c>
    </row>
    <row r="98" spans="1:7" ht="15.75" customHeight="1" x14ac:dyDescent="0.2">
      <c r="A98" s="495" t="s">
        <v>507</v>
      </c>
      <c r="B98" s="500">
        <f>0.0165+0.076</f>
        <v>9.2499999999999999E-2</v>
      </c>
      <c r="C98" s="559">
        <f>((C$19+C$49+C$60+C$80+C$91+C$95+C$96)/(1-($B$97)))*$B$98</f>
        <v>0</v>
      </c>
      <c r="D98" s="559">
        <f>((D$19+D$49+D$60+D$80+D$91+D$95+D$96)/(1-($B$97)))*$B$98</f>
        <v>0</v>
      </c>
      <c r="E98" s="559">
        <f>((E$19+E$49+E$60+E$80+E$91+E$95+E$96)/(1-($B$97)))*$B$98</f>
        <v>0</v>
      </c>
      <c r="F98" s="559">
        <f>((F$19+F$49+F$60+F$80+F$91+F$95+F$96)/(1-($B$97)))*$B$98</f>
        <v>0</v>
      </c>
    </row>
    <row r="99" spans="1:7" ht="15.75" customHeight="1" x14ac:dyDescent="0.2">
      <c r="A99" s="495" t="s">
        <v>508</v>
      </c>
      <c r="B99" s="500">
        <v>0.02</v>
      </c>
      <c r="C99" s="560">
        <f>((C$19+C$49+C$60+C$80+C$91+C$95+C$96)/(1-($B$97)))*$B$99</f>
        <v>0</v>
      </c>
      <c r="D99" s="560">
        <f>((D$19+D$49+D$60+D$80+D$91+D$95+D$96)/(1-($B$97)))*$B$99</f>
        <v>0</v>
      </c>
      <c r="E99" s="560">
        <f>((E$19+E$49+E$60+E$80+E$91+E$95+E$96)/(1-($B$97)))*$B$99</f>
        <v>0</v>
      </c>
      <c r="F99" s="560">
        <f>((F$19+F$49+F$60+F$80+F$91+F$95+F$96)/(1-($B$97)))*$B$99</f>
        <v>0</v>
      </c>
    </row>
    <row r="100" spans="1:7" ht="15.75" customHeight="1" x14ac:dyDescent="0.2">
      <c r="A100" s="556" t="s">
        <v>509</v>
      </c>
      <c r="B100" s="557">
        <f>B101+B102</f>
        <v>0.11749999999999999</v>
      </c>
      <c r="C100" s="558">
        <f>((C19+C49+C60+C80+C91+C95+C96)/(1-($B$100)))*$B$100</f>
        <v>0</v>
      </c>
      <c r="D100" s="558">
        <f>((D19+D49+D60+D80+D91+D95+D96)/(1-($B$100)))*$B$100</f>
        <v>0</v>
      </c>
      <c r="E100" s="558">
        <f>((E19+E49+E60+E80+E91+E95+E96)/(1-($B$100)))*$B$100</f>
        <v>0</v>
      </c>
      <c r="F100" s="558">
        <f>((F19+F49+F60+F80+F91+F95+F96)/(1-($B$100)))*$B$100</f>
        <v>0</v>
      </c>
    </row>
    <row r="101" spans="1:7" ht="15.75" customHeight="1" x14ac:dyDescent="0.2">
      <c r="A101" s="495" t="s">
        <v>507</v>
      </c>
      <c r="B101" s="500">
        <f>0.0165+0.076</f>
        <v>9.2499999999999999E-2</v>
      </c>
      <c r="C101" s="559">
        <f>((C19+C49+C60+C80+C91+C95+C96)/(1-($B$100)))*$B$101</f>
        <v>0</v>
      </c>
      <c r="D101" s="559">
        <f>((D19+D49+D60+D80+D91+D95+D96)/(1-($B$100)))*$B$101</f>
        <v>0</v>
      </c>
      <c r="E101" s="559">
        <f>((E19+E49+E60+E80+E91+E95+E96)/(1-($B$100)))*$B$101</f>
        <v>0</v>
      </c>
      <c r="F101" s="559">
        <f>((F19+F49+F60+F80+F91+F95+F96)/(1-($B$100)))*$B$101</f>
        <v>0</v>
      </c>
    </row>
    <row r="102" spans="1:7" ht="15.75" customHeight="1" x14ac:dyDescent="0.2">
      <c r="A102" s="495" t="s">
        <v>508</v>
      </c>
      <c r="B102" s="500">
        <v>2.5000000000000001E-2</v>
      </c>
      <c r="C102" s="560">
        <f>((C$19+C$49+C$60+C$80+C$91+C$95+C$96)/(1-($B$100)))*$B$102</f>
        <v>0</v>
      </c>
      <c r="D102" s="560">
        <f>((D$19+D$49+D$60+D$80+D$91+D$95+D$96)/(1-($B$100)))*$B$102</f>
        <v>0</v>
      </c>
      <c r="E102" s="560">
        <f>((E$19+E$49+E$60+E$80+E$91+E$95+E$96)/(1-($B$100)))*$B$102</f>
        <v>0</v>
      </c>
      <c r="F102" s="560">
        <f>((F$19+F$49+F$60+F$80+F$91+F$95+F$96)/(1-($B$100)))*$B$102</f>
        <v>0</v>
      </c>
    </row>
    <row r="103" spans="1:7" ht="15.75" customHeight="1" x14ac:dyDescent="0.2">
      <c r="A103" s="556" t="s">
        <v>510</v>
      </c>
      <c r="B103" s="557">
        <f>B104+B105</f>
        <v>0.1225</v>
      </c>
      <c r="C103" s="558">
        <f>((C19+C49+C60+C80+C91+C95+C96)/(1-($B$103)))*$B$103</f>
        <v>0</v>
      </c>
      <c r="D103" s="558">
        <f>((D19+D49+D60+D80+D91+D95+D96)/(1-($B$103)))*$B$103</f>
        <v>0</v>
      </c>
      <c r="E103" s="558">
        <f>((E19+E49+E60+E80+E91+E95+E96)/(1-($B$103)))*$B$103</f>
        <v>0</v>
      </c>
      <c r="F103" s="558">
        <f>((F19+F49+F60+F80+F91+F95+F96)/(1-($B$103)))*$B$103</f>
        <v>0</v>
      </c>
    </row>
    <row r="104" spans="1:7" ht="15.75" customHeight="1" x14ac:dyDescent="0.2">
      <c r="A104" s="495" t="s">
        <v>507</v>
      </c>
      <c r="B104" s="500">
        <f>0.0165+0.076</f>
        <v>9.2499999999999999E-2</v>
      </c>
      <c r="C104" s="559">
        <f>((C19+C49+C60+C80+C91+C95+C96)/(1-($B$103)))*$B$104</f>
        <v>0</v>
      </c>
      <c r="D104" s="559">
        <f>((D19+D49+D60+D80+D91+D95+D96)/(1-($B$103)))*$B$104</f>
        <v>0</v>
      </c>
      <c r="E104" s="559">
        <f>((E19+E49+E60+E80+E91+E95+E96)/(1-($B$103)))*$B$104</f>
        <v>0</v>
      </c>
      <c r="F104" s="559">
        <f>((F19+F49+F60+F80+F91+F95+F96)/(1-($B$103)))*$B$104</f>
        <v>0</v>
      </c>
    </row>
    <row r="105" spans="1:7" ht="15.75" customHeight="1" x14ac:dyDescent="0.2">
      <c r="A105" s="495" t="s">
        <v>508</v>
      </c>
      <c r="B105" s="500">
        <v>0.03</v>
      </c>
      <c r="C105" s="560">
        <f>((C19+C49+C60+C80+C91+C95+C96)/(1-($B$103)))*$B$105</f>
        <v>0</v>
      </c>
      <c r="D105" s="560">
        <f>((D19+D49+D60+D80+D91+D95+D96)/(1-($B$103)))*$B$105</f>
        <v>0</v>
      </c>
      <c r="E105" s="560">
        <f>((E19+E49+E60+E80+E91+E95+E96)/(1-($B$103)))*$B$105</f>
        <v>0</v>
      </c>
      <c r="F105" s="560">
        <f>((F19+F49+F60+F80+F91+F95+F96)/(1-($B$103)))*$B$105</f>
        <v>0</v>
      </c>
      <c r="G105" s="561"/>
    </row>
    <row r="106" spans="1:7" ht="15.75" customHeight="1" x14ac:dyDescent="0.2">
      <c r="A106" s="556" t="s">
        <v>511</v>
      </c>
      <c r="B106" s="557">
        <f>B107+B108</f>
        <v>0.13250000000000001</v>
      </c>
      <c r="C106" s="558">
        <f>((C19+C49+C60+C80+C91+C95+C96)/(1-($B$106)))*$B$106</f>
        <v>0</v>
      </c>
      <c r="D106" s="558">
        <f>((D19+D49+D60+D80+D91+D95+D96)/(1-($B$106)))*$B$106</f>
        <v>0</v>
      </c>
      <c r="E106" s="558">
        <f>((E19+E49+E60+E80+E91+E95+E96)/(1-($B$106)))*$B$106</f>
        <v>0</v>
      </c>
      <c r="F106" s="558">
        <f>((F19+F49+F60+F80+F91+F95+F96)/(1-($B$106)))*$B$106</f>
        <v>0</v>
      </c>
    </row>
    <row r="107" spans="1:7" ht="15.75" customHeight="1" x14ac:dyDescent="0.2">
      <c r="A107" s="495" t="s">
        <v>507</v>
      </c>
      <c r="B107" s="500">
        <f>0.0165+0.076</f>
        <v>9.2499999999999999E-2</v>
      </c>
      <c r="C107" s="559">
        <f>((C19+C49+C60+C80+C91+C95+C96)/(1-($B$106)))*$B$107</f>
        <v>0</v>
      </c>
      <c r="D107" s="559">
        <f>((D19+D49+D60+D80+D91+D95+D96)/(1-($B$106)))*$B$107</f>
        <v>0</v>
      </c>
      <c r="E107" s="559">
        <f>((E19+E49+E60+E80+E91+E95+E96)/(1-($B$106)))*$B$107</f>
        <v>0</v>
      </c>
      <c r="F107" s="559">
        <f>((F19+F49+F60+F80+F91+F95+F96)/(1-($B$106)))*$B$107</f>
        <v>0</v>
      </c>
    </row>
    <row r="108" spans="1:7" ht="15.75" customHeight="1" x14ac:dyDescent="0.2">
      <c r="A108" s="495" t="s">
        <v>508</v>
      </c>
      <c r="B108" s="500">
        <v>0.04</v>
      </c>
      <c r="C108" s="560">
        <f>((C19+C49+C60+C80+C91+C95+C96)/(1-($B$106)))*$B$108</f>
        <v>0</v>
      </c>
      <c r="D108" s="560">
        <f>((D19+D49+D60+D80+D91+D95+D96)/(1-($B$106)))*$B$108</f>
        <v>0</v>
      </c>
      <c r="E108" s="560">
        <f>((E19+E49+E60+E80+E91+E95+E96)/(1-($B$106)))*$B$108</f>
        <v>0</v>
      </c>
      <c r="F108" s="560">
        <f>((F19+F49+F60+F80+F91+F95+F96)/(1-($B$106)))*$B$108</f>
        <v>0</v>
      </c>
    </row>
    <row r="109" spans="1:7" ht="15.75" customHeight="1" x14ac:dyDescent="0.2">
      <c r="A109" s="556" t="s">
        <v>512</v>
      </c>
      <c r="B109" s="557">
        <f>B110+B111</f>
        <v>0.14250000000000002</v>
      </c>
      <c r="C109" s="558">
        <f>((C19+C49+C60+C80+C91+C95+C96)/(1-($B$109)))*$B$109</f>
        <v>0</v>
      </c>
      <c r="D109" s="558">
        <f>((D19+D49+D60+D80+D91+D95+D96)/(1-($B$109)))*$B$109</f>
        <v>0</v>
      </c>
      <c r="E109" s="558">
        <f>((E19+E49+E60+E80+E91+E95+E96)/(1-($B$109)))*$B$109</f>
        <v>0</v>
      </c>
      <c r="F109" s="558">
        <f>((F19+F49+F60+F80+F91+F95+F96)/(1-($B$109)))*$B$109</f>
        <v>0</v>
      </c>
    </row>
    <row r="110" spans="1:7" ht="15.75" customHeight="1" x14ac:dyDescent="0.2">
      <c r="A110" s="495" t="s">
        <v>507</v>
      </c>
      <c r="B110" s="500">
        <f>0.0165+0.076</f>
        <v>9.2499999999999999E-2</v>
      </c>
      <c r="C110" s="559">
        <f>((C19+C49+C60+C80+C91+C95+C96)/(1-($B$109)))*$B$110</f>
        <v>0</v>
      </c>
      <c r="D110" s="559">
        <f>((D19+D49+D60+D80+D91+D95+D96)/(1-($B$109)))*$B$110</f>
        <v>0</v>
      </c>
      <c r="E110" s="559">
        <f>((E19+E49+E60+E80+E91+E95+E96)/(1-($B$109)))*$B$110</f>
        <v>0</v>
      </c>
      <c r="F110" s="559">
        <f>((F19+F49+F60+F80+F91+F95+F96)/(1-($B$109)))*$B$110</f>
        <v>0</v>
      </c>
    </row>
    <row r="111" spans="1:7" ht="15.75" customHeight="1" x14ac:dyDescent="0.2">
      <c r="A111" s="495" t="s">
        <v>508</v>
      </c>
      <c r="B111" s="562">
        <v>0.05</v>
      </c>
      <c r="C111" s="560">
        <f>((C19+C49+C60+C80+C91+C95+C96)/(1-($B$109)))*$B$111</f>
        <v>0</v>
      </c>
      <c r="D111" s="560">
        <f>((D19+D49+D60+D80+D91+D95+D96)/(1-($B$109)))*$B$111</f>
        <v>0</v>
      </c>
      <c r="E111" s="560">
        <f>((E19+E49+E60+E80+E91+E95+E96)/(1-($B$109)))*$B$111</f>
        <v>0</v>
      </c>
      <c r="F111" s="560">
        <f>((F19+F49+F60+F80+F91+F95+F96)/(1-($B$109)))*$B$111</f>
        <v>0</v>
      </c>
    </row>
    <row r="112" spans="1:7" ht="15.75" customHeight="1" x14ac:dyDescent="0.2">
      <c r="A112" s="829" t="s">
        <v>513</v>
      </c>
      <c r="B112" s="563">
        <v>0.02</v>
      </c>
      <c r="C112" s="564">
        <f>C95+C96+C97</f>
        <v>0</v>
      </c>
      <c r="D112" s="564">
        <f>D95+D96+D97</f>
        <v>0</v>
      </c>
      <c r="E112" s="564">
        <f>E95+E96+E97</f>
        <v>0</v>
      </c>
      <c r="F112" s="564">
        <f>F95+F96+F97</f>
        <v>0</v>
      </c>
    </row>
    <row r="113" spans="1:7" ht="15.75" customHeight="1" x14ac:dyDescent="0.2">
      <c r="A113" s="829"/>
      <c r="B113" s="565">
        <v>2.5000000000000001E-2</v>
      </c>
      <c r="C113" s="566">
        <f>C95+C96+C100</f>
        <v>0</v>
      </c>
      <c r="D113" s="566">
        <f>D95+D96+D100</f>
        <v>0</v>
      </c>
      <c r="E113" s="566">
        <f>E95+E96+E100</f>
        <v>0</v>
      </c>
      <c r="F113" s="566">
        <f>F95+F96+F100</f>
        <v>0</v>
      </c>
    </row>
    <row r="114" spans="1:7" ht="15.75" customHeight="1" x14ac:dyDescent="0.2">
      <c r="A114" s="829"/>
      <c r="B114" s="565">
        <v>0.03</v>
      </c>
      <c r="C114" s="566">
        <f>C95+C96+C103</f>
        <v>0</v>
      </c>
      <c r="D114" s="566">
        <f>D95+D96+D103</f>
        <v>0</v>
      </c>
      <c r="E114" s="566">
        <f>E95+E96+E103</f>
        <v>0</v>
      </c>
      <c r="F114" s="566">
        <f>F95+F96+F103</f>
        <v>0</v>
      </c>
      <c r="G114" s="561"/>
    </row>
    <row r="115" spans="1:7" ht="15.75" customHeight="1" x14ac:dyDescent="0.2">
      <c r="A115" s="829"/>
      <c r="B115" s="565">
        <v>0.04</v>
      </c>
      <c r="C115" s="566">
        <f>C95+C96+C106</f>
        <v>0</v>
      </c>
      <c r="D115" s="566">
        <f>D95+D96+D106</f>
        <v>0</v>
      </c>
      <c r="E115" s="566">
        <f>E95+E96+E106</f>
        <v>0</v>
      </c>
      <c r="F115" s="566">
        <f>F95+F96+F106</f>
        <v>0</v>
      </c>
    </row>
    <row r="116" spans="1:7" ht="15.75" customHeight="1" x14ac:dyDescent="0.2">
      <c r="A116" s="829"/>
      <c r="B116" s="567">
        <v>0.05</v>
      </c>
      <c r="C116" s="568">
        <f>C95+C96+C109</f>
        <v>0</v>
      </c>
      <c r="D116" s="568">
        <f>D95+D96+D109</f>
        <v>0</v>
      </c>
      <c r="E116" s="568">
        <f>E95+E96+E109</f>
        <v>0</v>
      </c>
      <c r="F116" s="568">
        <f>F95+F96+F109</f>
        <v>0</v>
      </c>
    </row>
    <row r="117" spans="1:7" ht="15.75" customHeight="1" x14ac:dyDescent="0.2">
      <c r="A117" s="495" t="s">
        <v>514</v>
      </c>
      <c r="B117" s="569"/>
      <c r="C117" s="570"/>
      <c r="D117" s="570"/>
      <c r="E117" s="571"/>
      <c r="F117" s="572"/>
    </row>
    <row r="118" spans="1:7" ht="15.75" customHeight="1" x14ac:dyDescent="0.2">
      <c r="A118" s="573"/>
      <c r="B118" s="574"/>
      <c r="C118" s="575"/>
      <c r="D118" s="575"/>
      <c r="E118" s="576"/>
      <c r="F118" s="577"/>
    </row>
    <row r="119" spans="1:7" ht="15.75" customHeight="1" x14ac:dyDescent="0.2">
      <c r="A119" s="830"/>
      <c r="B119" s="830"/>
      <c r="C119" s="830"/>
      <c r="D119" s="830"/>
      <c r="E119" s="830"/>
      <c r="F119" s="830"/>
    </row>
    <row r="120" spans="1:7" ht="15.75" customHeight="1" x14ac:dyDescent="0.2">
      <c r="A120" s="831"/>
      <c r="B120" s="831"/>
      <c r="C120" s="831"/>
      <c r="D120" s="831"/>
      <c r="E120" s="831"/>
      <c r="F120" s="831"/>
    </row>
    <row r="121" spans="1:7" ht="54.75" customHeight="1" x14ac:dyDescent="0.2">
      <c r="A121" s="832" t="s">
        <v>515</v>
      </c>
      <c r="B121" s="832"/>
      <c r="C121" s="578" t="str">
        <f>C10</f>
        <v xml:space="preserve">Servente 44h </v>
      </c>
      <c r="D121" s="578" t="str">
        <f>D10</f>
        <v>Servente 30h</v>
      </c>
      <c r="E121" s="579" t="str">
        <f>E10</f>
        <v>Servente 44h limpeza de esquadrias com risco</v>
      </c>
      <c r="F121" s="580" t="str">
        <f>F10</f>
        <v>Encarregada 44h</v>
      </c>
    </row>
    <row r="122" spans="1:7" ht="15.75" customHeight="1" x14ac:dyDescent="0.2">
      <c r="A122" s="833" t="s">
        <v>516</v>
      </c>
      <c r="B122" s="833"/>
      <c r="C122" s="581" t="s">
        <v>445</v>
      </c>
      <c r="D122" s="581" t="s">
        <v>445</v>
      </c>
      <c r="E122" s="581" t="s">
        <v>445</v>
      </c>
      <c r="F122" s="582" t="s">
        <v>445</v>
      </c>
    </row>
    <row r="123" spans="1:7" ht="14.25" customHeight="1" x14ac:dyDescent="0.2">
      <c r="A123" s="834" t="s">
        <v>517</v>
      </c>
      <c r="B123" s="834"/>
      <c r="C123" s="583">
        <f>C19</f>
        <v>0</v>
      </c>
      <c r="D123" s="583">
        <f>D19</f>
        <v>0</v>
      </c>
      <c r="E123" s="583">
        <f>E19</f>
        <v>0</v>
      </c>
      <c r="F123" s="584">
        <f>F19</f>
        <v>0</v>
      </c>
    </row>
    <row r="124" spans="1:7" ht="14.25" customHeight="1" x14ac:dyDescent="0.2">
      <c r="A124" s="835" t="s">
        <v>518</v>
      </c>
      <c r="B124" s="835"/>
      <c r="C124" s="585">
        <f>C49</f>
        <v>0</v>
      </c>
      <c r="D124" s="585">
        <f>D49</f>
        <v>0</v>
      </c>
      <c r="E124" s="585">
        <f>E49</f>
        <v>0</v>
      </c>
      <c r="F124" s="586">
        <f>F49</f>
        <v>0</v>
      </c>
    </row>
    <row r="125" spans="1:7" ht="14.25" customHeight="1" x14ac:dyDescent="0.2">
      <c r="A125" s="835" t="s">
        <v>519</v>
      </c>
      <c r="B125" s="835"/>
      <c r="C125" s="585">
        <f>C60</f>
        <v>0</v>
      </c>
      <c r="D125" s="585">
        <f>D60</f>
        <v>0</v>
      </c>
      <c r="E125" s="585">
        <f>E60</f>
        <v>0</v>
      </c>
      <c r="F125" s="586">
        <f>F60</f>
        <v>0</v>
      </c>
    </row>
    <row r="126" spans="1:7" ht="14.25" customHeight="1" x14ac:dyDescent="0.2">
      <c r="A126" s="835" t="s">
        <v>520</v>
      </c>
      <c r="B126" s="835"/>
      <c r="C126" s="585">
        <f>C80</f>
        <v>0</v>
      </c>
      <c r="D126" s="585">
        <f>D80</f>
        <v>0</v>
      </c>
      <c r="E126" s="585">
        <f>E80</f>
        <v>0</v>
      </c>
      <c r="F126" s="586">
        <f>F69</f>
        <v>0</v>
      </c>
    </row>
    <row r="127" spans="1:7" ht="15.75" customHeight="1" x14ac:dyDescent="0.2">
      <c r="A127" s="835" t="s">
        <v>521</v>
      </c>
      <c r="B127" s="835"/>
      <c r="C127" s="585">
        <f>C91</f>
        <v>0</v>
      </c>
      <c r="D127" s="585">
        <f>D91</f>
        <v>0</v>
      </c>
      <c r="E127" s="585">
        <f>E91</f>
        <v>0</v>
      </c>
      <c r="F127" s="586">
        <f>F91</f>
        <v>0</v>
      </c>
    </row>
    <row r="128" spans="1:7" ht="15.75" customHeight="1" x14ac:dyDescent="0.2">
      <c r="A128" s="836" t="s">
        <v>522</v>
      </c>
      <c r="B128" s="836"/>
      <c r="C128" s="587">
        <f>SUM(C123:C127)</f>
        <v>0</v>
      </c>
      <c r="D128" s="587">
        <f>SUM(D123:D127)</f>
        <v>0</v>
      </c>
      <c r="E128" s="588">
        <f>SUM(E123:E127)</f>
        <v>0</v>
      </c>
      <c r="F128" s="589">
        <f>SUM(F123:F127)</f>
        <v>0</v>
      </c>
    </row>
    <row r="129" spans="1:6" ht="15.75" customHeight="1" x14ac:dyDescent="0.2">
      <c r="A129" s="837" t="s">
        <v>523</v>
      </c>
      <c r="B129" s="837"/>
      <c r="C129" s="590">
        <f t="shared" ref="C129:F133" si="4">C112</f>
        <v>0</v>
      </c>
      <c r="D129" s="590">
        <f t="shared" si="4"/>
        <v>0</v>
      </c>
      <c r="E129" s="590">
        <f t="shared" si="4"/>
        <v>0</v>
      </c>
      <c r="F129" s="591">
        <f t="shared" si="4"/>
        <v>0</v>
      </c>
    </row>
    <row r="130" spans="1:6" ht="15.75" customHeight="1" x14ac:dyDescent="0.2">
      <c r="A130" s="835" t="s">
        <v>524</v>
      </c>
      <c r="B130" s="835"/>
      <c r="C130" s="592">
        <f t="shared" si="4"/>
        <v>0</v>
      </c>
      <c r="D130" s="592">
        <f t="shared" si="4"/>
        <v>0</v>
      </c>
      <c r="E130" s="592">
        <f t="shared" si="4"/>
        <v>0</v>
      </c>
      <c r="F130" s="593">
        <f t="shared" si="4"/>
        <v>0</v>
      </c>
    </row>
    <row r="131" spans="1:6" ht="15.75" customHeight="1" x14ac:dyDescent="0.2">
      <c r="A131" s="835" t="s">
        <v>525</v>
      </c>
      <c r="B131" s="835"/>
      <c r="C131" s="592">
        <f t="shared" si="4"/>
        <v>0</v>
      </c>
      <c r="D131" s="592">
        <f t="shared" si="4"/>
        <v>0</v>
      </c>
      <c r="E131" s="592">
        <f t="shared" si="4"/>
        <v>0</v>
      </c>
      <c r="F131" s="593">
        <f t="shared" si="4"/>
        <v>0</v>
      </c>
    </row>
    <row r="132" spans="1:6" ht="15.75" customHeight="1" x14ac:dyDescent="0.2">
      <c r="A132" s="835" t="s">
        <v>526</v>
      </c>
      <c r="B132" s="835"/>
      <c r="C132" s="592">
        <f t="shared" si="4"/>
        <v>0</v>
      </c>
      <c r="D132" s="592">
        <f t="shared" si="4"/>
        <v>0</v>
      </c>
      <c r="E132" s="592">
        <f t="shared" si="4"/>
        <v>0</v>
      </c>
      <c r="F132" s="593">
        <f t="shared" si="4"/>
        <v>0</v>
      </c>
    </row>
    <row r="133" spans="1:6" ht="15.75" customHeight="1" x14ac:dyDescent="0.2">
      <c r="A133" s="837" t="s">
        <v>527</v>
      </c>
      <c r="B133" s="837"/>
      <c r="C133" s="592">
        <f t="shared" si="4"/>
        <v>0</v>
      </c>
      <c r="D133" s="592">
        <f t="shared" si="4"/>
        <v>0</v>
      </c>
      <c r="E133" s="592">
        <f t="shared" si="4"/>
        <v>0</v>
      </c>
      <c r="F133" s="593">
        <f t="shared" si="4"/>
        <v>0</v>
      </c>
    </row>
    <row r="134" spans="1:6" ht="15.75" customHeight="1" x14ac:dyDescent="0.2">
      <c r="A134" s="594" t="s">
        <v>528</v>
      </c>
      <c r="B134" s="595"/>
      <c r="C134" s="596">
        <f>C128+C129</f>
        <v>0</v>
      </c>
      <c r="D134" s="596">
        <f>D128+D129</f>
        <v>0</v>
      </c>
      <c r="E134" s="596">
        <f>E128+E129</f>
        <v>0</v>
      </c>
      <c r="F134" s="597">
        <f>F128+F129</f>
        <v>0</v>
      </c>
    </row>
    <row r="135" spans="1:6" ht="15.75" customHeight="1" x14ac:dyDescent="0.2">
      <c r="A135" s="598" t="s">
        <v>529</v>
      </c>
      <c r="B135" s="599"/>
      <c r="C135" s="600">
        <f>C128+C130</f>
        <v>0</v>
      </c>
      <c r="D135" s="600">
        <f>D128+D130</f>
        <v>0</v>
      </c>
      <c r="E135" s="600">
        <f>E128+E130</f>
        <v>0</v>
      </c>
      <c r="F135" s="601">
        <f>F128+F130</f>
        <v>0</v>
      </c>
    </row>
    <row r="136" spans="1:6" ht="15.75" customHeight="1" x14ac:dyDescent="0.2">
      <c r="A136" s="598" t="s">
        <v>530</v>
      </c>
      <c r="B136" s="599"/>
      <c r="C136" s="600">
        <f>C128+C131</f>
        <v>0</v>
      </c>
      <c r="D136" s="600">
        <f>D128+D131</f>
        <v>0</v>
      </c>
      <c r="E136" s="600">
        <f>E128+E131</f>
        <v>0</v>
      </c>
      <c r="F136" s="601">
        <f>F128+F131</f>
        <v>0</v>
      </c>
    </row>
    <row r="137" spans="1:6" ht="15.75" customHeight="1" x14ac:dyDescent="0.2">
      <c r="A137" s="598" t="s">
        <v>531</v>
      </c>
      <c r="B137" s="599"/>
      <c r="C137" s="600">
        <f>C128+C132</f>
        <v>0</v>
      </c>
      <c r="D137" s="600">
        <f>D128+D132</f>
        <v>0</v>
      </c>
      <c r="E137" s="600">
        <f>E128+E132</f>
        <v>0</v>
      </c>
      <c r="F137" s="601">
        <f>F128+F132</f>
        <v>0</v>
      </c>
    </row>
    <row r="138" spans="1:6" ht="15.75" customHeight="1" x14ac:dyDescent="0.2">
      <c r="A138" s="598" t="s">
        <v>532</v>
      </c>
      <c r="B138" s="599"/>
      <c r="C138" s="600">
        <f>C128+C133</f>
        <v>0</v>
      </c>
      <c r="D138" s="600">
        <f>D128+D133</f>
        <v>0</v>
      </c>
      <c r="E138" s="600">
        <f>E128+E133</f>
        <v>0</v>
      </c>
      <c r="F138" s="601">
        <f>F128+F133</f>
        <v>0</v>
      </c>
    </row>
    <row r="139" spans="1:6" ht="15.75" customHeight="1" x14ac:dyDescent="0.2">
      <c r="A139" s="602" t="s">
        <v>533</v>
      </c>
      <c r="B139" s="603"/>
      <c r="C139" s="604">
        <f>C134/220</f>
        <v>0</v>
      </c>
      <c r="D139" s="604"/>
      <c r="E139" s="605"/>
      <c r="F139" s="606"/>
    </row>
    <row r="140" spans="1:6" ht="15.75" customHeight="1" x14ac:dyDescent="0.2">
      <c r="A140" s="607" t="s">
        <v>534</v>
      </c>
      <c r="B140" s="608"/>
      <c r="C140" s="609">
        <f>C135/220</f>
        <v>0</v>
      </c>
      <c r="D140" s="609"/>
      <c r="E140" s="610"/>
      <c r="F140" s="611"/>
    </row>
    <row r="141" spans="1:6" ht="15.75" customHeight="1" x14ac:dyDescent="0.2">
      <c r="A141" s="607" t="s">
        <v>535</v>
      </c>
      <c r="B141" s="608"/>
      <c r="C141" s="609">
        <f>C136/220</f>
        <v>0</v>
      </c>
      <c r="D141" s="609"/>
      <c r="E141" s="610"/>
      <c r="F141" s="611"/>
    </row>
    <row r="142" spans="1:6" ht="15.75" customHeight="1" x14ac:dyDescent="0.2">
      <c r="A142" s="607" t="s">
        <v>536</v>
      </c>
      <c r="B142" s="608"/>
      <c r="C142" s="609">
        <f>C137/220</f>
        <v>0</v>
      </c>
      <c r="D142" s="609"/>
      <c r="E142" s="610"/>
      <c r="F142" s="611"/>
    </row>
    <row r="143" spans="1:6" ht="15.75" customHeight="1" x14ac:dyDescent="0.2">
      <c r="A143" s="612" t="s">
        <v>537</v>
      </c>
      <c r="B143" s="613"/>
      <c r="C143" s="614">
        <f>C138/220</f>
        <v>0</v>
      </c>
      <c r="D143" s="614"/>
      <c r="E143" s="615"/>
      <c r="F143" s="616"/>
    </row>
    <row r="144" spans="1:6" x14ac:dyDescent="0.2">
      <c r="A144" s="617"/>
    </row>
    <row r="145" spans="1:15" ht="14.25" customHeight="1" x14ac:dyDescent="0.2">
      <c r="A145" s="838" t="s">
        <v>538</v>
      </c>
      <c r="B145" s="838"/>
      <c r="C145" s="838" t="s">
        <v>539</v>
      </c>
      <c r="D145" s="838"/>
      <c r="E145" s="839" t="s">
        <v>540</v>
      </c>
      <c r="F145" s="839"/>
      <c r="G145" s="838" t="s">
        <v>541</v>
      </c>
      <c r="H145" s="838"/>
      <c r="I145" s="838" t="s">
        <v>542</v>
      </c>
      <c r="J145" s="838"/>
      <c r="K145" s="838" t="s">
        <v>543</v>
      </c>
      <c r="L145" s="838"/>
    </row>
    <row r="146" spans="1:15" ht="38.25" x14ac:dyDescent="0.2">
      <c r="A146" s="618" t="s">
        <v>544</v>
      </c>
      <c r="B146" s="619" t="s">
        <v>545</v>
      </c>
      <c r="C146" s="619" t="s">
        <v>546</v>
      </c>
      <c r="D146" s="619" t="s">
        <v>547</v>
      </c>
      <c r="E146" s="619" t="s">
        <v>546</v>
      </c>
      <c r="F146" s="619" t="s">
        <v>547</v>
      </c>
      <c r="G146" s="619" t="s">
        <v>546</v>
      </c>
      <c r="H146" s="619" t="s">
        <v>547</v>
      </c>
      <c r="I146" s="619" t="s">
        <v>546</v>
      </c>
      <c r="J146" s="619" t="s">
        <v>547</v>
      </c>
      <c r="K146" s="619" t="s">
        <v>546</v>
      </c>
      <c r="L146" s="619" t="s">
        <v>547</v>
      </c>
    </row>
    <row r="147" spans="1:15" x14ac:dyDescent="0.2">
      <c r="A147" s="620" t="s">
        <v>548</v>
      </c>
      <c r="B147" s="621">
        <f>1/'Prod. GEXCRI'!C18</f>
        <v>1.25E-3</v>
      </c>
      <c r="C147" s="622">
        <f>C134</f>
        <v>0</v>
      </c>
      <c r="D147" s="622">
        <f>B147*C147</f>
        <v>0</v>
      </c>
      <c r="E147" s="622">
        <f>C135</f>
        <v>0</v>
      </c>
      <c r="F147" s="622">
        <f>B147*E147</f>
        <v>0</v>
      </c>
      <c r="G147" s="622">
        <f>C136</f>
        <v>0</v>
      </c>
      <c r="H147" s="622">
        <f>B147*G147</f>
        <v>0</v>
      </c>
      <c r="I147" s="622">
        <f>C137</f>
        <v>0</v>
      </c>
      <c r="J147" s="622">
        <f>B147*I147</f>
        <v>0</v>
      </c>
      <c r="K147" s="622">
        <f>C138</f>
        <v>0</v>
      </c>
      <c r="L147" s="622">
        <f>B147*K147</f>
        <v>0</v>
      </c>
    </row>
    <row r="148" spans="1:15" x14ac:dyDescent="0.2">
      <c r="A148" s="623" t="s">
        <v>549</v>
      </c>
      <c r="B148" s="621">
        <f>B147/'Prod. GEXCRI'!O18</f>
        <v>5.2083333333333337E-5</v>
      </c>
      <c r="C148" s="622">
        <f>F138</f>
        <v>0</v>
      </c>
      <c r="D148" s="622">
        <f>B148*C148</f>
        <v>0</v>
      </c>
      <c r="E148" s="622">
        <f>C148</f>
        <v>0</v>
      </c>
      <c r="F148" s="622">
        <f>B148*E148</f>
        <v>0</v>
      </c>
      <c r="G148" s="622">
        <f>C148</f>
        <v>0</v>
      </c>
      <c r="H148" s="622">
        <f>B148*G148</f>
        <v>0</v>
      </c>
      <c r="I148" s="622">
        <f>C148</f>
        <v>0</v>
      </c>
      <c r="J148" s="622">
        <f>B148*I148</f>
        <v>0</v>
      </c>
      <c r="K148" s="622">
        <f>C148</f>
        <v>0</v>
      </c>
      <c r="L148" s="622">
        <f>B148*K148</f>
        <v>0</v>
      </c>
      <c r="M148" s="840" t="s">
        <v>582</v>
      </c>
      <c r="N148" s="840"/>
      <c r="O148" s="624" t="s">
        <v>583</v>
      </c>
    </row>
    <row r="149" spans="1:15" x14ac:dyDescent="0.2">
      <c r="A149" s="625" t="s">
        <v>550</v>
      </c>
      <c r="B149" s="626"/>
      <c r="C149" s="627"/>
      <c r="D149" s="627">
        <f>SUM(D147:D148)</f>
        <v>0</v>
      </c>
      <c r="E149" s="627"/>
      <c r="F149" s="627">
        <f>SUM(F147:F148)</f>
        <v>0</v>
      </c>
      <c r="G149" s="627"/>
      <c r="H149" s="627">
        <f>SUM(H147:H148)</f>
        <v>0</v>
      </c>
      <c r="I149" s="627"/>
      <c r="J149" s="627">
        <f>SUM(J147:J148)</f>
        <v>0</v>
      </c>
      <c r="K149" s="627"/>
      <c r="L149" s="627">
        <f>SUM(L147:L148)</f>
        <v>0</v>
      </c>
      <c r="M149" s="628">
        <v>3.98</v>
      </c>
      <c r="N149" s="629">
        <v>5.97</v>
      </c>
    </row>
    <row r="150" spans="1:15" x14ac:dyDescent="0.2">
      <c r="A150" s="630"/>
      <c r="B150" s="631"/>
      <c r="C150" s="631"/>
      <c r="D150" s="632"/>
      <c r="E150" s="632"/>
    </row>
    <row r="151" spans="1:15" ht="14.25" customHeight="1" x14ac:dyDescent="0.2">
      <c r="A151" s="839" t="s">
        <v>551</v>
      </c>
      <c r="B151" s="839"/>
      <c r="C151" s="839" t="s">
        <v>539</v>
      </c>
      <c r="D151" s="839"/>
      <c r="E151" s="839" t="s">
        <v>540</v>
      </c>
      <c r="F151" s="839"/>
      <c r="G151" s="839" t="s">
        <v>541</v>
      </c>
      <c r="H151" s="839"/>
      <c r="I151" s="839" t="s">
        <v>542</v>
      </c>
      <c r="J151" s="839"/>
      <c r="K151" s="839" t="s">
        <v>543</v>
      </c>
      <c r="L151" s="839"/>
    </row>
    <row r="152" spans="1:15" ht="38.25" x14ac:dyDescent="0.2">
      <c r="A152" s="618" t="s">
        <v>544</v>
      </c>
      <c r="B152" s="619" t="s">
        <v>552</v>
      </c>
      <c r="C152" s="619" t="s">
        <v>546</v>
      </c>
      <c r="D152" s="619" t="s">
        <v>547</v>
      </c>
      <c r="E152" s="619" t="s">
        <v>546</v>
      </c>
      <c r="F152" s="619" t="s">
        <v>547</v>
      </c>
      <c r="G152" s="619" t="s">
        <v>546</v>
      </c>
      <c r="H152" s="619" t="s">
        <v>547</v>
      </c>
      <c r="I152" s="619" t="s">
        <v>546</v>
      </c>
      <c r="J152" s="619" t="s">
        <v>547</v>
      </c>
      <c r="K152" s="619" t="s">
        <v>546</v>
      </c>
      <c r="L152" s="619" t="s">
        <v>547</v>
      </c>
    </row>
    <row r="153" spans="1:15" x14ac:dyDescent="0.2">
      <c r="A153" s="620" t="s">
        <v>548</v>
      </c>
      <c r="B153" s="633">
        <f>1/'Prod. GEXCRI'!D18</f>
        <v>6.6666666666666664E-4</v>
      </c>
      <c r="C153" s="634">
        <f>C134</f>
        <v>0</v>
      </c>
      <c r="D153" s="622">
        <f>B153*C153</f>
        <v>0</v>
      </c>
      <c r="E153" s="622">
        <f>C135</f>
        <v>0</v>
      </c>
      <c r="F153" s="622">
        <f>B153*E153</f>
        <v>0</v>
      </c>
      <c r="G153" s="622">
        <f>C136</f>
        <v>0</v>
      </c>
      <c r="H153" s="622">
        <f>B153*G153</f>
        <v>0</v>
      </c>
      <c r="I153" s="622">
        <f>C137</f>
        <v>0</v>
      </c>
      <c r="J153" s="622">
        <f>B153*I153</f>
        <v>0</v>
      </c>
      <c r="K153" s="622">
        <f>C138</f>
        <v>0</v>
      </c>
      <c r="L153" s="622">
        <f>B153*K153</f>
        <v>0</v>
      </c>
    </row>
    <row r="154" spans="1:15" x14ac:dyDescent="0.2">
      <c r="A154" s="623" t="s">
        <v>549</v>
      </c>
      <c r="B154" s="621">
        <f>B153/'Prod. GEXCRI'!O18</f>
        <v>2.7777777777777776E-5</v>
      </c>
      <c r="C154" s="622">
        <f>F138</f>
        <v>0</v>
      </c>
      <c r="D154" s="622">
        <f>B154*C154</f>
        <v>0</v>
      </c>
      <c r="E154" s="622">
        <f>C154</f>
        <v>0</v>
      </c>
      <c r="F154" s="622">
        <f>B154*E154</f>
        <v>0</v>
      </c>
      <c r="G154" s="622">
        <f>C154</f>
        <v>0</v>
      </c>
      <c r="H154" s="622">
        <f>B154*G154</f>
        <v>0</v>
      </c>
      <c r="I154" s="622">
        <f>C154</f>
        <v>0</v>
      </c>
      <c r="J154" s="622">
        <f>B154*I154</f>
        <v>0</v>
      </c>
      <c r="K154" s="622">
        <f>C154</f>
        <v>0</v>
      </c>
      <c r="L154" s="622">
        <f>B154*K154</f>
        <v>0</v>
      </c>
    </row>
    <row r="155" spans="1:15" x14ac:dyDescent="0.2">
      <c r="A155" s="625" t="s">
        <v>553</v>
      </c>
      <c r="B155" s="626"/>
      <c r="C155" s="627"/>
      <c r="D155" s="627">
        <f>SUM(D153:D154)</f>
        <v>0</v>
      </c>
      <c r="E155" s="627"/>
      <c r="F155" s="627">
        <f>SUM(F153:F154)</f>
        <v>0</v>
      </c>
      <c r="G155" s="627"/>
      <c r="H155" s="627">
        <f>SUM(H153:H154)</f>
        <v>0</v>
      </c>
      <c r="I155" s="627"/>
      <c r="J155" s="627">
        <f>SUM(J153:J154)</f>
        <v>0</v>
      </c>
      <c r="K155" s="627"/>
      <c r="L155" s="627">
        <f>SUM(L153:L154)</f>
        <v>0</v>
      </c>
    </row>
    <row r="156" spans="1:15" x14ac:dyDescent="0.2">
      <c r="A156" s="630"/>
      <c r="B156" s="635"/>
      <c r="C156" s="635"/>
      <c r="D156" s="635"/>
      <c r="E156" s="635"/>
    </row>
    <row r="157" spans="1:15" ht="14.25" customHeight="1" x14ac:dyDescent="0.2">
      <c r="A157" s="839" t="s">
        <v>554</v>
      </c>
      <c r="B157" s="839"/>
      <c r="C157" s="839" t="s">
        <v>539</v>
      </c>
      <c r="D157" s="839"/>
      <c r="E157" s="839" t="s">
        <v>540</v>
      </c>
      <c r="F157" s="839"/>
      <c r="G157" s="839" t="s">
        <v>541</v>
      </c>
      <c r="H157" s="839"/>
      <c r="I157" s="839" t="s">
        <v>542</v>
      </c>
      <c r="J157" s="839"/>
      <c r="K157" s="839" t="s">
        <v>543</v>
      </c>
      <c r="L157" s="839"/>
    </row>
    <row r="158" spans="1:15" ht="38.25" x14ac:dyDescent="0.2">
      <c r="A158" s="618" t="s">
        <v>544</v>
      </c>
      <c r="B158" s="619" t="s">
        <v>552</v>
      </c>
      <c r="C158" s="619" t="s">
        <v>546</v>
      </c>
      <c r="D158" s="619" t="s">
        <v>547</v>
      </c>
      <c r="E158" s="619" t="s">
        <v>546</v>
      </c>
      <c r="F158" s="619" t="s">
        <v>547</v>
      </c>
      <c r="G158" s="619" t="s">
        <v>546</v>
      </c>
      <c r="H158" s="619" t="s">
        <v>547</v>
      </c>
      <c r="I158" s="619" t="s">
        <v>546</v>
      </c>
      <c r="J158" s="619" t="s">
        <v>547</v>
      </c>
      <c r="K158" s="619" t="s">
        <v>546</v>
      </c>
      <c r="L158" s="619" t="s">
        <v>547</v>
      </c>
    </row>
    <row r="159" spans="1:15" x14ac:dyDescent="0.2">
      <c r="A159" s="620" t="s">
        <v>548</v>
      </c>
      <c r="B159" s="633">
        <f>1/'Prod. GEXCRI'!E18</f>
        <v>1E-3</v>
      </c>
      <c r="C159" s="634">
        <f>C134</f>
        <v>0</v>
      </c>
      <c r="D159" s="622">
        <f>B159*C159</f>
        <v>0</v>
      </c>
      <c r="E159" s="622">
        <f>C135</f>
        <v>0</v>
      </c>
      <c r="F159" s="622">
        <f>B159*E159</f>
        <v>0</v>
      </c>
      <c r="G159" s="622">
        <f>C136</f>
        <v>0</v>
      </c>
      <c r="H159" s="622">
        <f>B159*G159</f>
        <v>0</v>
      </c>
      <c r="I159" s="622">
        <f>C137</f>
        <v>0</v>
      </c>
      <c r="J159" s="622">
        <f>B159*I159</f>
        <v>0</v>
      </c>
      <c r="K159" s="622">
        <f>C138</f>
        <v>0</v>
      </c>
      <c r="L159" s="622">
        <f>B159*K159</f>
        <v>0</v>
      </c>
    </row>
    <row r="160" spans="1:15" x14ac:dyDescent="0.2">
      <c r="A160" s="623" t="s">
        <v>549</v>
      </c>
      <c r="B160" s="621">
        <f>B159/'Prod. GEXCRI'!O18</f>
        <v>4.1666666666666665E-5</v>
      </c>
      <c r="C160" s="622">
        <f>F138</f>
        <v>0</v>
      </c>
      <c r="D160" s="622">
        <f>B160*C160</f>
        <v>0</v>
      </c>
      <c r="E160" s="622">
        <f>C160</f>
        <v>0</v>
      </c>
      <c r="F160" s="622">
        <f>B160*E160</f>
        <v>0</v>
      </c>
      <c r="G160" s="622">
        <f>C160</f>
        <v>0</v>
      </c>
      <c r="H160" s="622">
        <f>B160*G160</f>
        <v>0</v>
      </c>
      <c r="I160" s="622">
        <f>C160</f>
        <v>0</v>
      </c>
      <c r="J160" s="622">
        <f>B160*I160</f>
        <v>0</v>
      </c>
      <c r="K160" s="622">
        <f>C160</f>
        <v>0</v>
      </c>
      <c r="L160" s="622">
        <f>B160*K160</f>
        <v>0</v>
      </c>
    </row>
    <row r="161" spans="1:14" x14ac:dyDescent="0.2">
      <c r="A161" s="625" t="s">
        <v>553</v>
      </c>
      <c r="B161" s="626"/>
      <c r="C161" s="627"/>
      <c r="D161" s="627">
        <f>SUM(D159:D160)</f>
        <v>0</v>
      </c>
      <c r="E161" s="627"/>
      <c r="F161" s="627">
        <f>SUM(F159:F160)</f>
        <v>0</v>
      </c>
      <c r="G161" s="627"/>
      <c r="H161" s="627">
        <f>SUM(H159:H160)</f>
        <v>0</v>
      </c>
      <c r="I161" s="627"/>
      <c r="J161" s="627">
        <f>SUM(J159:J160)</f>
        <v>0</v>
      </c>
      <c r="K161" s="627"/>
      <c r="L161" s="627">
        <f>SUM(L159:L160)</f>
        <v>0</v>
      </c>
    </row>
    <row r="162" spans="1:14" x14ac:dyDescent="0.2">
      <c r="A162" s="630"/>
      <c r="B162" s="635"/>
      <c r="C162" s="635"/>
      <c r="D162" s="635"/>
      <c r="E162" s="635"/>
    </row>
    <row r="163" spans="1:14" ht="14.25" customHeight="1" x14ac:dyDescent="0.2">
      <c r="A163" s="839" t="s">
        <v>555</v>
      </c>
      <c r="B163" s="839"/>
      <c r="C163" s="839" t="s">
        <v>539</v>
      </c>
      <c r="D163" s="839"/>
      <c r="E163" s="839" t="s">
        <v>540</v>
      </c>
      <c r="F163" s="839"/>
      <c r="G163" s="839" t="s">
        <v>541</v>
      </c>
      <c r="H163" s="839"/>
      <c r="I163" s="839" t="s">
        <v>542</v>
      </c>
      <c r="J163" s="839"/>
      <c r="K163" s="839" t="s">
        <v>543</v>
      </c>
      <c r="L163" s="839"/>
    </row>
    <row r="164" spans="1:14" ht="38.25" x14ac:dyDescent="0.2">
      <c r="A164" s="618" t="s">
        <v>544</v>
      </c>
      <c r="B164" s="619" t="s">
        <v>552</v>
      </c>
      <c r="C164" s="619" t="s">
        <v>546</v>
      </c>
      <c r="D164" s="619" t="s">
        <v>547</v>
      </c>
      <c r="E164" s="619" t="s">
        <v>546</v>
      </c>
      <c r="F164" s="619" t="s">
        <v>547</v>
      </c>
      <c r="G164" s="619" t="s">
        <v>546</v>
      </c>
      <c r="H164" s="619" t="s">
        <v>547</v>
      </c>
      <c r="I164" s="619" t="s">
        <v>546</v>
      </c>
      <c r="J164" s="619" t="s">
        <v>547</v>
      </c>
      <c r="K164" s="619" t="s">
        <v>546</v>
      </c>
      <c r="L164" s="619" t="s">
        <v>547</v>
      </c>
    </row>
    <row r="165" spans="1:14" x14ac:dyDescent="0.2">
      <c r="A165" s="620" t="s">
        <v>548</v>
      </c>
      <c r="B165" s="633">
        <f>1/'Prod. GEXCRI'!F18</f>
        <v>5.0000000000000001E-3</v>
      </c>
      <c r="C165" s="622">
        <f>C134</f>
        <v>0</v>
      </c>
      <c r="D165" s="622">
        <f>B165*C165</f>
        <v>0</v>
      </c>
      <c r="E165" s="622">
        <f>C135</f>
        <v>0</v>
      </c>
      <c r="F165" s="622">
        <f>B165*E165</f>
        <v>0</v>
      </c>
      <c r="G165" s="622">
        <f>C136</f>
        <v>0</v>
      </c>
      <c r="H165" s="622">
        <f>B165*G165</f>
        <v>0</v>
      </c>
      <c r="I165" s="622">
        <f>C137</f>
        <v>0</v>
      </c>
      <c r="J165" s="622">
        <f>B165*I165</f>
        <v>0</v>
      </c>
      <c r="K165" s="622">
        <f>C138</f>
        <v>0</v>
      </c>
      <c r="L165" s="622">
        <f>B165*K165</f>
        <v>0</v>
      </c>
    </row>
    <row r="166" spans="1:14" x14ac:dyDescent="0.2">
      <c r="A166" s="623" t="s">
        <v>549</v>
      </c>
      <c r="B166" s="621">
        <f>B165/'Prod. GEXCRI'!O18</f>
        <v>2.0833333333333335E-4</v>
      </c>
      <c r="C166" s="622">
        <f>F138</f>
        <v>0</v>
      </c>
      <c r="D166" s="622">
        <f>C166*B166</f>
        <v>0</v>
      </c>
      <c r="E166" s="622">
        <f>C166</f>
        <v>0</v>
      </c>
      <c r="F166" s="622">
        <f>B166*E166</f>
        <v>0</v>
      </c>
      <c r="G166" s="622">
        <f>C166</f>
        <v>0</v>
      </c>
      <c r="H166" s="622">
        <f>B166*G166</f>
        <v>0</v>
      </c>
      <c r="I166" s="622">
        <f>C166</f>
        <v>0</v>
      </c>
      <c r="J166" s="622">
        <f>B166*I166</f>
        <v>0</v>
      </c>
      <c r="K166" s="622">
        <f>C166</f>
        <v>0</v>
      </c>
      <c r="L166" s="622">
        <f>B166*K166</f>
        <v>0</v>
      </c>
    </row>
    <row r="167" spans="1:14" x14ac:dyDescent="0.2">
      <c r="A167" s="625" t="s">
        <v>553</v>
      </c>
      <c r="B167" s="626"/>
      <c r="C167" s="627"/>
      <c r="D167" s="627">
        <f>SUM(D165:D166)</f>
        <v>0</v>
      </c>
      <c r="E167" s="627"/>
      <c r="F167" s="627">
        <f>SUM(F165:F166)</f>
        <v>0</v>
      </c>
      <c r="G167" s="627"/>
      <c r="H167" s="627">
        <f>SUM(H165:H166)</f>
        <v>0</v>
      </c>
      <c r="I167" s="627"/>
      <c r="J167" s="627">
        <f>SUM(J165:J166)</f>
        <v>0</v>
      </c>
      <c r="K167" s="627"/>
      <c r="L167" s="627">
        <f>SUM(L165:L166)</f>
        <v>0</v>
      </c>
    </row>
    <row r="168" spans="1:14" x14ac:dyDescent="0.2">
      <c r="A168" s="630"/>
      <c r="B168" s="636"/>
      <c r="C168" s="636"/>
      <c r="D168" s="636"/>
      <c r="E168" s="636"/>
    </row>
    <row r="169" spans="1:14" ht="14.25" customHeight="1" x14ac:dyDescent="0.2">
      <c r="A169" s="841" t="s">
        <v>556</v>
      </c>
      <c r="B169" s="841"/>
      <c r="C169" s="841" t="s">
        <v>539</v>
      </c>
      <c r="D169" s="841"/>
      <c r="E169" s="841" t="s">
        <v>540</v>
      </c>
      <c r="F169" s="841"/>
      <c r="G169" s="841" t="s">
        <v>541</v>
      </c>
      <c r="H169" s="841"/>
      <c r="I169" s="841" t="s">
        <v>542</v>
      </c>
      <c r="J169" s="841"/>
      <c r="K169" s="841" t="s">
        <v>543</v>
      </c>
      <c r="L169" s="841"/>
    </row>
    <row r="170" spans="1:14" ht="38.25" x14ac:dyDescent="0.2">
      <c r="A170" s="618" t="s">
        <v>544</v>
      </c>
      <c r="B170" s="619" t="s">
        <v>552</v>
      </c>
      <c r="C170" s="619" t="s">
        <v>546</v>
      </c>
      <c r="D170" s="619" t="s">
        <v>547</v>
      </c>
      <c r="E170" s="619" t="s">
        <v>546</v>
      </c>
      <c r="F170" s="619" t="s">
        <v>547</v>
      </c>
      <c r="G170" s="619" t="s">
        <v>546</v>
      </c>
      <c r="H170" s="619" t="s">
        <v>547</v>
      </c>
      <c r="I170" s="619" t="s">
        <v>546</v>
      </c>
      <c r="J170" s="619" t="s">
        <v>547</v>
      </c>
      <c r="K170" s="619" t="s">
        <v>546</v>
      </c>
      <c r="L170" s="619" t="s">
        <v>547</v>
      </c>
    </row>
    <row r="171" spans="1:14" x14ac:dyDescent="0.2">
      <c r="A171" s="620" t="s">
        <v>557</v>
      </c>
      <c r="B171" s="633">
        <f>1/'Prod. GEXCRI'!G18</f>
        <v>4.3478260869565219E-4</v>
      </c>
      <c r="C171" s="622">
        <f>C134</f>
        <v>0</v>
      </c>
      <c r="D171" s="622">
        <f>B171*C171</f>
        <v>0</v>
      </c>
      <c r="E171" s="622">
        <f>C135</f>
        <v>0</v>
      </c>
      <c r="F171" s="622">
        <f>B171*E171</f>
        <v>0</v>
      </c>
      <c r="G171" s="622">
        <f>C136</f>
        <v>0</v>
      </c>
      <c r="H171" s="622">
        <f>B171*G171</f>
        <v>0</v>
      </c>
      <c r="I171" s="622">
        <f>C137</f>
        <v>0</v>
      </c>
      <c r="J171" s="622">
        <f>B171*I171</f>
        <v>0</v>
      </c>
      <c r="K171" s="622">
        <f>C138</f>
        <v>0</v>
      </c>
      <c r="L171" s="622">
        <f>B171*K171</f>
        <v>0</v>
      </c>
    </row>
    <row r="172" spans="1:14" x14ac:dyDescent="0.2">
      <c r="A172" s="623" t="s">
        <v>549</v>
      </c>
      <c r="B172" s="621">
        <f>B171/'Prod. GEXCRI'!O18</f>
        <v>1.8115942028985507E-5</v>
      </c>
      <c r="C172" s="622">
        <f>F138</f>
        <v>0</v>
      </c>
      <c r="D172" s="622">
        <f>B172*C172</f>
        <v>0</v>
      </c>
      <c r="E172" s="622">
        <f>C172</f>
        <v>0</v>
      </c>
      <c r="F172" s="622">
        <f>B172*E172</f>
        <v>0</v>
      </c>
      <c r="G172" s="622">
        <f>C172</f>
        <v>0</v>
      </c>
      <c r="H172" s="622">
        <f>B172*G172</f>
        <v>0</v>
      </c>
      <c r="I172" s="622">
        <f>C172</f>
        <v>0</v>
      </c>
      <c r="J172" s="622">
        <f>B172*I172</f>
        <v>0</v>
      </c>
      <c r="K172" s="622">
        <f>C172</f>
        <v>0</v>
      </c>
      <c r="L172" s="622">
        <f>B172*K172</f>
        <v>0</v>
      </c>
      <c r="M172" s="840"/>
      <c r="N172" s="840"/>
    </row>
    <row r="173" spans="1:14" x14ac:dyDescent="0.2">
      <c r="A173" s="637" t="s">
        <v>558</v>
      </c>
      <c r="B173" s="638"/>
      <c r="C173" s="639"/>
      <c r="D173" s="640">
        <f>SUM(D171:D172)</f>
        <v>0</v>
      </c>
      <c r="E173" s="639"/>
      <c r="F173" s="640">
        <f>SUM(F171:F172)</f>
        <v>0</v>
      </c>
      <c r="G173" s="639"/>
      <c r="H173" s="640">
        <f>SUM(H171:H172)</f>
        <v>0</v>
      </c>
      <c r="I173" s="639"/>
      <c r="J173" s="640">
        <f>SUM(J171:J172)</f>
        <v>0</v>
      </c>
      <c r="K173" s="639"/>
      <c r="L173" s="640">
        <f>SUM(L171:L172)</f>
        <v>0</v>
      </c>
      <c r="M173" s="628"/>
      <c r="N173" s="629"/>
    </row>
    <row r="174" spans="1:14" x14ac:dyDescent="0.2">
      <c r="A174" s="620" t="s">
        <v>559</v>
      </c>
      <c r="B174" s="633">
        <f>1/'Prod. GEXCRI'!H18</f>
        <v>1.0000000000000001E-5</v>
      </c>
      <c r="C174" s="622">
        <f>C134</f>
        <v>0</v>
      </c>
      <c r="D174" s="622">
        <f>B174*C174</f>
        <v>0</v>
      </c>
      <c r="E174" s="622">
        <f>C135</f>
        <v>0</v>
      </c>
      <c r="F174" s="622">
        <f>B174*E174</f>
        <v>0</v>
      </c>
      <c r="G174" s="622">
        <f>C136</f>
        <v>0</v>
      </c>
      <c r="H174" s="622">
        <f>B174*G174</f>
        <v>0</v>
      </c>
      <c r="I174" s="622">
        <f>C137</f>
        <v>0</v>
      </c>
      <c r="J174" s="622">
        <f>B174*I174</f>
        <v>0</v>
      </c>
      <c r="K174" s="622">
        <f>C138</f>
        <v>0</v>
      </c>
      <c r="L174" s="622">
        <f>B174*K174</f>
        <v>0</v>
      </c>
    </row>
    <row r="175" spans="1:14" x14ac:dyDescent="0.2">
      <c r="A175" s="623" t="s">
        <v>549</v>
      </c>
      <c r="B175" s="621">
        <f>B174/'Prod. GEXCRI'!O18</f>
        <v>4.1666666666666672E-7</v>
      </c>
      <c r="C175" s="622">
        <f>F138</f>
        <v>0</v>
      </c>
      <c r="D175" s="622">
        <f>B175*C175</f>
        <v>0</v>
      </c>
      <c r="E175" s="622">
        <f>C175</f>
        <v>0</v>
      </c>
      <c r="F175" s="622">
        <f>B175*E175</f>
        <v>0</v>
      </c>
      <c r="G175" s="622">
        <f>C175</f>
        <v>0</v>
      </c>
      <c r="H175" s="622">
        <f>B175*G175</f>
        <v>0</v>
      </c>
      <c r="I175" s="622">
        <f>C175</f>
        <v>0</v>
      </c>
      <c r="J175" s="622">
        <f>B175*I175</f>
        <v>0</v>
      </c>
      <c r="K175" s="622">
        <f>C175</f>
        <v>0</v>
      </c>
      <c r="L175" s="622">
        <f>B175*K175</f>
        <v>0</v>
      </c>
    </row>
    <row r="176" spans="1:14" x14ac:dyDescent="0.2">
      <c r="A176" s="637" t="s">
        <v>560</v>
      </c>
      <c r="B176" s="641"/>
      <c r="C176" s="639"/>
      <c r="D176" s="640">
        <f>SUM(D174:D175)</f>
        <v>0</v>
      </c>
      <c r="E176" s="639"/>
      <c r="F176" s="640">
        <f>SUM(F174:F175)</f>
        <v>0</v>
      </c>
      <c r="G176" s="639"/>
      <c r="H176" s="640">
        <f>SUM(H174:H175)</f>
        <v>0</v>
      </c>
      <c r="I176" s="639"/>
      <c r="J176" s="640">
        <f>SUM(J174:J175)</f>
        <v>0</v>
      </c>
      <c r="K176" s="639"/>
      <c r="L176" s="640">
        <f>SUM(L174:L175)</f>
        <v>0</v>
      </c>
    </row>
    <row r="177" spans="1:14" x14ac:dyDescent="0.2">
      <c r="A177" s="620" t="s">
        <v>561</v>
      </c>
      <c r="B177" s="633">
        <f>1/'Prod. GEXCRI'!I18</f>
        <v>1.1111111111111112E-4</v>
      </c>
      <c r="C177" s="622">
        <f>C134</f>
        <v>0</v>
      </c>
      <c r="D177" s="622">
        <f>B177*C177</f>
        <v>0</v>
      </c>
      <c r="E177" s="622">
        <f>C135</f>
        <v>0</v>
      </c>
      <c r="F177" s="622">
        <f>B177*E177</f>
        <v>0</v>
      </c>
      <c r="G177" s="622">
        <f>C136</f>
        <v>0</v>
      </c>
      <c r="H177" s="622">
        <f>B177*G177</f>
        <v>0</v>
      </c>
      <c r="I177" s="622">
        <f>C137</f>
        <v>0</v>
      </c>
      <c r="J177" s="622">
        <f>B177*I177</f>
        <v>0</v>
      </c>
      <c r="K177" s="622">
        <f>C138</f>
        <v>0</v>
      </c>
      <c r="L177" s="622">
        <f>B177*K177</f>
        <v>0</v>
      </c>
    </row>
    <row r="178" spans="1:14" x14ac:dyDescent="0.2">
      <c r="A178" s="623" t="s">
        <v>549</v>
      </c>
      <c r="B178" s="621">
        <f>B177/'Prod. GEXCRI'!O18</f>
        <v>4.6296296296296296E-6</v>
      </c>
      <c r="C178" s="622">
        <f>F138</f>
        <v>0</v>
      </c>
      <c r="D178" s="622">
        <f>B178*C178</f>
        <v>0</v>
      </c>
      <c r="E178" s="622">
        <f>C178</f>
        <v>0</v>
      </c>
      <c r="F178" s="622">
        <f>B178*E178</f>
        <v>0</v>
      </c>
      <c r="G178" s="622">
        <f>C178</f>
        <v>0</v>
      </c>
      <c r="H178" s="622">
        <f>B178*G178</f>
        <v>0</v>
      </c>
      <c r="I178" s="622">
        <f>C178</f>
        <v>0</v>
      </c>
      <c r="J178" s="622">
        <f>B178*I178</f>
        <v>0</v>
      </c>
      <c r="K178" s="622">
        <f>C178</f>
        <v>0</v>
      </c>
      <c r="L178" s="622">
        <f>B178*K178</f>
        <v>0</v>
      </c>
    </row>
    <row r="179" spans="1:14" x14ac:dyDescent="0.2">
      <c r="A179" s="637" t="s">
        <v>562</v>
      </c>
      <c r="B179" s="641"/>
      <c r="C179" s="639"/>
      <c r="D179" s="640">
        <f>SUM(D177:D178)</f>
        <v>0</v>
      </c>
      <c r="E179" s="639"/>
      <c r="F179" s="640">
        <f>SUM(F177:F178)</f>
        <v>0</v>
      </c>
      <c r="G179" s="639"/>
      <c r="H179" s="640">
        <f>SUM(H177:H178)</f>
        <v>0</v>
      </c>
      <c r="I179" s="639"/>
      <c r="J179" s="640">
        <f>SUM(J177:J178)</f>
        <v>0</v>
      </c>
      <c r="K179" s="639"/>
      <c r="L179" s="640">
        <f>SUM(L177:L178)</f>
        <v>0</v>
      </c>
    </row>
    <row r="180" spans="1:14" x14ac:dyDescent="0.2">
      <c r="A180" s="630"/>
      <c r="B180" s="635"/>
      <c r="C180" s="635"/>
      <c r="D180" s="635"/>
      <c r="E180" s="635"/>
    </row>
    <row r="181" spans="1:14" ht="14.25" customHeight="1" x14ac:dyDescent="0.2">
      <c r="A181" s="842" t="s">
        <v>563</v>
      </c>
      <c r="B181" s="842"/>
      <c r="C181" s="842" t="s">
        <v>539</v>
      </c>
      <c r="D181" s="842"/>
      <c r="E181" s="842" t="s">
        <v>540</v>
      </c>
      <c r="F181" s="842"/>
      <c r="G181" s="842" t="s">
        <v>541</v>
      </c>
      <c r="H181" s="842"/>
      <c r="I181" s="842" t="s">
        <v>542</v>
      </c>
      <c r="J181" s="842"/>
      <c r="K181" s="842" t="s">
        <v>543</v>
      </c>
      <c r="L181" s="842"/>
    </row>
    <row r="182" spans="1:14" ht="38.25" x14ac:dyDescent="0.2">
      <c r="A182" s="618" t="s">
        <v>544</v>
      </c>
      <c r="B182" s="619" t="s">
        <v>552</v>
      </c>
      <c r="C182" s="619" t="s">
        <v>546</v>
      </c>
      <c r="D182" s="619" t="s">
        <v>547</v>
      </c>
      <c r="E182" s="619" t="s">
        <v>546</v>
      </c>
      <c r="F182" s="619" t="s">
        <v>547</v>
      </c>
      <c r="G182" s="619" t="s">
        <v>546</v>
      </c>
      <c r="H182" s="619" t="s">
        <v>547</v>
      </c>
      <c r="I182" s="619" t="s">
        <v>546</v>
      </c>
      <c r="J182" s="619" t="s">
        <v>547</v>
      </c>
      <c r="K182" s="619" t="s">
        <v>546</v>
      </c>
      <c r="L182" s="619" t="s">
        <v>547</v>
      </c>
    </row>
    <row r="183" spans="1:14" x14ac:dyDescent="0.2">
      <c r="A183" s="642" t="s">
        <v>564</v>
      </c>
      <c r="B183" s="633">
        <f>(1/'Prod. GEXCRI'!J18)*(1/(30/7*44*6))*8</f>
        <v>4.4191919191919199E-5</v>
      </c>
      <c r="C183" s="622">
        <f>E134</f>
        <v>0</v>
      </c>
      <c r="D183" s="622">
        <f>B183*C183</f>
        <v>0</v>
      </c>
      <c r="E183" s="622">
        <f>E135</f>
        <v>0</v>
      </c>
      <c r="F183" s="622">
        <f>B183*E183</f>
        <v>0</v>
      </c>
      <c r="G183" s="622">
        <f>E136</f>
        <v>0</v>
      </c>
      <c r="H183" s="622">
        <f>B183*G183</f>
        <v>0</v>
      </c>
      <c r="I183" s="622">
        <f>E137</f>
        <v>0</v>
      </c>
      <c r="J183" s="622">
        <f>B183*I183</f>
        <v>0</v>
      </c>
      <c r="K183" s="622">
        <f>E138</f>
        <v>0</v>
      </c>
      <c r="L183" s="622">
        <f>B183*K183</f>
        <v>0</v>
      </c>
    </row>
    <row r="184" spans="1:14" x14ac:dyDescent="0.2">
      <c r="A184" s="623" t="s">
        <v>549</v>
      </c>
      <c r="B184" s="633">
        <f>B183/4</f>
        <v>1.10479797979798E-5</v>
      </c>
      <c r="C184" s="622">
        <f>F138</f>
        <v>0</v>
      </c>
      <c r="D184" s="622">
        <f>B184*C184</f>
        <v>0</v>
      </c>
      <c r="E184" s="622">
        <f>C184</f>
        <v>0</v>
      </c>
      <c r="F184" s="622">
        <f>B184*E184</f>
        <v>0</v>
      </c>
      <c r="G184" s="622">
        <f>C184</f>
        <v>0</v>
      </c>
      <c r="H184" s="622">
        <f>B184*G184</f>
        <v>0</v>
      </c>
      <c r="I184" s="622">
        <f>C184</f>
        <v>0</v>
      </c>
      <c r="J184" s="622">
        <f>B184*I184</f>
        <v>0</v>
      </c>
      <c r="K184" s="622">
        <f>C184</f>
        <v>0</v>
      </c>
      <c r="L184" s="622">
        <f>B184*K184</f>
        <v>0</v>
      </c>
      <c r="M184" s="840"/>
      <c r="N184" s="840"/>
    </row>
    <row r="185" spans="1:14" x14ac:dyDescent="0.2">
      <c r="A185" s="643" t="s">
        <v>565</v>
      </c>
      <c r="B185" s="644"/>
      <c r="C185" s="645"/>
      <c r="D185" s="646">
        <f>SUM(D183:D184)</f>
        <v>0</v>
      </c>
      <c r="E185" s="645"/>
      <c r="F185" s="646">
        <f>SUM(F183:F184)</f>
        <v>0</v>
      </c>
      <c r="G185" s="645"/>
      <c r="H185" s="646">
        <f>SUM(H183:H184)</f>
        <v>0</v>
      </c>
      <c r="I185" s="645"/>
      <c r="J185" s="646">
        <f>SUM(J183:J184)</f>
        <v>0</v>
      </c>
      <c r="K185" s="645"/>
      <c r="L185" s="646">
        <f>SUM(L183:L184)</f>
        <v>0</v>
      </c>
      <c r="M185" s="628"/>
      <c r="N185" s="629"/>
    </row>
    <row r="186" spans="1:14" x14ac:dyDescent="0.2">
      <c r="A186" s="642" t="s">
        <v>566</v>
      </c>
      <c r="B186" s="633">
        <f>1/'Prod. GEXCRI'!K18*16*(1/188.76)</f>
        <v>2.8254573709119167E-4</v>
      </c>
      <c r="C186" s="622">
        <f>C134</f>
        <v>0</v>
      </c>
      <c r="D186" s="622">
        <f>B186*C186</f>
        <v>0</v>
      </c>
      <c r="E186" s="622">
        <f>C135</f>
        <v>0</v>
      </c>
      <c r="F186" s="622">
        <f>B186*E186</f>
        <v>0</v>
      </c>
      <c r="G186" s="622">
        <f>C136</f>
        <v>0</v>
      </c>
      <c r="H186" s="622">
        <f>B186*G186</f>
        <v>0</v>
      </c>
      <c r="I186" s="622">
        <f>C137</f>
        <v>0</v>
      </c>
      <c r="J186" s="622">
        <f>B186*I186</f>
        <v>0</v>
      </c>
      <c r="K186" s="622">
        <f>C138</f>
        <v>0</v>
      </c>
      <c r="L186" s="622">
        <f>B186*K186</f>
        <v>0</v>
      </c>
    </row>
    <row r="187" spans="1:14" x14ac:dyDescent="0.2">
      <c r="A187" s="623" t="s">
        <v>549</v>
      </c>
      <c r="B187" s="633">
        <f>1/('Prod. GEXCRI'!O18*'Prod. GEXCRI'!K18)*16*(1/188.76)</f>
        <v>1.177273904546632E-5</v>
      </c>
      <c r="C187" s="622">
        <f>F138</f>
        <v>0</v>
      </c>
      <c r="D187" s="622">
        <f>B187*C187</f>
        <v>0</v>
      </c>
      <c r="E187" s="622">
        <f>C187</f>
        <v>0</v>
      </c>
      <c r="F187" s="622">
        <f>B187*E187</f>
        <v>0</v>
      </c>
      <c r="G187" s="622">
        <f>C187</f>
        <v>0</v>
      </c>
      <c r="H187" s="622">
        <f>B187*G187</f>
        <v>0</v>
      </c>
      <c r="I187" s="622">
        <f>C187</f>
        <v>0</v>
      </c>
      <c r="J187" s="622">
        <f>B187*I187</f>
        <v>0</v>
      </c>
      <c r="K187" s="622">
        <f>C187</f>
        <v>0</v>
      </c>
      <c r="L187" s="622">
        <f>B187*K187</f>
        <v>0</v>
      </c>
      <c r="M187" s="840"/>
      <c r="N187" s="840"/>
    </row>
    <row r="188" spans="1:14" x14ac:dyDescent="0.2">
      <c r="A188" s="643" t="s">
        <v>567</v>
      </c>
      <c r="B188" s="644"/>
      <c r="C188" s="645"/>
      <c r="D188" s="646">
        <f>SUM(D186:D187)</f>
        <v>0</v>
      </c>
      <c r="E188" s="645"/>
      <c r="F188" s="646">
        <f>SUM(F186:F187)</f>
        <v>0</v>
      </c>
      <c r="G188" s="645"/>
      <c r="H188" s="646">
        <f>SUM(H186:H187)</f>
        <v>0</v>
      </c>
      <c r="I188" s="645"/>
      <c r="J188" s="646">
        <f>SUM(J186:J187)</f>
        <v>0</v>
      </c>
      <c r="K188" s="645"/>
      <c r="L188" s="646">
        <f>SUM(L186:L187)</f>
        <v>0</v>
      </c>
      <c r="M188" s="628"/>
      <c r="N188" s="629"/>
    </row>
    <row r="189" spans="1:14" x14ac:dyDescent="0.2">
      <c r="A189" s="620" t="s">
        <v>568</v>
      </c>
      <c r="B189" s="633">
        <f>(1/'Prod. GEXCRI'!L18*16)*(1/188.76)</f>
        <v>2.8254573709119167E-4</v>
      </c>
      <c r="C189" s="622">
        <f>C134</f>
        <v>0</v>
      </c>
      <c r="D189" s="622">
        <f>B189*C189</f>
        <v>0</v>
      </c>
      <c r="E189" s="622">
        <f>C135</f>
        <v>0</v>
      </c>
      <c r="F189" s="622">
        <f>B189*E189</f>
        <v>0</v>
      </c>
      <c r="G189" s="622">
        <f>C136</f>
        <v>0</v>
      </c>
      <c r="H189" s="622">
        <f>B189*G189</f>
        <v>0</v>
      </c>
      <c r="I189" s="622">
        <f>C137</f>
        <v>0</v>
      </c>
      <c r="J189" s="622">
        <f>B189*I189</f>
        <v>0</v>
      </c>
      <c r="K189" s="622">
        <f>C138</f>
        <v>0</v>
      </c>
      <c r="L189" s="622">
        <f>B189*K189</f>
        <v>0</v>
      </c>
    </row>
    <row r="190" spans="1:14" x14ac:dyDescent="0.2">
      <c r="A190" s="623" t="s">
        <v>549</v>
      </c>
      <c r="B190" s="633">
        <f>1/('Prod. GEXCRI'!O18*'Prod. GEXCRI'!L18)*16*(1/188.76)</f>
        <v>1.177273904546632E-5</v>
      </c>
      <c r="C190" s="622">
        <f>F138</f>
        <v>0</v>
      </c>
      <c r="D190" s="622">
        <f>B190*C190</f>
        <v>0</v>
      </c>
      <c r="E190" s="622">
        <f>C190</f>
        <v>0</v>
      </c>
      <c r="F190" s="622">
        <f>B190*E190</f>
        <v>0</v>
      </c>
      <c r="G190" s="622">
        <f>C190</f>
        <v>0</v>
      </c>
      <c r="H190" s="622">
        <f>B190*G190</f>
        <v>0</v>
      </c>
      <c r="I190" s="622">
        <f>C190</f>
        <v>0</v>
      </c>
      <c r="J190" s="622">
        <f>B190*I190</f>
        <v>0</v>
      </c>
      <c r="K190" s="622">
        <f>C190</f>
        <v>0</v>
      </c>
      <c r="L190" s="622">
        <f>B190*K190</f>
        <v>0</v>
      </c>
      <c r="M190" s="840"/>
      <c r="N190" s="840"/>
    </row>
    <row r="191" spans="1:14" x14ac:dyDescent="0.2">
      <c r="A191" s="643" t="s">
        <v>569</v>
      </c>
      <c r="B191" s="644"/>
      <c r="C191" s="645"/>
      <c r="D191" s="646">
        <f>SUM(D189:D190)</f>
        <v>0</v>
      </c>
      <c r="E191" s="645"/>
      <c r="F191" s="646">
        <f>SUM(F189:F190)</f>
        <v>0</v>
      </c>
      <c r="G191" s="645"/>
      <c r="H191" s="646">
        <f>SUM(H189:H190)</f>
        <v>0</v>
      </c>
      <c r="I191" s="645"/>
      <c r="J191" s="646">
        <f>SUM(J189:J190)</f>
        <v>0</v>
      </c>
      <c r="K191" s="645"/>
      <c r="L191" s="646">
        <f>SUM(L189:L190)</f>
        <v>0</v>
      </c>
      <c r="M191" s="628"/>
      <c r="N191" s="629"/>
    </row>
    <row r="192" spans="1:14" x14ac:dyDescent="0.2">
      <c r="A192" s="617"/>
    </row>
  </sheetData>
  <mergeCells count="68">
    <mergeCell ref="M184:N184"/>
    <mergeCell ref="M187:N187"/>
    <mergeCell ref="M190:N190"/>
    <mergeCell ref="K169:L169"/>
    <mergeCell ref="M172:N172"/>
    <mergeCell ref="K181:L181"/>
    <mergeCell ref="A181:B181"/>
    <mergeCell ref="C181:D181"/>
    <mergeCell ref="E181:F181"/>
    <mergeCell ref="G181:H181"/>
    <mergeCell ref="I181:J181"/>
    <mergeCell ref="A169:B169"/>
    <mergeCell ref="C169:D169"/>
    <mergeCell ref="E169:F169"/>
    <mergeCell ref="G169:H169"/>
    <mergeCell ref="I169:J169"/>
    <mergeCell ref="K157:L157"/>
    <mergeCell ref="A163:B163"/>
    <mergeCell ref="C163:D163"/>
    <mergeCell ref="E163:F163"/>
    <mergeCell ref="G163:H163"/>
    <mergeCell ref="I163:J163"/>
    <mergeCell ref="K163:L163"/>
    <mergeCell ref="A157:B157"/>
    <mergeCell ref="C157:D157"/>
    <mergeCell ref="E157:F157"/>
    <mergeCell ref="G157:H157"/>
    <mergeCell ref="I157:J157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A132:B132"/>
    <mergeCell ref="A133:B133"/>
    <mergeCell ref="A145:B145"/>
    <mergeCell ref="C145:D145"/>
    <mergeCell ref="E145:F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F119"/>
    <mergeCell ref="A120:F120"/>
    <mergeCell ref="A121:B121"/>
    <mergeCell ref="A21:F21"/>
    <mergeCell ref="A50:B50"/>
    <mergeCell ref="A51:F51"/>
    <mergeCell ref="A61:B61"/>
    <mergeCell ref="A62:F62"/>
    <mergeCell ref="A1:F1"/>
    <mergeCell ref="A2:F2"/>
    <mergeCell ref="A3:F3"/>
    <mergeCell ref="A9:F9"/>
    <mergeCell ref="A20:B20"/>
  </mergeCells>
  <hyperlinks>
    <hyperlink ref="O148" r:id="rId1"/>
  </hyperlink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Modelo de Proposta</vt:lpstr>
      <vt:lpstr>MC</vt:lpstr>
      <vt:lpstr>Insumos</vt:lpstr>
      <vt:lpstr>Resumo Proposta</vt:lpstr>
      <vt:lpstr>Prod. GEXCHA</vt:lpstr>
      <vt:lpstr>GEXCHA Limp.Ord. </vt:lpstr>
      <vt:lpstr>GEXCHA Covid  </vt:lpstr>
      <vt:lpstr>Prod. GEXCRI</vt:lpstr>
      <vt:lpstr>GEXCRI Limp.Ord. </vt:lpstr>
      <vt:lpstr>GEXCRI Covid </vt:lpstr>
      <vt:lpstr>'Prod. GEXCHA'!_FiltrarBancodeDados</vt:lpstr>
      <vt:lpstr>'Prod. GEXCRI'!_FiltrarBancodeDados</vt:lpstr>
      <vt:lpstr>'Modelo de Proposta'!Area_de_impressao</vt:lpstr>
      <vt:lpstr>'GEXCHA Covid  '!Print_Area</vt:lpstr>
      <vt:lpstr>'GEXCHA Limp.Ord. '!Print_Area</vt:lpstr>
      <vt:lpstr>'GEXCRI Covid '!Print_Area</vt:lpstr>
      <vt:lpstr>'GEXCRI Limp.Ord. '!Print_Area</vt:lpstr>
      <vt:lpstr>MC!Print_Area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Carolina Alves Miranda</dc:creator>
  <dc:description/>
  <cp:lastModifiedBy>inss</cp:lastModifiedBy>
  <cp:revision>90</cp:revision>
  <dcterms:created xsi:type="dcterms:W3CDTF">2020-03-17T09:48:25Z</dcterms:created>
  <dcterms:modified xsi:type="dcterms:W3CDTF">2022-06-27T14:54:53Z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0x0101002802779F605D534DA1B3FC3D1B1B4DA1</vt:lpwstr>
  </property>
</Properties>
</file>