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11760" tabRatio="764"/>
  </bookViews>
  <sheets>
    <sheet name="Modelo de Proposta" sheetId="20" r:id="rId1"/>
    <sheet name="MC" sheetId="1" r:id="rId2"/>
    <sheet name="Insumos" sheetId="2" r:id="rId3"/>
    <sheet name="Resumo Proposta" sheetId="5" r:id="rId4"/>
    <sheet name="Prod. GEXFLO" sheetId="6" r:id="rId5"/>
    <sheet name="GEXFLO Limp.Ord." sheetId="7" r:id="rId6"/>
    <sheet name="GEXFLO Covid" sheetId="12" r:id="rId7"/>
    <sheet name="Prod. GEXBLU" sheetId="9" r:id="rId8"/>
    <sheet name="GEXBLU Limp.Ord. " sheetId="15" r:id="rId9"/>
    <sheet name="GEXBLU Covid" sheetId="16" r:id="rId10"/>
    <sheet name="Prod. GEXJVL" sheetId="17" r:id="rId11"/>
    <sheet name="GEXJVL Limp.Ord." sheetId="18" r:id="rId12"/>
    <sheet name="GEXJVL Covid" sheetId="19" r:id="rId13"/>
    <sheet name="GEXJVL L.Ord e Covid - APS PR" sheetId="13" r:id="rId14"/>
  </sheets>
  <definedNames>
    <definedName name="_xlnm._FilterDatabase" localSheetId="7">'Prod. GEXBLU'!$A$2:$Q$2</definedName>
    <definedName name="_xlnm._FilterDatabase" localSheetId="10">'Prod. GEXJVL'!$A$2:$Q$2</definedName>
    <definedName name="_xlnm.Print_Area" localSheetId="0">'Modelo de Proposta'!$B$1:$H$30</definedName>
    <definedName name="Print_Area" localSheetId="9">'GEXBLU Covid'!$A$1:$D$151</definedName>
    <definedName name="Print_Area" localSheetId="8">'GEXBLU Limp.Ord. '!$A$1:$D$199</definedName>
    <definedName name="Print_Area" localSheetId="6">'GEXFLO Covid'!$A$1:$D$144</definedName>
    <definedName name="Print_Area" localSheetId="5">'GEXFLO Limp.Ord.'!$A$1:$D$192</definedName>
    <definedName name="Print_Area" localSheetId="12">'GEXJVL Covid'!$A$1:$D$151</definedName>
    <definedName name="Print_Area" localSheetId="13">'GEXJVL L.Ord e Covid - APS PR'!$A$1:$D$192</definedName>
    <definedName name="Print_Area" localSheetId="11">'GEXJVL Limp.Ord.'!$A$1:$D$199</definedName>
    <definedName name="Print_Area" localSheetId="1">MC!$A$3:$V$24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13" l="1"/>
  <c r="D39" i="13"/>
  <c r="C39" i="13"/>
  <c r="B39" i="13"/>
  <c r="E42" i="13"/>
  <c r="E41" i="13"/>
  <c r="D42" i="13"/>
  <c r="D41" i="13"/>
  <c r="C42" i="13"/>
  <c r="C41" i="13"/>
  <c r="B42" i="13"/>
  <c r="B41" i="13"/>
  <c r="H96" i="2"/>
  <c r="E13" i="13" l="1"/>
  <c r="E19" i="13" s="1"/>
  <c r="E7" i="13"/>
  <c r="D7" i="13"/>
  <c r="C7" i="13"/>
  <c r="C6" i="13"/>
  <c r="E6" i="13" s="1"/>
  <c r="E5" i="13"/>
  <c r="D5" i="13"/>
  <c r="D13" i="13" s="1"/>
  <c r="C5" i="13"/>
  <c r="C13" i="13" s="1"/>
  <c r="B23" i="13"/>
  <c r="B24" i="13"/>
  <c r="B25" i="13"/>
  <c r="B36" i="13"/>
  <c r="B46" i="13"/>
  <c r="B47" i="13"/>
  <c r="B54" i="13"/>
  <c r="B55" i="13"/>
  <c r="B57" i="13"/>
  <c r="B58" i="13"/>
  <c r="B59" i="13"/>
  <c r="B60" i="13"/>
  <c r="B64" i="13"/>
  <c r="B65" i="13"/>
  <c r="B66" i="13"/>
  <c r="B67" i="13"/>
  <c r="B69" i="13"/>
  <c r="C72" i="13"/>
  <c r="B74" i="13"/>
  <c r="B77" i="13"/>
  <c r="B78" i="13"/>
  <c r="C78" i="13"/>
  <c r="D78" i="13"/>
  <c r="E78" i="13"/>
  <c r="B79" i="13"/>
  <c r="B95" i="13"/>
  <c r="B96" i="13"/>
  <c r="B98" i="13"/>
  <c r="B97" i="13" s="1"/>
  <c r="B101" i="13"/>
  <c r="B100" i="13" s="1"/>
  <c r="B104" i="13"/>
  <c r="B103" i="13" s="1"/>
  <c r="B107" i="13"/>
  <c r="B106" i="13" s="1"/>
  <c r="B110" i="13"/>
  <c r="B109" i="13" s="1"/>
  <c r="B113" i="13"/>
  <c r="B112" i="13" s="1"/>
  <c r="C125" i="13"/>
  <c r="D125" i="13"/>
  <c r="E125" i="13"/>
  <c r="B154" i="13"/>
  <c r="B155" i="13"/>
  <c r="B160" i="13"/>
  <c r="B161" i="13"/>
  <c r="B166" i="13"/>
  <c r="B167" i="13"/>
  <c r="B172" i="13"/>
  <c r="B173" i="13"/>
  <c r="B178" i="13"/>
  <c r="B179" i="13"/>
  <c r="B181" i="13"/>
  <c r="B182" i="13"/>
  <c r="B184" i="13"/>
  <c r="B185" i="13"/>
  <c r="B190" i="13"/>
  <c r="B191" i="13"/>
  <c r="B193" i="13"/>
  <c r="B194" i="13"/>
  <c r="B196" i="13"/>
  <c r="B197" i="13"/>
  <c r="J29" i="1"/>
  <c r="J28" i="1"/>
  <c r="J26" i="1"/>
  <c r="I22" i="1"/>
  <c r="J22" i="1"/>
  <c r="J21" i="1"/>
  <c r="I13" i="1"/>
  <c r="H12" i="1"/>
  <c r="I11" i="1"/>
  <c r="H11" i="1"/>
  <c r="D6" i="5"/>
  <c r="B4" i="6" s="1"/>
  <c r="E6" i="5"/>
  <c r="E24" i="5" s="1"/>
  <c r="G6" i="5"/>
  <c r="G24" i="5" s="1"/>
  <c r="I6" i="5"/>
  <c r="K6" i="5"/>
  <c r="M6" i="5"/>
  <c r="M24" i="5" s="1"/>
  <c r="O6" i="5"/>
  <c r="O24" i="5" s="1"/>
  <c r="Q6" i="5"/>
  <c r="S6" i="5"/>
  <c r="AC6" i="5"/>
  <c r="AC24" i="5" s="1"/>
  <c r="D7" i="5"/>
  <c r="B5" i="6" s="1"/>
  <c r="E7" i="5"/>
  <c r="G7" i="5"/>
  <c r="I7" i="5"/>
  <c r="K7" i="5"/>
  <c r="M7" i="5"/>
  <c r="O7" i="5"/>
  <c r="Q7" i="5"/>
  <c r="S7" i="5"/>
  <c r="D8" i="5"/>
  <c r="E8" i="5"/>
  <c r="G8" i="5"/>
  <c r="I8" i="5"/>
  <c r="I24" i="5" s="1"/>
  <c r="K8" i="5"/>
  <c r="M8" i="5"/>
  <c r="O8" i="5"/>
  <c r="Q8" i="5"/>
  <c r="Q24" i="5" s="1"/>
  <c r="S8" i="5"/>
  <c r="D9" i="5"/>
  <c r="E9" i="5"/>
  <c r="G9" i="5"/>
  <c r="I9" i="5"/>
  <c r="K9" i="5"/>
  <c r="M9" i="5"/>
  <c r="O9" i="5"/>
  <c r="Q9" i="5"/>
  <c r="S9" i="5"/>
  <c r="D10" i="5"/>
  <c r="E10" i="5"/>
  <c r="G10" i="5"/>
  <c r="I10" i="5"/>
  <c r="K10" i="5"/>
  <c r="M10" i="5"/>
  <c r="O10" i="5"/>
  <c r="Q10" i="5"/>
  <c r="S10" i="5"/>
  <c r="D11" i="5"/>
  <c r="E11" i="5"/>
  <c r="G11" i="5"/>
  <c r="I11" i="5"/>
  <c r="K11" i="5"/>
  <c r="M11" i="5"/>
  <c r="O11" i="5"/>
  <c r="Q11" i="5"/>
  <c r="S11" i="5"/>
  <c r="D12" i="5"/>
  <c r="E12" i="5"/>
  <c r="G12" i="5"/>
  <c r="I12" i="5"/>
  <c r="K12" i="5"/>
  <c r="M12" i="5"/>
  <c r="O12" i="5"/>
  <c r="Q12" i="5"/>
  <c r="S12" i="5"/>
  <c r="D13" i="5"/>
  <c r="E13" i="5"/>
  <c r="G13" i="5"/>
  <c r="I13" i="5"/>
  <c r="K13" i="5"/>
  <c r="M13" i="5"/>
  <c r="O13" i="5"/>
  <c r="Q13" i="5"/>
  <c r="S13" i="5"/>
  <c r="D14" i="5"/>
  <c r="E14" i="5"/>
  <c r="G14" i="5"/>
  <c r="I14" i="5"/>
  <c r="K14" i="5"/>
  <c r="M14" i="5"/>
  <c r="O14" i="5"/>
  <c r="Q14" i="5"/>
  <c r="S14" i="5"/>
  <c r="D15" i="5"/>
  <c r="E15" i="5"/>
  <c r="G15" i="5"/>
  <c r="I15" i="5"/>
  <c r="K15" i="5"/>
  <c r="M15" i="5"/>
  <c r="O15" i="5"/>
  <c r="Q15" i="5"/>
  <c r="S15" i="5"/>
  <c r="D16" i="5"/>
  <c r="E16" i="5"/>
  <c r="G16" i="5"/>
  <c r="I16" i="5"/>
  <c r="K16" i="5"/>
  <c r="M16" i="5"/>
  <c r="O16" i="5"/>
  <c r="Q16" i="5"/>
  <c r="S16" i="5"/>
  <c r="D17" i="5"/>
  <c r="E17" i="5"/>
  <c r="G17" i="5"/>
  <c r="I17" i="5"/>
  <c r="K17" i="5"/>
  <c r="M17" i="5"/>
  <c r="O17" i="5"/>
  <c r="Q17" i="5"/>
  <c r="S17" i="5"/>
  <c r="D18" i="5"/>
  <c r="E18" i="5"/>
  <c r="G18" i="5"/>
  <c r="I18" i="5"/>
  <c r="K18" i="5"/>
  <c r="M18" i="5"/>
  <c r="O18" i="5"/>
  <c r="Q18" i="5"/>
  <c r="S18" i="5"/>
  <c r="D19" i="5"/>
  <c r="E19" i="5"/>
  <c r="G19" i="5"/>
  <c r="I19" i="5"/>
  <c r="K19" i="5"/>
  <c r="M19" i="5"/>
  <c r="O19" i="5"/>
  <c r="Q19" i="5"/>
  <c r="S19" i="5"/>
  <c r="D20" i="5"/>
  <c r="E20" i="5"/>
  <c r="G20" i="5"/>
  <c r="I20" i="5"/>
  <c r="K20" i="5"/>
  <c r="M20" i="5"/>
  <c r="O20" i="5"/>
  <c r="Q20" i="5"/>
  <c r="S20" i="5"/>
  <c r="D21" i="5"/>
  <c r="E21" i="5"/>
  <c r="G21" i="5"/>
  <c r="I21" i="5"/>
  <c r="K21" i="5"/>
  <c r="M21" i="5"/>
  <c r="O21" i="5"/>
  <c r="Q21" i="5"/>
  <c r="S21" i="5"/>
  <c r="D22" i="5"/>
  <c r="E22" i="5"/>
  <c r="G22" i="5"/>
  <c r="I22" i="5"/>
  <c r="K22" i="5"/>
  <c r="M22" i="5"/>
  <c r="O22" i="5"/>
  <c r="Q22" i="5"/>
  <c r="S22" i="5"/>
  <c r="D23" i="5"/>
  <c r="E23" i="5"/>
  <c r="G23" i="5"/>
  <c r="I23" i="5"/>
  <c r="K23" i="5"/>
  <c r="M23" i="5"/>
  <c r="O23" i="5"/>
  <c r="Q23" i="5"/>
  <c r="S23" i="5"/>
  <c r="S24" i="5" s="1"/>
  <c r="K24" i="5"/>
  <c r="U24" i="5"/>
  <c r="W24" i="5"/>
  <c r="A25" i="5"/>
  <c r="D25" i="5"/>
  <c r="B4" i="9" s="1"/>
  <c r="E25" i="5"/>
  <c r="G25" i="5"/>
  <c r="I25" i="5"/>
  <c r="I37" i="5" s="1"/>
  <c r="K25" i="5"/>
  <c r="K37" i="5" s="1"/>
  <c r="M25" i="5"/>
  <c r="O25" i="5"/>
  <c r="Q25" i="5"/>
  <c r="Q37" i="5" s="1"/>
  <c r="S25" i="5"/>
  <c r="S37" i="5" s="1"/>
  <c r="U25" i="5"/>
  <c r="W25" i="5"/>
  <c r="AC25" i="5"/>
  <c r="AC37" i="5" s="1"/>
  <c r="A26" i="5"/>
  <c r="D26" i="5"/>
  <c r="B5" i="9" s="1"/>
  <c r="E26" i="5"/>
  <c r="G26" i="5"/>
  <c r="G37" i="5" s="1"/>
  <c r="I26" i="5"/>
  <c r="K26" i="5"/>
  <c r="M26" i="5"/>
  <c r="O26" i="5"/>
  <c r="O37" i="5" s="1"/>
  <c r="Q26" i="5"/>
  <c r="S26" i="5"/>
  <c r="U26" i="5"/>
  <c r="W26" i="5"/>
  <c r="W37" i="5" s="1"/>
  <c r="A27" i="5"/>
  <c r="D27" i="5"/>
  <c r="B6" i="9" s="1"/>
  <c r="E27" i="5"/>
  <c r="G27" i="5"/>
  <c r="I27" i="5"/>
  <c r="K27" i="5"/>
  <c r="M27" i="5"/>
  <c r="O27" i="5"/>
  <c r="Q27" i="5"/>
  <c r="S27" i="5"/>
  <c r="U27" i="5"/>
  <c r="W27" i="5"/>
  <c r="A28" i="5"/>
  <c r="D28" i="5"/>
  <c r="E28" i="5"/>
  <c r="G28" i="5"/>
  <c r="I28" i="5"/>
  <c r="K28" i="5"/>
  <c r="M28" i="5"/>
  <c r="O28" i="5"/>
  <c r="Q28" i="5"/>
  <c r="S28" i="5"/>
  <c r="U28" i="5"/>
  <c r="W28" i="5"/>
  <c r="A29" i="5"/>
  <c r="D29" i="5"/>
  <c r="B8" i="9" s="1"/>
  <c r="E29" i="5"/>
  <c r="G29" i="5"/>
  <c r="I29" i="5"/>
  <c r="K29" i="5"/>
  <c r="M29" i="5"/>
  <c r="O29" i="5"/>
  <c r="Q29" i="5"/>
  <c r="S29" i="5"/>
  <c r="U29" i="5"/>
  <c r="W29" i="5"/>
  <c r="A30" i="5"/>
  <c r="D30" i="5"/>
  <c r="B9" i="9" s="1"/>
  <c r="E30" i="5"/>
  <c r="G30" i="5"/>
  <c r="I30" i="5"/>
  <c r="K30" i="5"/>
  <c r="M30" i="5"/>
  <c r="O30" i="5"/>
  <c r="Q30" i="5"/>
  <c r="S30" i="5"/>
  <c r="U30" i="5"/>
  <c r="W30" i="5"/>
  <c r="A31" i="5"/>
  <c r="D31" i="5"/>
  <c r="B10" i="9" s="1"/>
  <c r="E31" i="5"/>
  <c r="G31" i="5"/>
  <c r="I31" i="5"/>
  <c r="K31" i="5"/>
  <c r="M31" i="5"/>
  <c r="O31" i="5"/>
  <c r="Q31" i="5"/>
  <c r="S31" i="5"/>
  <c r="U31" i="5"/>
  <c r="W31" i="5"/>
  <c r="A32" i="5"/>
  <c r="D32" i="5"/>
  <c r="E32" i="5"/>
  <c r="G32" i="5"/>
  <c r="I32" i="5"/>
  <c r="K32" i="5"/>
  <c r="M32" i="5"/>
  <c r="O32" i="5"/>
  <c r="Q32" i="5"/>
  <c r="S32" i="5"/>
  <c r="U32" i="5"/>
  <c r="W32" i="5"/>
  <c r="A33" i="5"/>
  <c r="D33" i="5"/>
  <c r="B12" i="9" s="1"/>
  <c r="E33" i="5"/>
  <c r="G33" i="5"/>
  <c r="I33" i="5"/>
  <c r="K33" i="5"/>
  <c r="M33" i="5"/>
  <c r="O33" i="5"/>
  <c r="Q33" i="5"/>
  <c r="S33" i="5"/>
  <c r="U33" i="5"/>
  <c r="W33" i="5"/>
  <c r="A34" i="5"/>
  <c r="D34" i="5"/>
  <c r="B13" i="9" s="1"/>
  <c r="E34" i="5"/>
  <c r="G34" i="5"/>
  <c r="I34" i="5"/>
  <c r="K34" i="5"/>
  <c r="M34" i="5"/>
  <c r="O34" i="5"/>
  <c r="Q34" i="5"/>
  <c r="S34" i="5"/>
  <c r="U34" i="5"/>
  <c r="W34" i="5"/>
  <c r="A35" i="5"/>
  <c r="D35" i="5"/>
  <c r="B14" i="9" s="1"/>
  <c r="E35" i="5"/>
  <c r="G35" i="5"/>
  <c r="I35" i="5"/>
  <c r="K35" i="5"/>
  <c r="M35" i="5"/>
  <c r="O35" i="5"/>
  <c r="Q35" i="5"/>
  <c r="S35" i="5"/>
  <c r="U35" i="5"/>
  <c r="W35" i="5"/>
  <c r="A36" i="5"/>
  <c r="D36" i="5"/>
  <c r="E36" i="5"/>
  <c r="G36" i="5"/>
  <c r="I36" i="5"/>
  <c r="K36" i="5"/>
  <c r="M36" i="5"/>
  <c r="O36" i="5"/>
  <c r="Q36" i="5"/>
  <c r="S36" i="5"/>
  <c r="U36" i="5"/>
  <c r="W36" i="5"/>
  <c r="E37" i="5"/>
  <c r="M37" i="5"/>
  <c r="U37" i="5"/>
  <c r="D38" i="5"/>
  <c r="E38" i="5"/>
  <c r="E48" i="5" s="1"/>
  <c r="G38" i="5"/>
  <c r="I38" i="5"/>
  <c r="K38" i="5"/>
  <c r="K48" i="5" s="1"/>
  <c r="M38" i="5"/>
  <c r="M48" i="5" s="1"/>
  <c r="O38" i="5"/>
  <c r="Q38" i="5"/>
  <c r="W38" i="5"/>
  <c r="AC38" i="5"/>
  <c r="D39" i="5"/>
  <c r="B5" i="17" s="1"/>
  <c r="E39" i="5"/>
  <c r="G39" i="5"/>
  <c r="I39" i="5"/>
  <c r="K39" i="5"/>
  <c r="M39" i="5"/>
  <c r="O39" i="5"/>
  <c r="Q39" i="5"/>
  <c r="W39" i="5"/>
  <c r="D40" i="5"/>
  <c r="E40" i="5"/>
  <c r="G40" i="5"/>
  <c r="G48" i="5" s="1"/>
  <c r="I40" i="5"/>
  <c r="K40" i="5"/>
  <c r="M40" i="5"/>
  <c r="O40" i="5"/>
  <c r="O48" i="5" s="1"/>
  <c r="Q40" i="5"/>
  <c r="W40" i="5"/>
  <c r="D41" i="5"/>
  <c r="E41" i="5"/>
  <c r="G41" i="5"/>
  <c r="I41" i="5"/>
  <c r="K41" i="5"/>
  <c r="M41" i="5"/>
  <c r="O41" i="5"/>
  <c r="Q41" i="5"/>
  <c r="W41" i="5"/>
  <c r="D42" i="5"/>
  <c r="B8" i="17" s="1"/>
  <c r="E42" i="5"/>
  <c r="G42" i="5"/>
  <c r="I42" i="5"/>
  <c r="K42" i="5"/>
  <c r="M42" i="5"/>
  <c r="O42" i="5"/>
  <c r="Q42" i="5"/>
  <c r="W42" i="5"/>
  <c r="W48" i="5" s="1"/>
  <c r="D43" i="5"/>
  <c r="B9" i="17" s="1"/>
  <c r="E43" i="5"/>
  <c r="G43" i="5"/>
  <c r="I43" i="5"/>
  <c r="K43" i="5"/>
  <c r="M43" i="5"/>
  <c r="O43" i="5"/>
  <c r="Q43" i="5"/>
  <c r="W43" i="5"/>
  <c r="D44" i="5"/>
  <c r="E44" i="5"/>
  <c r="G44" i="5"/>
  <c r="I44" i="5"/>
  <c r="K44" i="5"/>
  <c r="M44" i="5"/>
  <c r="O44" i="5"/>
  <c r="Q44" i="5"/>
  <c r="W44" i="5"/>
  <c r="Z44" i="5"/>
  <c r="D45" i="5"/>
  <c r="E45" i="5"/>
  <c r="G45" i="5"/>
  <c r="I45" i="5"/>
  <c r="K45" i="5"/>
  <c r="M45" i="5"/>
  <c r="O45" i="5"/>
  <c r="Q45" i="5"/>
  <c r="W45" i="5"/>
  <c r="Z45" i="5"/>
  <c r="D46" i="5"/>
  <c r="E46" i="5"/>
  <c r="G46" i="5"/>
  <c r="I46" i="5"/>
  <c r="K46" i="5"/>
  <c r="M46" i="5"/>
  <c r="O46" i="5"/>
  <c r="Q46" i="5"/>
  <c r="W46" i="5"/>
  <c r="Z46" i="5"/>
  <c r="D47" i="5"/>
  <c r="B13" i="17" s="1"/>
  <c r="E47" i="5"/>
  <c r="G47" i="5"/>
  <c r="I47" i="5"/>
  <c r="K47" i="5"/>
  <c r="M47" i="5"/>
  <c r="O47" i="5"/>
  <c r="Q47" i="5"/>
  <c r="W47" i="5"/>
  <c r="Z47" i="5"/>
  <c r="I48" i="5"/>
  <c r="Q48" i="5"/>
  <c r="S48" i="5"/>
  <c r="U48" i="5"/>
  <c r="AC48" i="5"/>
  <c r="AA47" i="13"/>
  <c r="K96" i="2"/>
  <c r="J96" i="2"/>
  <c r="E95" i="2"/>
  <c r="D95" i="2"/>
  <c r="B196" i="18"/>
  <c r="B193" i="18"/>
  <c r="B190" i="18"/>
  <c r="B184" i="18"/>
  <c r="B181" i="18"/>
  <c r="B178" i="18"/>
  <c r="B172" i="18"/>
  <c r="B166" i="18"/>
  <c r="B160" i="18"/>
  <c r="B154" i="18"/>
  <c r="B6" i="17"/>
  <c r="B7" i="17"/>
  <c r="B10" i="17"/>
  <c r="B11" i="17"/>
  <c r="B12" i="17"/>
  <c r="B4" i="17"/>
  <c r="D125" i="19"/>
  <c r="C125" i="19"/>
  <c r="B113" i="19"/>
  <c r="B112" i="19"/>
  <c r="B110" i="19"/>
  <c r="B109" i="19"/>
  <c r="B107" i="19"/>
  <c r="B106" i="19"/>
  <c r="B104" i="19"/>
  <c r="B103" i="19"/>
  <c r="B101" i="19"/>
  <c r="B100" i="19"/>
  <c r="B98" i="19"/>
  <c r="B97" i="19"/>
  <c r="D78" i="19"/>
  <c r="B78" i="19"/>
  <c r="B74" i="19"/>
  <c r="B79" i="19" s="1"/>
  <c r="C72" i="19"/>
  <c r="C78" i="19" s="1"/>
  <c r="B67" i="19"/>
  <c r="B66" i="19"/>
  <c r="B64" i="19"/>
  <c r="B59" i="19"/>
  <c r="B57" i="19"/>
  <c r="B54" i="19"/>
  <c r="B42" i="19"/>
  <c r="B40" i="19"/>
  <c r="B36" i="19"/>
  <c r="B24" i="19"/>
  <c r="B23" i="19"/>
  <c r="D8" i="19"/>
  <c r="C8" i="19"/>
  <c r="D7" i="19"/>
  <c r="C7" i="19"/>
  <c r="D6" i="19"/>
  <c r="C6" i="19"/>
  <c r="C5" i="19"/>
  <c r="C13" i="19" s="1"/>
  <c r="F125" i="18"/>
  <c r="E125" i="18"/>
  <c r="D125" i="18"/>
  <c r="C125" i="18"/>
  <c r="B113" i="18"/>
  <c r="B112" i="18"/>
  <c r="B110" i="18"/>
  <c r="B109" i="18"/>
  <c r="B107" i="18"/>
  <c r="B106" i="18"/>
  <c r="B104" i="18"/>
  <c r="B103" i="18"/>
  <c r="B101" i="18"/>
  <c r="B100" i="18"/>
  <c r="B98" i="18"/>
  <c r="B97" i="18"/>
  <c r="B96" i="18"/>
  <c r="B95" i="18"/>
  <c r="F90" i="18"/>
  <c r="F78" i="18"/>
  <c r="E78" i="18"/>
  <c r="D78" i="18"/>
  <c r="B78" i="18"/>
  <c r="B74" i="18"/>
  <c r="B79" i="18" s="1"/>
  <c r="C72" i="18"/>
  <c r="C78" i="18" s="1"/>
  <c r="B67" i="18"/>
  <c r="B66" i="18"/>
  <c r="B64" i="18"/>
  <c r="B59" i="18"/>
  <c r="B57" i="18"/>
  <c r="B54" i="18"/>
  <c r="B42" i="18"/>
  <c r="E40" i="18"/>
  <c r="B40" i="18"/>
  <c r="B36" i="18"/>
  <c r="B24" i="18"/>
  <c r="B23" i="18"/>
  <c r="F8" i="18"/>
  <c r="F6" i="18"/>
  <c r="F5" i="18"/>
  <c r="F13" i="18" s="1"/>
  <c r="C5" i="18"/>
  <c r="C13" i="18" s="1"/>
  <c r="Q74" i="1"/>
  <c r="Q75" i="1"/>
  <c r="Q76" i="1"/>
  <c r="Q77" i="1"/>
  <c r="Q78" i="1"/>
  <c r="Q79" i="1"/>
  <c r="Q80" i="1"/>
  <c r="Q81" i="1"/>
  <c r="Q82" i="1"/>
  <c r="R82" i="1" s="1"/>
  <c r="Q73" i="1"/>
  <c r="Q83" i="1" s="1"/>
  <c r="M5" i="17"/>
  <c r="M7" i="17"/>
  <c r="M12" i="17"/>
  <c r="M13" i="17"/>
  <c r="M4" i="17"/>
  <c r="D11" i="17"/>
  <c r="C14" i="17"/>
  <c r="D14" i="17"/>
  <c r="E14" i="17"/>
  <c r="F14" i="17"/>
  <c r="G14" i="17"/>
  <c r="H14" i="17"/>
  <c r="I14" i="17"/>
  <c r="J14" i="17"/>
  <c r="K14" i="17"/>
  <c r="L14" i="17"/>
  <c r="U14" i="17"/>
  <c r="T14" i="17"/>
  <c r="S14" i="17"/>
  <c r="R14" i="17"/>
  <c r="Q14" i="17"/>
  <c r="P14" i="17"/>
  <c r="O14" i="17"/>
  <c r="N14" i="17"/>
  <c r="J16" i="17"/>
  <c r="J17" i="17" s="1"/>
  <c r="R81" i="1"/>
  <c r="R80" i="1"/>
  <c r="R79" i="1"/>
  <c r="R78" i="1"/>
  <c r="R77" i="1"/>
  <c r="R76" i="1"/>
  <c r="R75" i="1"/>
  <c r="R74" i="1"/>
  <c r="R73" i="1"/>
  <c r="R83" i="1" s="1"/>
  <c r="P84" i="1" s="1"/>
  <c r="B38" i="13" s="1"/>
  <c r="P83" i="1"/>
  <c r="B107" i="16"/>
  <c r="B106" i="16"/>
  <c r="B107" i="15"/>
  <c r="B106" i="15" s="1"/>
  <c r="B196" i="15"/>
  <c r="B193" i="15"/>
  <c r="B190" i="15"/>
  <c r="B184" i="15"/>
  <c r="B181" i="15"/>
  <c r="B178" i="15"/>
  <c r="B172" i="15"/>
  <c r="B166" i="15"/>
  <c r="B160" i="15"/>
  <c r="B154" i="15"/>
  <c r="B7" i="9"/>
  <c r="B11" i="9"/>
  <c r="B15" i="9"/>
  <c r="K74" i="1"/>
  <c r="K75" i="1"/>
  <c r="K76" i="1"/>
  <c r="K77" i="1"/>
  <c r="K78" i="1"/>
  <c r="K79" i="1"/>
  <c r="K80" i="1"/>
  <c r="K81" i="1"/>
  <c r="K82" i="1"/>
  <c r="K83" i="1"/>
  <c r="K84" i="1"/>
  <c r="K73" i="1"/>
  <c r="K85" i="1" s="1"/>
  <c r="L84" i="1"/>
  <c r="S16" i="9"/>
  <c r="U16" i="9"/>
  <c r="T16" i="9"/>
  <c r="R16" i="9"/>
  <c r="M24" i="9"/>
  <c r="Q16" i="9"/>
  <c r="P16" i="9"/>
  <c r="O16" i="9"/>
  <c r="N16" i="9"/>
  <c r="O17" i="9" s="1"/>
  <c r="J16" i="9"/>
  <c r="J18" i="9" s="1"/>
  <c r="J19" i="9" s="1"/>
  <c r="I16" i="9"/>
  <c r="H16" i="9"/>
  <c r="G16" i="9"/>
  <c r="F16" i="9"/>
  <c r="E16" i="9"/>
  <c r="D16" i="9"/>
  <c r="C16" i="9"/>
  <c r="L15" i="9"/>
  <c r="L14" i="9"/>
  <c r="K13" i="9"/>
  <c r="K12" i="9"/>
  <c r="K11" i="9"/>
  <c r="K10" i="9"/>
  <c r="L9" i="9"/>
  <c r="L8" i="9"/>
  <c r="K7" i="9"/>
  <c r="L6" i="9"/>
  <c r="K5" i="9"/>
  <c r="L4" i="9"/>
  <c r="D125" i="16"/>
  <c r="C125" i="16"/>
  <c r="B113" i="16"/>
  <c r="B112" i="16"/>
  <c r="B110" i="16"/>
  <c r="B109" i="16"/>
  <c r="B104" i="16"/>
  <c r="B103" i="16"/>
  <c r="B101" i="16"/>
  <c r="B100" i="16"/>
  <c r="B98" i="16"/>
  <c r="B97" i="16"/>
  <c r="D78" i="16"/>
  <c r="B78" i="16"/>
  <c r="B74" i="16"/>
  <c r="B79" i="16" s="1"/>
  <c r="C72" i="16"/>
  <c r="C78" i="16" s="1"/>
  <c r="B67" i="16"/>
  <c r="B66" i="16"/>
  <c r="B64" i="16"/>
  <c r="B59" i="16"/>
  <c r="B57" i="16"/>
  <c r="B54" i="16"/>
  <c r="B42" i="16"/>
  <c r="B40" i="16"/>
  <c r="B36" i="16"/>
  <c r="B24" i="16"/>
  <c r="B23" i="16"/>
  <c r="D8" i="16"/>
  <c r="C8" i="16"/>
  <c r="D7" i="16"/>
  <c r="C7" i="16"/>
  <c r="D6" i="16"/>
  <c r="C6" i="16"/>
  <c r="C5" i="16"/>
  <c r="C13" i="16" s="1"/>
  <c r="F125" i="15"/>
  <c r="E125" i="15"/>
  <c r="D125" i="15"/>
  <c r="C125" i="15"/>
  <c r="B113" i="15"/>
  <c r="B112" i="15"/>
  <c r="B110" i="15"/>
  <c r="B109" i="15"/>
  <c r="B104" i="15"/>
  <c r="B103" i="15"/>
  <c r="B101" i="15"/>
  <c r="B100" i="15"/>
  <c r="B98" i="15"/>
  <c r="B97" i="15"/>
  <c r="B96" i="15"/>
  <c r="B95" i="15"/>
  <c r="F90" i="15"/>
  <c r="F78" i="15"/>
  <c r="E78" i="15"/>
  <c r="D78" i="15"/>
  <c r="B78" i="15"/>
  <c r="B74" i="15"/>
  <c r="B79" i="15" s="1"/>
  <c r="C72" i="15"/>
  <c r="C78" i="15" s="1"/>
  <c r="B67" i="15"/>
  <c r="B66" i="15"/>
  <c r="B64" i="15"/>
  <c r="B59" i="15"/>
  <c r="B57" i="15"/>
  <c r="B54" i="15"/>
  <c r="B42" i="15"/>
  <c r="E40" i="15"/>
  <c r="B40" i="15"/>
  <c r="B36" i="15"/>
  <c r="B24" i="15"/>
  <c r="B23" i="15"/>
  <c r="F8" i="15"/>
  <c r="F6" i="15"/>
  <c r="F5" i="15"/>
  <c r="F13" i="15" s="1"/>
  <c r="C5" i="15"/>
  <c r="C13" i="15" s="1"/>
  <c r="B42" i="12"/>
  <c r="B40" i="12"/>
  <c r="C5" i="12"/>
  <c r="B189" i="7"/>
  <c r="B186" i="7"/>
  <c r="B183" i="7"/>
  <c r="B177" i="7"/>
  <c r="B174" i="7"/>
  <c r="B171" i="7"/>
  <c r="B165" i="7"/>
  <c r="B159" i="7"/>
  <c r="B153" i="7"/>
  <c r="B147" i="7"/>
  <c r="E11" i="1"/>
  <c r="D5" i="7" s="1"/>
  <c r="B42" i="7"/>
  <c r="C88" i="2"/>
  <c r="C89" i="2" s="1"/>
  <c r="C90" i="2" s="1"/>
  <c r="C91" i="2" s="1"/>
  <c r="C92" i="2" s="1"/>
  <c r="C93" i="2" s="1"/>
  <c r="C94" i="2" s="1"/>
  <c r="C95" i="2" s="1"/>
  <c r="E82" i="1"/>
  <c r="E74" i="1"/>
  <c r="C22" i="6"/>
  <c r="E22" i="6"/>
  <c r="F22" i="6"/>
  <c r="G22" i="6"/>
  <c r="H22" i="6"/>
  <c r="I22" i="6"/>
  <c r="K22" i="6"/>
  <c r="L22" i="6"/>
  <c r="D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73" i="1"/>
  <c r="E91" i="1" s="1"/>
  <c r="M4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M22" i="6"/>
  <c r="K25" i="6" s="1"/>
  <c r="C5" i="7"/>
  <c r="F5" i="7"/>
  <c r="H95" i="2"/>
  <c r="L24" i="6"/>
  <c r="K24" i="6"/>
  <c r="D24" i="6"/>
  <c r="E24" i="6"/>
  <c r="F24" i="6"/>
  <c r="G24" i="6"/>
  <c r="H24" i="6"/>
  <c r="I24" i="6"/>
  <c r="P22" i="6"/>
  <c r="Q22" i="6"/>
  <c r="R22" i="6"/>
  <c r="S22" i="6"/>
  <c r="T22" i="6"/>
  <c r="U22" i="6"/>
  <c r="O22" i="6"/>
  <c r="N22" i="6"/>
  <c r="O23" i="6" s="1"/>
  <c r="D91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73" i="1"/>
  <c r="E25" i="1"/>
  <c r="E21" i="1"/>
  <c r="E5" i="18"/>
  <c r="E13" i="18" s="1"/>
  <c r="C68" i="2"/>
  <c r="C132" i="2"/>
  <c r="D132" i="2"/>
  <c r="D127" i="2"/>
  <c r="D126" i="2"/>
  <c r="C126" i="2"/>
  <c r="C125" i="2"/>
  <c r="D125" i="2"/>
  <c r="D124" i="2"/>
  <c r="D123" i="2"/>
  <c r="C123" i="2"/>
  <c r="C124" i="2"/>
  <c r="C127" i="2"/>
  <c r="C66" i="2"/>
  <c r="C64" i="2"/>
  <c r="C63" i="2"/>
  <c r="C24" i="6"/>
  <c r="B96" i="7"/>
  <c r="B95" i="7"/>
  <c r="F6" i="7"/>
  <c r="F8" i="7"/>
  <c r="E78" i="7"/>
  <c r="F78" i="7"/>
  <c r="E121" i="7"/>
  <c r="F121" i="7"/>
  <c r="D121" i="12"/>
  <c r="C121" i="12"/>
  <c r="B110" i="12"/>
  <c r="B109" i="12"/>
  <c r="B107" i="12"/>
  <c r="B106" i="12"/>
  <c r="B104" i="12"/>
  <c r="B103" i="12"/>
  <c r="B101" i="12"/>
  <c r="B100" i="12"/>
  <c r="B98" i="12"/>
  <c r="B97" i="12"/>
  <c r="D78" i="12"/>
  <c r="B78" i="12"/>
  <c r="B74" i="12"/>
  <c r="B79" i="12" s="1"/>
  <c r="C72" i="12"/>
  <c r="C78" i="12" s="1"/>
  <c r="B67" i="12"/>
  <c r="B66" i="12"/>
  <c r="B64" i="12"/>
  <c r="B59" i="12"/>
  <c r="B57" i="12"/>
  <c r="B54" i="12"/>
  <c r="B36" i="12"/>
  <c r="B24" i="12"/>
  <c r="B23" i="12"/>
  <c r="D8" i="12"/>
  <c r="C8" i="12"/>
  <c r="D7" i="12"/>
  <c r="C7" i="12"/>
  <c r="D6" i="12"/>
  <c r="C6" i="12"/>
  <c r="H146" i="2"/>
  <c r="H145" i="2" s="1"/>
  <c r="F49" i="2"/>
  <c r="G49" i="2" s="1"/>
  <c r="B74" i="7"/>
  <c r="B67" i="7"/>
  <c r="B66" i="7"/>
  <c r="D22" i="1"/>
  <c r="E22" i="1" s="1"/>
  <c r="D11" i="1"/>
  <c r="H30" i="9"/>
  <c r="J30" i="9" s="1"/>
  <c r="J31" i="9" s="1"/>
  <c r="D121" i="7"/>
  <c r="C121" i="7"/>
  <c r="B110" i="7"/>
  <c r="B109" i="7"/>
  <c r="B107" i="7"/>
  <c r="B106" i="7"/>
  <c r="B104" i="7"/>
  <c r="B103" i="7"/>
  <c r="B101" i="7"/>
  <c r="B100" i="7"/>
  <c r="B98" i="7"/>
  <c r="B97" i="7"/>
  <c r="D78" i="7"/>
  <c r="B78" i="7"/>
  <c r="B79" i="7"/>
  <c r="C72" i="7"/>
  <c r="C78" i="7" s="1"/>
  <c r="B64" i="7"/>
  <c r="B59" i="7"/>
  <c r="B57" i="7"/>
  <c r="B54" i="7"/>
  <c r="B40" i="7"/>
  <c r="B36" i="7"/>
  <c r="B24" i="7"/>
  <c r="B23" i="7"/>
  <c r="C176" i="6"/>
  <c r="G133" i="2"/>
  <c r="G132" i="2"/>
  <c r="G131" i="2"/>
  <c r="G130" i="2"/>
  <c r="G127" i="2"/>
  <c r="G126" i="2"/>
  <c r="G125" i="2"/>
  <c r="G124" i="2"/>
  <c r="G123" i="2"/>
  <c r="F116" i="2"/>
  <c r="F115" i="2"/>
  <c r="F114" i="2"/>
  <c r="F113" i="2"/>
  <c r="F111" i="2"/>
  <c r="F110" i="2"/>
  <c r="F109" i="2"/>
  <c r="F108" i="2"/>
  <c r="F107" i="2"/>
  <c r="F106" i="2"/>
  <c r="H94" i="2"/>
  <c r="H93" i="2"/>
  <c r="H92" i="2"/>
  <c r="H91" i="2"/>
  <c r="H90" i="2"/>
  <c r="H89" i="2"/>
  <c r="H88" i="2"/>
  <c r="H87" i="2"/>
  <c r="F68" i="2"/>
  <c r="F66" i="2"/>
  <c r="F65" i="2"/>
  <c r="F64" i="2"/>
  <c r="F63" i="2"/>
  <c r="F57" i="2"/>
  <c r="G57" i="2" s="1"/>
  <c r="F56" i="2"/>
  <c r="F55" i="2"/>
  <c r="G55" i="2" s="1"/>
  <c r="F54" i="2"/>
  <c r="G54" i="2" s="1"/>
  <c r="F53" i="2"/>
  <c r="G53" i="2" s="1"/>
  <c r="F52" i="2"/>
  <c r="F51" i="2"/>
  <c r="G51" i="2" s="1"/>
  <c r="F50" i="2"/>
  <c r="G50" i="2" s="1"/>
  <c r="F48" i="2"/>
  <c r="F47" i="2"/>
  <c r="G47" i="2" s="1"/>
  <c r="F46" i="2"/>
  <c r="G46" i="2" s="1"/>
  <c r="F45" i="2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F3" i="2"/>
  <c r="G3" i="2" s="1"/>
  <c r="J85" i="1"/>
  <c r="L83" i="1"/>
  <c r="L78" i="1"/>
  <c r="L77" i="1"/>
  <c r="L75" i="1"/>
  <c r="E56" i="1"/>
  <c r="AD81" i="5" l="1"/>
  <c r="F91" i="1"/>
  <c r="D92" i="1" s="1"/>
  <c r="D19" i="13"/>
  <c r="D38" i="13"/>
  <c r="D44" i="13" s="1"/>
  <c r="D48" i="13" s="1"/>
  <c r="C19" i="13"/>
  <c r="C38" i="13"/>
  <c r="C44" i="13" s="1"/>
  <c r="C48" i="13" s="1"/>
  <c r="E55" i="13"/>
  <c r="E58" i="13"/>
  <c r="E23" i="13"/>
  <c r="E25" i="13" s="1"/>
  <c r="E46" i="13" s="1"/>
  <c r="E59" i="13"/>
  <c r="E54" i="13"/>
  <c r="E57" i="13"/>
  <c r="E24" i="13"/>
  <c r="E127" i="13"/>
  <c r="E38" i="13"/>
  <c r="E44" i="13" s="1"/>
  <c r="E48" i="13" s="1"/>
  <c r="D6" i="13"/>
  <c r="I95" i="2"/>
  <c r="AC50" i="5"/>
  <c r="G12" i="20" s="1"/>
  <c r="H12" i="20" s="1"/>
  <c r="B65" i="19"/>
  <c r="B65" i="18"/>
  <c r="D39" i="19"/>
  <c r="D39" i="18"/>
  <c r="C39" i="19"/>
  <c r="F39" i="18"/>
  <c r="E39" i="18"/>
  <c r="C39" i="18"/>
  <c r="B41" i="19"/>
  <c r="B41" i="18"/>
  <c r="D5" i="19"/>
  <c r="D13" i="19" s="1"/>
  <c r="D5" i="18"/>
  <c r="D13" i="18" s="1"/>
  <c r="M6" i="9"/>
  <c r="M8" i="9"/>
  <c r="M9" i="9"/>
  <c r="M14" i="9"/>
  <c r="M15" i="9"/>
  <c r="B197" i="15"/>
  <c r="B194" i="15"/>
  <c r="B155" i="15"/>
  <c r="B161" i="15"/>
  <c r="B167" i="15"/>
  <c r="B173" i="15"/>
  <c r="B179" i="15"/>
  <c r="B182" i="15"/>
  <c r="B185" i="15"/>
  <c r="O15" i="17"/>
  <c r="O16" i="17"/>
  <c r="K87" i="2"/>
  <c r="J87" i="2"/>
  <c r="I87" i="2"/>
  <c r="K88" i="2"/>
  <c r="J88" i="2"/>
  <c r="K89" i="2"/>
  <c r="J89" i="2"/>
  <c r="K90" i="2"/>
  <c r="J90" i="2"/>
  <c r="K91" i="2"/>
  <c r="J91" i="2"/>
  <c r="K92" i="2"/>
  <c r="J92" i="2"/>
  <c r="K93" i="2"/>
  <c r="J93" i="2"/>
  <c r="K94" i="2"/>
  <c r="J94" i="2"/>
  <c r="B89" i="18"/>
  <c r="F89" i="18" s="1"/>
  <c r="B89" i="15"/>
  <c r="F89" i="15" s="1"/>
  <c r="J95" i="2"/>
  <c r="K95" i="2"/>
  <c r="O24" i="6"/>
  <c r="B190" i="7"/>
  <c r="B187" i="7"/>
  <c r="B148" i="7"/>
  <c r="B154" i="7"/>
  <c r="B160" i="7"/>
  <c r="B166" i="7"/>
  <c r="B172" i="7"/>
  <c r="B175" i="7"/>
  <c r="B178" i="7"/>
  <c r="B38" i="19"/>
  <c r="B38" i="18"/>
  <c r="B194" i="18"/>
  <c r="B197" i="18"/>
  <c r="B185" i="18"/>
  <c r="B182" i="18"/>
  <c r="B179" i="18"/>
  <c r="B173" i="18"/>
  <c r="B167" i="18"/>
  <c r="B161" i="18"/>
  <c r="B155" i="18"/>
  <c r="M6" i="17"/>
  <c r="M8" i="17"/>
  <c r="M9" i="17"/>
  <c r="M10" i="17"/>
  <c r="M11" i="17"/>
  <c r="C14" i="19"/>
  <c r="C19" i="19" s="1"/>
  <c r="D14" i="19"/>
  <c r="D19" i="19" s="1"/>
  <c r="D23" i="19" s="1"/>
  <c r="B25" i="19"/>
  <c r="B46" i="19" s="1"/>
  <c r="C23" i="19"/>
  <c r="B58" i="19"/>
  <c r="B47" i="19"/>
  <c r="D38" i="19"/>
  <c r="C38" i="19"/>
  <c r="D41" i="19"/>
  <c r="C41" i="19"/>
  <c r="C42" i="19"/>
  <c r="B55" i="19"/>
  <c r="B69" i="19"/>
  <c r="B77" i="19" s="1"/>
  <c r="C14" i="18"/>
  <c r="C19" i="18" s="1"/>
  <c r="D14" i="18"/>
  <c r="D19" i="18" s="1"/>
  <c r="D23" i="18" s="1"/>
  <c r="E18" i="18"/>
  <c r="E19" i="18" s="1"/>
  <c r="E23" i="18" s="1"/>
  <c r="F14" i="18"/>
  <c r="F19" i="18" s="1"/>
  <c r="B25" i="18"/>
  <c r="B46" i="18" s="1"/>
  <c r="F23" i="18"/>
  <c r="C23" i="18"/>
  <c r="B58" i="18"/>
  <c r="B47" i="18"/>
  <c r="F38" i="18"/>
  <c r="E38" i="18"/>
  <c r="D38" i="18"/>
  <c r="C38" i="18"/>
  <c r="F41" i="18"/>
  <c r="E41" i="18"/>
  <c r="D41" i="18"/>
  <c r="C41" i="18"/>
  <c r="F42" i="18"/>
  <c r="D42" i="18"/>
  <c r="C42" i="18"/>
  <c r="B55" i="18"/>
  <c r="B69" i="18"/>
  <c r="B77" i="18" s="1"/>
  <c r="B191" i="18"/>
  <c r="K16" i="17"/>
  <c r="C16" i="17"/>
  <c r="D16" i="17"/>
  <c r="E16" i="17"/>
  <c r="F16" i="17"/>
  <c r="G16" i="17"/>
  <c r="H16" i="17"/>
  <c r="I16" i="17"/>
  <c r="O18" i="9"/>
  <c r="B65" i="16"/>
  <c r="B65" i="15"/>
  <c r="D39" i="16"/>
  <c r="D39" i="15"/>
  <c r="D39" i="7"/>
  <c r="E5" i="15"/>
  <c r="E13" i="15" s="1"/>
  <c r="E5" i="7"/>
  <c r="E13" i="7" s="1"/>
  <c r="C39" i="16"/>
  <c r="F39" i="15"/>
  <c r="E39" i="15"/>
  <c r="C39" i="15"/>
  <c r="C39" i="7"/>
  <c r="B41" i="16"/>
  <c r="B41" i="15"/>
  <c r="B41" i="12"/>
  <c r="C41" i="12" s="1"/>
  <c r="B41" i="7"/>
  <c r="D5" i="16"/>
  <c r="D13" i="16" s="1"/>
  <c r="D5" i="15"/>
  <c r="D13" i="15" s="1"/>
  <c r="B38" i="12"/>
  <c r="B38" i="7"/>
  <c r="L25" i="6"/>
  <c r="J22" i="6"/>
  <c r="J24" i="6" s="1"/>
  <c r="D25" i="6"/>
  <c r="I25" i="6"/>
  <c r="H25" i="6"/>
  <c r="G25" i="6"/>
  <c r="F25" i="6"/>
  <c r="E25" i="6"/>
  <c r="C25" i="6"/>
  <c r="M4" i="9"/>
  <c r="K16" i="9"/>
  <c r="K18" i="9" s="1"/>
  <c r="L5" i="9"/>
  <c r="L7" i="9"/>
  <c r="L10" i="9"/>
  <c r="L11" i="9"/>
  <c r="L12" i="9"/>
  <c r="L13" i="9"/>
  <c r="C18" i="9"/>
  <c r="D18" i="9"/>
  <c r="E18" i="9"/>
  <c r="F18" i="9"/>
  <c r="G18" i="9"/>
  <c r="H18" i="9"/>
  <c r="I18" i="9"/>
  <c r="C14" i="16"/>
  <c r="C19" i="16" s="1"/>
  <c r="D14" i="16"/>
  <c r="D19" i="16" s="1"/>
  <c r="B25" i="16"/>
  <c r="B46" i="16" s="1"/>
  <c r="D23" i="16"/>
  <c r="C23" i="16"/>
  <c r="B58" i="16"/>
  <c r="B47" i="16"/>
  <c r="D41" i="16"/>
  <c r="C41" i="16"/>
  <c r="D42" i="16"/>
  <c r="C42" i="16"/>
  <c r="B55" i="16"/>
  <c r="B69" i="16"/>
  <c r="B77" i="16" s="1"/>
  <c r="C14" i="15"/>
  <c r="C19" i="15" s="1"/>
  <c r="D14" i="15"/>
  <c r="D19" i="15" s="1"/>
  <c r="E18" i="15"/>
  <c r="E19" i="15" s="1"/>
  <c r="E42" i="15" s="1"/>
  <c r="F14" i="15"/>
  <c r="F19" i="15" s="1"/>
  <c r="B25" i="15"/>
  <c r="B46" i="15" s="1"/>
  <c r="F23" i="15"/>
  <c r="D23" i="15"/>
  <c r="C23" i="15"/>
  <c r="B58" i="15"/>
  <c r="B47" i="15"/>
  <c r="F41" i="15"/>
  <c r="E41" i="15"/>
  <c r="D41" i="15"/>
  <c r="C41" i="15"/>
  <c r="F42" i="15"/>
  <c r="D42" i="15"/>
  <c r="C42" i="15"/>
  <c r="B55" i="15"/>
  <c r="B69" i="15"/>
  <c r="B77" i="15" s="1"/>
  <c r="B191" i="15"/>
  <c r="Q23" i="6"/>
  <c r="F13" i="7"/>
  <c r="E40" i="7"/>
  <c r="I88" i="2"/>
  <c r="I89" i="2"/>
  <c r="I90" i="2"/>
  <c r="I91" i="2"/>
  <c r="I92" i="2"/>
  <c r="I93" i="2"/>
  <c r="I94" i="2"/>
  <c r="I96" i="2"/>
  <c r="H130" i="2"/>
  <c r="I130" i="2"/>
  <c r="H131" i="2"/>
  <c r="I131" i="2"/>
  <c r="H133" i="2"/>
  <c r="I133" i="2"/>
  <c r="I123" i="2"/>
  <c r="I124" i="2"/>
  <c r="I125" i="2"/>
  <c r="I126" i="2"/>
  <c r="I127" i="2"/>
  <c r="I132" i="2"/>
  <c r="H132" i="2"/>
  <c r="G63" i="2"/>
  <c r="G68" i="2"/>
  <c r="G45" i="2"/>
  <c r="G48" i="2"/>
  <c r="G52" i="2"/>
  <c r="G56" i="2"/>
  <c r="G25" i="2"/>
  <c r="G37" i="2" s="1"/>
  <c r="B89" i="7"/>
  <c r="F89" i="7" s="1"/>
  <c r="F90" i="7"/>
  <c r="E39" i="7"/>
  <c r="F39" i="7"/>
  <c r="C39" i="12"/>
  <c r="B65" i="12"/>
  <c r="B65" i="7"/>
  <c r="C13" i="12"/>
  <c r="C13" i="7"/>
  <c r="D5" i="12"/>
  <c r="D13" i="12" s="1"/>
  <c r="D14" i="12" s="1"/>
  <c r="D19" i="12" s="1"/>
  <c r="D13" i="7"/>
  <c r="F14" i="7"/>
  <c r="F19" i="7" s="1"/>
  <c r="D39" i="12"/>
  <c r="B184" i="7"/>
  <c r="C14" i="12"/>
  <c r="C19" i="12" s="1"/>
  <c r="C42" i="12" s="1"/>
  <c r="B25" i="12"/>
  <c r="B46" i="12" s="1"/>
  <c r="C23" i="12"/>
  <c r="B58" i="12"/>
  <c r="B47" i="12"/>
  <c r="D41" i="12"/>
  <c r="B55" i="12"/>
  <c r="B69" i="12"/>
  <c r="B77" i="12" s="1"/>
  <c r="H126" i="2"/>
  <c r="H127" i="2"/>
  <c r="H125" i="2"/>
  <c r="H123" i="2"/>
  <c r="H124" i="2"/>
  <c r="G106" i="2"/>
  <c r="G107" i="2"/>
  <c r="G108" i="2"/>
  <c r="G109" i="2"/>
  <c r="G110" i="2"/>
  <c r="G111" i="2"/>
  <c r="G113" i="2"/>
  <c r="G114" i="2"/>
  <c r="G115" i="2"/>
  <c r="G116" i="2"/>
  <c r="B25" i="7"/>
  <c r="B46" i="7" s="1"/>
  <c r="B58" i="7"/>
  <c r="B47" i="7"/>
  <c r="B55" i="7"/>
  <c r="B69" i="7"/>
  <c r="B77" i="7" s="1"/>
  <c r="E34" i="13" l="1"/>
  <c r="E35" i="13"/>
  <c r="E56" i="13" s="1"/>
  <c r="E30" i="13"/>
  <c r="E33" i="13"/>
  <c r="E31" i="13"/>
  <c r="E32" i="13"/>
  <c r="E60" i="13"/>
  <c r="E129" i="13" s="1"/>
  <c r="E29" i="13"/>
  <c r="E28" i="13"/>
  <c r="D54" i="13"/>
  <c r="D57" i="13"/>
  <c r="D55" i="13"/>
  <c r="D24" i="13"/>
  <c r="D23" i="13"/>
  <c r="D59" i="13"/>
  <c r="D127" i="13"/>
  <c r="D58" i="13"/>
  <c r="F23" i="7"/>
  <c r="F59" i="7"/>
  <c r="F57" i="7"/>
  <c r="F24" i="7"/>
  <c r="F25" i="7" s="1"/>
  <c r="F54" i="7"/>
  <c r="D42" i="12"/>
  <c r="D23" i="12"/>
  <c r="E23" i="15"/>
  <c r="E42" i="18"/>
  <c r="D42" i="19"/>
  <c r="H129" i="2"/>
  <c r="D87" i="13" s="1"/>
  <c r="D87" i="18"/>
  <c r="D87" i="15"/>
  <c r="D87" i="7"/>
  <c r="J97" i="2"/>
  <c r="J98" i="2" s="1"/>
  <c r="J99" i="2" s="1"/>
  <c r="B86" i="15" s="1"/>
  <c r="K97" i="2"/>
  <c r="K98" i="2" s="1"/>
  <c r="K99" i="2" s="1"/>
  <c r="B86" i="13" s="1"/>
  <c r="M14" i="17"/>
  <c r="D55" i="19"/>
  <c r="C55" i="19"/>
  <c r="B60" i="19"/>
  <c r="C44" i="19"/>
  <c r="C48" i="19" s="1"/>
  <c r="D44" i="19"/>
  <c r="D48" i="19" s="1"/>
  <c r="D58" i="19"/>
  <c r="C58" i="19"/>
  <c r="D127" i="19"/>
  <c r="D59" i="19"/>
  <c r="D57" i="19"/>
  <c r="D54" i="19"/>
  <c r="D24" i="19"/>
  <c r="D25" i="19" s="1"/>
  <c r="C127" i="19"/>
  <c r="C59" i="19"/>
  <c r="C57" i="19"/>
  <c r="C54" i="19"/>
  <c r="C24" i="19"/>
  <c r="C25" i="19" s="1"/>
  <c r="F55" i="18"/>
  <c r="E55" i="18"/>
  <c r="D55" i="18"/>
  <c r="C55" i="18"/>
  <c r="B60" i="18"/>
  <c r="C44" i="18"/>
  <c r="C48" i="18" s="1"/>
  <c r="D44" i="18"/>
  <c r="D48" i="18" s="1"/>
  <c r="E44" i="18"/>
  <c r="E48" i="18" s="1"/>
  <c r="F44" i="18"/>
  <c r="F48" i="18" s="1"/>
  <c r="F58" i="18"/>
  <c r="E58" i="18"/>
  <c r="D58" i="18"/>
  <c r="C58" i="18"/>
  <c r="F127" i="18"/>
  <c r="F59" i="18"/>
  <c r="F57" i="18"/>
  <c r="F54" i="18"/>
  <c r="F24" i="18"/>
  <c r="F25" i="18" s="1"/>
  <c r="E127" i="18"/>
  <c r="E59" i="18"/>
  <c r="E57" i="18"/>
  <c r="E54" i="18"/>
  <c r="E24" i="18"/>
  <c r="E25" i="18" s="1"/>
  <c r="D127" i="18"/>
  <c r="D59" i="18"/>
  <c r="D57" i="18"/>
  <c r="D54" i="18"/>
  <c r="D24" i="18"/>
  <c r="D25" i="18" s="1"/>
  <c r="C127" i="18"/>
  <c r="C59" i="18"/>
  <c r="C57" i="18"/>
  <c r="C54" i="18"/>
  <c r="C24" i="18"/>
  <c r="C25" i="18" s="1"/>
  <c r="L16" i="17"/>
  <c r="M16" i="17" s="1"/>
  <c r="F123" i="7"/>
  <c r="F42" i="7"/>
  <c r="E18" i="7"/>
  <c r="E19" i="7"/>
  <c r="E58" i="7" s="1"/>
  <c r="J25" i="6"/>
  <c r="M25" i="6" s="1"/>
  <c r="M24" i="6"/>
  <c r="M13" i="9"/>
  <c r="L82" i="1" s="1"/>
  <c r="M12" i="9"/>
  <c r="L81" i="1" s="1"/>
  <c r="M11" i="9"/>
  <c r="L80" i="1" s="1"/>
  <c r="M10" i="9"/>
  <c r="L79" i="1" s="1"/>
  <c r="M7" i="9"/>
  <c r="L76" i="1" s="1"/>
  <c r="L16" i="9"/>
  <c r="M5" i="9"/>
  <c r="L74" i="1" s="1"/>
  <c r="M16" i="9"/>
  <c r="D55" i="16"/>
  <c r="C55" i="16"/>
  <c r="B60" i="16"/>
  <c r="D58" i="16"/>
  <c r="C58" i="16"/>
  <c r="D127" i="16"/>
  <c r="D59" i="16"/>
  <c r="D57" i="16"/>
  <c r="D54" i="16"/>
  <c r="D24" i="16"/>
  <c r="D25" i="16" s="1"/>
  <c r="C127" i="16"/>
  <c r="C59" i="16"/>
  <c r="C57" i="16"/>
  <c r="C54" i="16"/>
  <c r="C24" i="16"/>
  <c r="C25" i="16" s="1"/>
  <c r="F55" i="15"/>
  <c r="E55" i="15"/>
  <c r="D55" i="15"/>
  <c r="C55" i="15"/>
  <c r="B60" i="15"/>
  <c r="F58" i="15"/>
  <c r="E58" i="15"/>
  <c r="D58" i="15"/>
  <c r="C58" i="15"/>
  <c r="F127" i="15"/>
  <c r="F59" i="15"/>
  <c r="F57" i="15"/>
  <c r="F54" i="15"/>
  <c r="F24" i="15"/>
  <c r="F25" i="15" s="1"/>
  <c r="E127" i="15"/>
  <c r="E59" i="15"/>
  <c r="E57" i="15"/>
  <c r="E54" i="15"/>
  <c r="E24" i="15"/>
  <c r="E25" i="15" s="1"/>
  <c r="D127" i="15"/>
  <c r="D59" i="15"/>
  <c r="D57" i="15"/>
  <c r="D54" i="15"/>
  <c r="D24" i="15"/>
  <c r="D25" i="15" s="1"/>
  <c r="C127" i="15"/>
  <c r="C59" i="15"/>
  <c r="C57" i="15"/>
  <c r="C54" i="15"/>
  <c r="C24" i="15"/>
  <c r="C25" i="15" s="1"/>
  <c r="I97" i="2"/>
  <c r="I98" i="2" s="1"/>
  <c r="I99" i="2" s="1"/>
  <c r="G58" i="2"/>
  <c r="I122" i="2"/>
  <c r="E87" i="13" s="1"/>
  <c r="I129" i="2"/>
  <c r="C87" i="13" s="1"/>
  <c r="H122" i="2"/>
  <c r="G66" i="2"/>
  <c r="G65" i="2"/>
  <c r="G64" i="2"/>
  <c r="F55" i="7"/>
  <c r="F58" i="7"/>
  <c r="E38" i="7"/>
  <c r="F38" i="7"/>
  <c r="E41" i="7"/>
  <c r="F41" i="7"/>
  <c r="D55" i="12"/>
  <c r="C55" i="12"/>
  <c r="B60" i="12"/>
  <c r="D58" i="12"/>
  <c r="C58" i="12"/>
  <c r="D123" i="12"/>
  <c r="D59" i="12"/>
  <c r="D57" i="12"/>
  <c r="D54" i="12"/>
  <c r="D24" i="12"/>
  <c r="D25" i="12" s="1"/>
  <c r="D46" i="12" s="1"/>
  <c r="C123" i="12"/>
  <c r="C59" i="12"/>
  <c r="C57" i="12"/>
  <c r="C54" i="12"/>
  <c r="C24" i="12"/>
  <c r="C25" i="12" s="1"/>
  <c r="C46" i="12" s="1"/>
  <c r="B60" i="7"/>
  <c r="G112" i="2"/>
  <c r="G118" i="2" s="1"/>
  <c r="G105" i="2"/>
  <c r="D41" i="7"/>
  <c r="C41" i="7"/>
  <c r="E36" i="13" l="1"/>
  <c r="D25" i="13"/>
  <c r="E55" i="7"/>
  <c r="G117" i="2"/>
  <c r="B84" i="13"/>
  <c r="B86" i="18"/>
  <c r="C86" i="18" s="1"/>
  <c r="D86" i="13"/>
  <c r="C86" i="13"/>
  <c r="B84" i="19"/>
  <c r="B84" i="18"/>
  <c r="B84" i="16"/>
  <c r="B84" i="15"/>
  <c r="F84" i="7"/>
  <c r="F91" i="7" s="1"/>
  <c r="F127" i="7" s="1"/>
  <c r="F84" i="18"/>
  <c r="F91" i="18" s="1"/>
  <c r="F131" i="18" s="1"/>
  <c r="F84" i="15"/>
  <c r="F91" i="15" s="1"/>
  <c r="F131" i="15" s="1"/>
  <c r="D87" i="19"/>
  <c r="D87" i="16"/>
  <c r="D87" i="12"/>
  <c r="C87" i="18"/>
  <c r="C87" i="15"/>
  <c r="C87" i="7"/>
  <c r="C87" i="19"/>
  <c r="C87" i="16"/>
  <c r="C87" i="12"/>
  <c r="D86" i="15"/>
  <c r="C86" i="15"/>
  <c r="D86" i="18"/>
  <c r="C46" i="19"/>
  <c r="C35" i="19"/>
  <c r="C56" i="19" s="1"/>
  <c r="C34" i="19"/>
  <c r="C33" i="19"/>
  <c r="C32" i="19"/>
  <c r="C31" i="19"/>
  <c r="C30" i="19"/>
  <c r="C29" i="19"/>
  <c r="C28" i="19"/>
  <c r="C60" i="19"/>
  <c r="C129" i="19" s="1"/>
  <c r="D46" i="19"/>
  <c r="D35" i="19"/>
  <c r="D56" i="19" s="1"/>
  <c r="D34" i="19"/>
  <c r="D33" i="19"/>
  <c r="D32" i="19"/>
  <c r="D31" i="19"/>
  <c r="D30" i="19"/>
  <c r="D29" i="19"/>
  <c r="D28" i="19"/>
  <c r="D60" i="19"/>
  <c r="D129" i="19" s="1"/>
  <c r="C46" i="18"/>
  <c r="C35" i="18"/>
  <c r="C56" i="18" s="1"/>
  <c r="C34" i="18"/>
  <c r="C33" i="18"/>
  <c r="C32" i="18"/>
  <c r="C31" i="18"/>
  <c r="C30" i="18"/>
  <c r="C29" i="18"/>
  <c r="C28" i="18"/>
  <c r="C60" i="18"/>
  <c r="C129" i="18" s="1"/>
  <c r="D46" i="18"/>
  <c r="D35" i="18"/>
  <c r="D56" i="18" s="1"/>
  <c r="D34" i="18"/>
  <c r="D33" i="18"/>
  <c r="D32" i="18"/>
  <c r="D31" i="18"/>
  <c r="D30" i="18"/>
  <c r="D29" i="18"/>
  <c r="D28" i="18"/>
  <c r="D36" i="18" s="1"/>
  <c r="D60" i="18"/>
  <c r="D129" i="18" s="1"/>
  <c r="E46" i="18"/>
  <c r="E35" i="18"/>
  <c r="E56" i="18" s="1"/>
  <c r="E34" i="18"/>
  <c r="E33" i="18"/>
  <c r="E32" i="18"/>
  <c r="E31" i="18"/>
  <c r="E30" i="18"/>
  <c r="E29" i="18"/>
  <c r="E28" i="18"/>
  <c r="E60" i="18"/>
  <c r="E129" i="18" s="1"/>
  <c r="F46" i="18"/>
  <c r="F35" i="18"/>
  <c r="F56" i="18" s="1"/>
  <c r="F34" i="18"/>
  <c r="F33" i="18"/>
  <c r="F32" i="18"/>
  <c r="F31" i="18"/>
  <c r="F30" i="18"/>
  <c r="F29" i="18"/>
  <c r="F28" i="18"/>
  <c r="F36" i="18" s="1"/>
  <c r="F60" i="18"/>
  <c r="F129" i="18" s="1"/>
  <c r="L19" i="9"/>
  <c r="K19" i="9"/>
  <c r="D19" i="9"/>
  <c r="E19" i="9"/>
  <c r="F19" i="9"/>
  <c r="G19" i="9"/>
  <c r="H19" i="9"/>
  <c r="I19" i="9"/>
  <c r="C19" i="9"/>
  <c r="E123" i="7"/>
  <c r="E42" i="7"/>
  <c r="E23" i="7"/>
  <c r="E24" i="7"/>
  <c r="E54" i="7"/>
  <c r="E57" i="7"/>
  <c r="E59" i="7"/>
  <c r="B86" i="7"/>
  <c r="L73" i="1"/>
  <c r="L18" i="9"/>
  <c r="C46" i="16"/>
  <c r="C35" i="16"/>
  <c r="C56" i="16" s="1"/>
  <c r="C34" i="16"/>
  <c r="C33" i="16"/>
  <c r="C32" i="16"/>
  <c r="C31" i="16"/>
  <c r="C30" i="16"/>
  <c r="C29" i="16"/>
  <c r="C28" i="16"/>
  <c r="C60" i="16"/>
  <c r="C129" i="16" s="1"/>
  <c r="D46" i="16"/>
  <c r="D35" i="16"/>
  <c r="D56" i="16" s="1"/>
  <c r="D60" i="16" s="1"/>
  <c r="D129" i="16" s="1"/>
  <c r="D34" i="16"/>
  <c r="D33" i="16"/>
  <c r="D32" i="16"/>
  <c r="D31" i="16"/>
  <c r="D30" i="16"/>
  <c r="D29" i="16"/>
  <c r="D28" i="16"/>
  <c r="C46" i="15"/>
  <c r="C35" i="15"/>
  <c r="C56" i="15" s="1"/>
  <c r="C34" i="15"/>
  <c r="C33" i="15"/>
  <c r="C32" i="15"/>
  <c r="C31" i="15"/>
  <c r="C30" i="15"/>
  <c r="C29" i="15"/>
  <c r="C28" i="15"/>
  <c r="C60" i="15"/>
  <c r="C129" i="15" s="1"/>
  <c r="D46" i="15"/>
  <c r="D35" i="15"/>
  <c r="D56" i="15" s="1"/>
  <c r="D60" i="15" s="1"/>
  <c r="D129" i="15" s="1"/>
  <c r="D34" i="15"/>
  <c r="D33" i="15"/>
  <c r="D32" i="15"/>
  <c r="D31" i="15"/>
  <c r="D30" i="15"/>
  <c r="D29" i="15"/>
  <c r="D28" i="15"/>
  <c r="E46" i="15"/>
  <c r="E35" i="15"/>
  <c r="E56" i="15" s="1"/>
  <c r="E34" i="15"/>
  <c r="E33" i="15"/>
  <c r="E32" i="15"/>
  <c r="E31" i="15"/>
  <c r="E30" i="15"/>
  <c r="E29" i="15"/>
  <c r="E28" i="15"/>
  <c r="E60" i="15"/>
  <c r="E129" i="15" s="1"/>
  <c r="F46" i="15"/>
  <c r="F35" i="15"/>
  <c r="F56" i="15" s="1"/>
  <c r="F60" i="15" s="1"/>
  <c r="F129" i="15" s="1"/>
  <c r="F34" i="15"/>
  <c r="F33" i="15"/>
  <c r="F32" i="15"/>
  <c r="F31" i="15"/>
  <c r="F30" i="15"/>
  <c r="F29" i="15"/>
  <c r="F28" i="15"/>
  <c r="G69" i="2"/>
  <c r="E85" i="13" s="1"/>
  <c r="E84" i="7"/>
  <c r="B84" i="12"/>
  <c r="D38" i="12"/>
  <c r="C38" i="12"/>
  <c r="F28" i="7"/>
  <c r="F29" i="7"/>
  <c r="F30" i="7"/>
  <c r="F31" i="7"/>
  <c r="F32" i="7"/>
  <c r="F33" i="7"/>
  <c r="F34" i="7"/>
  <c r="F35" i="7"/>
  <c r="F56" i="7" s="1"/>
  <c r="F60" i="7" s="1"/>
  <c r="F125" i="7" s="1"/>
  <c r="F46" i="7"/>
  <c r="F44" i="7"/>
  <c r="F48" i="7" s="1"/>
  <c r="E44" i="7"/>
  <c r="E48" i="7" s="1"/>
  <c r="C35" i="12"/>
  <c r="C56" i="12" s="1"/>
  <c r="C34" i="12"/>
  <c r="C33" i="12"/>
  <c r="C32" i="12"/>
  <c r="C31" i="12"/>
  <c r="C30" i="12"/>
  <c r="C29" i="12"/>
  <c r="C28" i="12"/>
  <c r="C36" i="12" s="1"/>
  <c r="C47" i="12" s="1"/>
  <c r="C60" i="12"/>
  <c r="C125" i="12" s="1"/>
  <c r="D35" i="12"/>
  <c r="D56" i="12" s="1"/>
  <c r="D34" i="12"/>
  <c r="D33" i="12"/>
  <c r="D32" i="12"/>
  <c r="D31" i="12"/>
  <c r="D30" i="12"/>
  <c r="D29" i="12"/>
  <c r="D28" i="12"/>
  <c r="D60" i="12"/>
  <c r="D125" i="12" s="1"/>
  <c r="C14" i="7"/>
  <c r="C19" i="7" s="1"/>
  <c r="C42" i="7" s="1"/>
  <c r="D14" i="7"/>
  <c r="D19" i="7" s="1"/>
  <c r="D42" i="7" s="1"/>
  <c r="D38" i="7"/>
  <c r="C38" i="7"/>
  <c r="B84" i="7"/>
  <c r="C44" i="7" l="1"/>
  <c r="C48" i="7" s="1"/>
  <c r="E47" i="13"/>
  <c r="E49" i="13" s="1"/>
  <c r="E74" i="13"/>
  <c r="E79" i="13" s="1"/>
  <c r="D46" i="13"/>
  <c r="D33" i="13"/>
  <c r="D35" i="13"/>
  <c r="D56" i="13" s="1"/>
  <c r="D60" i="13" s="1"/>
  <c r="D129" i="13" s="1"/>
  <c r="D28" i="13"/>
  <c r="D30" i="13"/>
  <c r="D29" i="13"/>
  <c r="D32" i="13"/>
  <c r="D31" i="13"/>
  <c r="D34" i="13"/>
  <c r="D36" i="19"/>
  <c r="F36" i="15"/>
  <c r="D36" i="15"/>
  <c r="D36" i="16"/>
  <c r="D47" i="16" s="1"/>
  <c r="E36" i="18"/>
  <c r="C36" i="18"/>
  <c r="C36" i="19"/>
  <c r="D44" i="7"/>
  <c r="D48" i="7" s="1"/>
  <c r="D36" i="12"/>
  <c r="D47" i="12" s="1"/>
  <c r="E36" i="15"/>
  <c r="C36" i="15"/>
  <c r="C36" i="16"/>
  <c r="C84" i="18"/>
  <c r="E84" i="18"/>
  <c r="D84" i="18"/>
  <c r="D84" i="7"/>
  <c r="C84" i="7"/>
  <c r="D84" i="12"/>
  <c r="C84" i="12"/>
  <c r="D84" i="19"/>
  <c r="C84" i="19"/>
  <c r="C84" i="13"/>
  <c r="E84" i="13"/>
  <c r="E91" i="13" s="1"/>
  <c r="D84" i="13"/>
  <c r="C84" i="16"/>
  <c r="D84" i="16"/>
  <c r="D84" i="15"/>
  <c r="E84" i="15"/>
  <c r="C84" i="15"/>
  <c r="B85" i="19"/>
  <c r="B85" i="16"/>
  <c r="B85" i="12"/>
  <c r="D86" i="7"/>
  <c r="C86" i="7"/>
  <c r="D47" i="19"/>
  <c r="D49" i="19" s="1"/>
  <c r="D74" i="19"/>
  <c r="D79" i="19" s="1"/>
  <c r="C47" i="19"/>
  <c r="C74" i="19"/>
  <c r="C79" i="19" s="1"/>
  <c r="C49" i="19"/>
  <c r="F47" i="18"/>
  <c r="F74" i="18"/>
  <c r="F79" i="18" s="1"/>
  <c r="F49" i="18"/>
  <c r="E47" i="18"/>
  <c r="E49" i="18" s="1"/>
  <c r="E74" i="18"/>
  <c r="E79" i="18" s="1"/>
  <c r="D47" i="18"/>
  <c r="D49" i="18" s="1"/>
  <c r="D74" i="18"/>
  <c r="D79" i="18" s="1"/>
  <c r="C47" i="18"/>
  <c r="C74" i="18"/>
  <c r="C79" i="18" s="1"/>
  <c r="C49" i="18"/>
  <c r="E25" i="7"/>
  <c r="C44" i="12"/>
  <c r="C48" i="12" s="1"/>
  <c r="C49" i="12" s="1"/>
  <c r="D44" i="12"/>
  <c r="D48" i="12" s="1"/>
  <c r="D49" i="12" s="1"/>
  <c r="M19" i="9"/>
  <c r="M18" i="9"/>
  <c r="L85" i="1"/>
  <c r="J86" i="1" s="1"/>
  <c r="C47" i="16"/>
  <c r="F47" i="15"/>
  <c r="E47" i="15"/>
  <c r="D47" i="15"/>
  <c r="C47" i="15"/>
  <c r="F36" i="7"/>
  <c r="D59" i="7"/>
  <c r="D57" i="7"/>
  <c r="D54" i="7"/>
  <c r="D55" i="7"/>
  <c r="D58" i="7"/>
  <c r="D123" i="7"/>
  <c r="D24" i="7"/>
  <c r="D23" i="7"/>
  <c r="C123" i="7"/>
  <c r="C59" i="7"/>
  <c r="C57" i="7"/>
  <c r="C54" i="7"/>
  <c r="C24" i="7"/>
  <c r="C23" i="7"/>
  <c r="C25" i="7" s="1"/>
  <c r="C55" i="7"/>
  <c r="C58" i="7"/>
  <c r="D74" i="12" l="1"/>
  <c r="D79" i="12" s="1"/>
  <c r="C74" i="12"/>
  <c r="C79" i="12" s="1"/>
  <c r="D36" i="13"/>
  <c r="E128" i="13"/>
  <c r="E67" i="13"/>
  <c r="E66" i="13"/>
  <c r="E64" i="13"/>
  <c r="E65" i="13"/>
  <c r="E68" i="13"/>
  <c r="D25" i="7"/>
  <c r="E131" i="13"/>
  <c r="D85" i="12"/>
  <c r="D91" i="12" s="1"/>
  <c r="D127" i="12" s="1"/>
  <c r="C85" i="12"/>
  <c r="C91" i="12" s="1"/>
  <c r="C127" i="12" s="1"/>
  <c r="D85" i="16"/>
  <c r="D91" i="16" s="1"/>
  <c r="D131" i="16" s="1"/>
  <c r="C85" i="16"/>
  <c r="C91" i="16" s="1"/>
  <c r="C131" i="16" s="1"/>
  <c r="D85" i="19"/>
  <c r="D91" i="19" s="1"/>
  <c r="D131" i="19" s="1"/>
  <c r="C85" i="19"/>
  <c r="C91" i="19" s="1"/>
  <c r="C131" i="19" s="1"/>
  <c r="C128" i="19"/>
  <c r="C64" i="19"/>
  <c r="C65" i="19"/>
  <c r="C66" i="19"/>
  <c r="C67" i="19"/>
  <c r="D128" i="19"/>
  <c r="D64" i="19"/>
  <c r="D65" i="19"/>
  <c r="D66" i="19"/>
  <c r="D67" i="19"/>
  <c r="C128" i="18"/>
  <c r="C64" i="18"/>
  <c r="C65" i="18"/>
  <c r="C66" i="18"/>
  <c r="C67" i="18"/>
  <c r="D128" i="18"/>
  <c r="D64" i="18"/>
  <c r="D65" i="18"/>
  <c r="D66" i="18"/>
  <c r="D67" i="18"/>
  <c r="E128" i="18"/>
  <c r="E64" i="18"/>
  <c r="E65" i="18"/>
  <c r="E66" i="18"/>
  <c r="E67" i="18"/>
  <c r="E68" i="18"/>
  <c r="F128" i="18"/>
  <c r="F64" i="18"/>
  <c r="F65" i="18"/>
  <c r="F66" i="18"/>
  <c r="F67" i="18"/>
  <c r="B38" i="16"/>
  <c r="B38" i="15"/>
  <c r="E28" i="7"/>
  <c r="E29" i="7"/>
  <c r="E30" i="7"/>
  <c r="E31" i="7"/>
  <c r="E32" i="7"/>
  <c r="E33" i="7"/>
  <c r="E34" i="7"/>
  <c r="E35" i="7"/>
  <c r="E56" i="7" s="1"/>
  <c r="E60" i="7" s="1"/>
  <c r="E125" i="7" s="1"/>
  <c r="E46" i="7"/>
  <c r="F47" i="7"/>
  <c r="F49" i="7" s="1"/>
  <c r="F74" i="7"/>
  <c r="F79" i="7" s="1"/>
  <c r="C124" i="12"/>
  <c r="C64" i="12"/>
  <c r="C65" i="12"/>
  <c r="C66" i="12"/>
  <c r="C67" i="12"/>
  <c r="D124" i="12"/>
  <c r="D64" i="12"/>
  <c r="D65" i="12"/>
  <c r="D66" i="12"/>
  <c r="D67" i="12"/>
  <c r="C46" i="7"/>
  <c r="C35" i="7"/>
  <c r="C56" i="7" s="1"/>
  <c r="C34" i="7"/>
  <c r="C33" i="7"/>
  <c r="C32" i="7"/>
  <c r="C31" i="7"/>
  <c r="C30" i="7"/>
  <c r="C29" i="7"/>
  <c r="C28" i="7"/>
  <c r="C60" i="7"/>
  <c r="C125" i="7" s="1"/>
  <c r="D46" i="7"/>
  <c r="D35" i="7"/>
  <c r="D56" i="7" s="1"/>
  <c r="D60" i="7" s="1"/>
  <c r="D125" i="7" s="1"/>
  <c r="D34" i="7"/>
  <c r="D33" i="7"/>
  <c r="D32" i="7"/>
  <c r="D31" i="7"/>
  <c r="D30" i="7"/>
  <c r="D29" i="7"/>
  <c r="D28" i="7"/>
  <c r="E69" i="13" l="1"/>
  <c r="E77" i="13" s="1"/>
  <c r="E80" i="13" s="1"/>
  <c r="D47" i="13"/>
  <c r="D49" i="13" s="1"/>
  <c r="D74" i="13"/>
  <c r="D79" i="13" s="1"/>
  <c r="D36" i="7"/>
  <c r="C36" i="7"/>
  <c r="D69" i="19"/>
  <c r="D77" i="19" s="1"/>
  <c r="D80" i="19" s="1"/>
  <c r="C69" i="19"/>
  <c r="C77" i="19" s="1"/>
  <c r="C80" i="19" s="1"/>
  <c r="F69" i="18"/>
  <c r="E69" i="18"/>
  <c r="E77" i="18" s="1"/>
  <c r="E80" i="18" s="1"/>
  <c r="E88" i="18"/>
  <c r="E91" i="18" s="1"/>
  <c r="E131" i="18" s="1"/>
  <c r="D69" i="18"/>
  <c r="D77" i="18" s="1"/>
  <c r="D80" i="18" s="1"/>
  <c r="C69" i="18"/>
  <c r="C77" i="18" s="1"/>
  <c r="C80" i="18" s="1"/>
  <c r="F38" i="15"/>
  <c r="F44" i="15" s="1"/>
  <c r="E38" i="15"/>
  <c r="E44" i="15" s="1"/>
  <c r="D38" i="15"/>
  <c r="D44" i="15" s="1"/>
  <c r="C38" i="15"/>
  <c r="C44" i="15" s="1"/>
  <c r="D38" i="16"/>
  <c r="D44" i="16" s="1"/>
  <c r="C38" i="16"/>
  <c r="C44" i="16" s="1"/>
  <c r="E36" i="7"/>
  <c r="F124" i="7"/>
  <c r="F64" i="7"/>
  <c r="F65" i="7"/>
  <c r="F66" i="7"/>
  <c r="F67" i="7"/>
  <c r="D69" i="12"/>
  <c r="D77" i="12" s="1"/>
  <c r="D80" i="12" s="1"/>
  <c r="C69" i="12"/>
  <c r="C77" i="12" s="1"/>
  <c r="C80" i="12" s="1"/>
  <c r="D47" i="7"/>
  <c r="D74" i="7"/>
  <c r="D79" i="7" s="1"/>
  <c r="D49" i="7"/>
  <c r="C47" i="7"/>
  <c r="C49" i="7" s="1"/>
  <c r="C74" i="7"/>
  <c r="C79" i="7" s="1"/>
  <c r="E130" i="13" l="1"/>
  <c r="E132" i="13" s="1"/>
  <c r="E95" i="13"/>
  <c r="D128" i="13"/>
  <c r="D64" i="13"/>
  <c r="D65" i="13"/>
  <c r="D66" i="13"/>
  <c r="D67" i="13"/>
  <c r="C130" i="19"/>
  <c r="C132" i="19" s="1"/>
  <c r="C95" i="19"/>
  <c r="D130" i="19"/>
  <c r="D132" i="19" s="1"/>
  <c r="D95" i="19"/>
  <c r="C130" i="18"/>
  <c r="D130" i="18"/>
  <c r="E130" i="18"/>
  <c r="E132" i="18" s="1"/>
  <c r="E95" i="18"/>
  <c r="F130" i="18"/>
  <c r="F132" i="18" s="1"/>
  <c r="F77" i="18"/>
  <c r="F80" i="18" s="1"/>
  <c r="C48" i="16"/>
  <c r="C49" i="16" s="1"/>
  <c r="C74" i="16"/>
  <c r="C79" i="16" s="1"/>
  <c r="D48" i="16"/>
  <c r="D49" i="16" s="1"/>
  <c r="D74" i="16"/>
  <c r="D79" i="16" s="1"/>
  <c r="C48" i="15"/>
  <c r="C49" i="15" s="1"/>
  <c r="C74" i="15"/>
  <c r="C79" i="15" s="1"/>
  <c r="D48" i="15"/>
  <c r="D49" i="15" s="1"/>
  <c r="D74" i="15"/>
  <c r="D79" i="15" s="1"/>
  <c r="E48" i="15"/>
  <c r="E49" i="15" s="1"/>
  <c r="E74" i="15"/>
  <c r="E79" i="15" s="1"/>
  <c r="F48" i="15"/>
  <c r="F49" i="15" s="1"/>
  <c r="F74" i="15"/>
  <c r="F79" i="15" s="1"/>
  <c r="E47" i="7"/>
  <c r="E49" i="7" s="1"/>
  <c r="E74" i="7"/>
  <c r="E79" i="7" s="1"/>
  <c r="F69" i="7"/>
  <c r="C126" i="12"/>
  <c r="C128" i="12" s="1"/>
  <c r="C95" i="12"/>
  <c r="D126" i="12"/>
  <c r="D128" i="12" s="1"/>
  <c r="D95" i="12"/>
  <c r="C124" i="7"/>
  <c r="C64" i="7"/>
  <c r="C65" i="7"/>
  <c r="C66" i="7"/>
  <c r="C67" i="7"/>
  <c r="D124" i="7"/>
  <c r="D64" i="7"/>
  <c r="D65" i="7"/>
  <c r="D66" i="7"/>
  <c r="D67" i="7"/>
  <c r="E96" i="13" l="1"/>
  <c r="E103" i="13" s="1"/>
  <c r="E117" i="13" s="1"/>
  <c r="E135" i="13" s="1"/>
  <c r="E141" i="13" s="1"/>
  <c r="E147" i="13" s="1"/>
  <c r="AB47" i="5" s="1"/>
  <c r="E99" i="13"/>
  <c r="E100" i="13"/>
  <c r="E116" i="13" s="1"/>
  <c r="E134" i="13" s="1"/>
  <c r="E140" i="13" s="1"/>
  <c r="E146" i="13" s="1"/>
  <c r="D69" i="13"/>
  <c r="D77" i="13" s="1"/>
  <c r="D80" i="13" s="1"/>
  <c r="D130" i="13" s="1"/>
  <c r="D96" i="19"/>
  <c r="C96" i="19"/>
  <c r="F95" i="18"/>
  <c r="E96" i="18"/>
  <c r="F128" i="15"/>
  <c r="F64" i="15"/>
  <c r="F65" i="15"/>
  <c r="F66" i="15"/>
  <c r="F67" i="15"/>
  <c r="E128" i="15"/>
  <c r="E88" i="15" s="1"/>
  <c r="E91" i="15" s="1"/>
  <c r="E131" i="15" s="1"/>
  <c r="E64" i="15"/>
  <c r="E65" i="15"/>
  <c r="E66" i="15"/>
  <c r="E67" i="15"/>
  <c r="E68" i="15"/>
  <c r="D128" i="15"/>
  <c r="D64" i="15"/>
  <c r="D65" i="15"/>
  <c r="D66" i="15"/>
  <c r="D67" i="15"/>
  <c r="C128" i="15"/>
  <c r="C64" i="15"/>
  <c r="C65" i="15"/>
  <c r="C66" i="15"/>
  <c r="C67" i="15"/>
  <c r="D128" i="16"/>
  <c r="D64" i="16"/>
  <c r="D65" i="16"/>
  <c r="D66" i="16"/>
  <c r="D67" i="16"/>
  <c r="C128" i="16"/>
  <c r="C64" i="16"/>
  <c r="C65" i="16"/>
  <c r="C66" i="16"/>
  <c r="C67" i="16"/>
  <c r="E68" i="7"/>
  <c r="E124" i="7"/>
  <c r="E88" i="7" s="1"/>
  <c r="E91" i="7" s="1"/>
  <c r="E127" i="7" s="1"/>
  <c r="E64" i="7"/>
  <c r="E65" i="7"/>
  <c r="E66" i="7"/>
  <c r="E67" i="7"/>
  <c r="F77" i="7"/>
  <c r="F80" i="7" s="1"/>
  <c r="F126" i="7"/>
  <c r="F128" i="7" s="1"/>
  <c r="D96" i="12"/>
  <c r="C96" i="12"/>
  <c r="D69" i="7"/>
  <c r="C69" i="7"/>
  <c r="E110" i="13" l="1"/>
  <c r="E104" i="13"/>
  <c r="E98" i="13"/>
  <c r="E109" i="13"/>
  <c r="E119" i="13" s="1"/>
  <c r="E137" i="13" s="1"/>
  <c r="E143" i="13" s="1"/>
  <c r="E149" i="13" s="1"/>
  <c r="E113" i="13"/>
  <c r="F190" i="13"/>
  <c r="G190" i="13" s="1"/>
  <c r="E107" i="13"/>
  <c r="E105" i="13"/>
  <c r="E114" i="13"/>
  <c r="E108" i="13"/>
  <c r="E101" i="13"/>
  <c r="E106" i="13"/>
  <c r="E118" i="13" s="1"/>
  <c r="E136" i="13" s="1"/>
  <c r="E142" i="13" s="1"/>
  <c r="E148" i="13" s="1"/>
  <c r="E112" i="13"/>
  <c r="E120" i="13" s="1"/>
  <c r="E138" i="13" s="1"/>
  <c r="E144" i="13" s="1"/>
  <c r="E150" i="13" s="1"/>
  <c r="E102" i="13"/>
  <c r="E97" i="13"/>
  <c r="E115" i="13" s="1"/>
  <c r="E133" i="13" s="1"/>
  <c r="E139" i="13" s="1"/>
  <c r="E145" i="13" s="1"/>
  <c r="E111" i="13"/>
  <c r="C114" i="19"/>
  <c r="C113" i="19"/>
  <c r="C112" i="19"/>
  <c r="C120" i="19" s="1"/>
  <c r="C138" i="19" s="1"/>
  <c r="C144" i="19" s="1"/>
  <c r="Z40" i="5" s="1"/>
  <c r="C111" i="19"/>
  <c r="C110" i="19"/>
  <c r="C109" i="19"/>
  <c r="C119" i="19" s="1"/>
  <c r="C137" i="19" s="1"/>
  <c r="C143" i="19" s="1"/>
  <c r="C149" i="19" s="1"/>
  <c r="C108" i="19"/>
  <c r="C107" i="19"/>
  <c r="C106" i="19"/>
  <c r="C118" i="19" s="1"/>
  <c r="C136" i="19" s="1"/>
  <c r="C142" i="19" s="1"/>
  <c r="C148" i="19" s="1"/>
  <c r="C105" i="19"/>
  <c r="C104" i="19"/>
  <c r="C103" i="19"/>
  <c r="C117" i="19" s="1"/>
  <c r="C135" i="19" s="1"/>
  <c r="C141" i="19" s="1"/>
  <c r="C147" i="19" s="1"/>
  <c r="C102" i="19"/>
  <c r="C101" i="19"/>
  <c r="C100" i="19"/>
  <c r="C116" i="19" s="1"/>
  <c r="C134" i="19" s="1"/>
  <c r="C140" i="19" s="1"/>
  <c r="Z41" i="5" s="1"/>
  <c r="C99" i="19"/>
  <c r="C98" i="19"/>
  <c r="C97" i="19"/>
  <c r="C115" i="19" s="1"/>
  <c r="C133" i="19" s="1"/>
  <c r="C139" i="19" s="1"/>
  <c r="C145" i="19" s="1"/>
  <c r="AB46" i="5" s="1"/>
  <c r="D114" i="19"/>
  <c r="D113" i="19"/>
  <c r="D112" i="19"/>
  <c r="D120" i="19" s="1"/>
  <c r="D138" i="19" s="1"/>
  <c r="D144" i="19" s="1"/>
  <c r="D111" i="19"/>
  <c r="D110" i="19"/>
  <c r="D109" i="19"/>
  <c r="D119" i="19" s="1"/>
  <c r="D137" i="19" s="1"/>
  <c r="D143" i="19" s="1"/>
  <c r="D108" i="19"/>
  <c r="D107" i="19"/>
  <c r="D106" i="19"/>
  <c r="D118" i="19" s="1"/>
  <c r="D136" i="19" s="1"/>
  <c r="D142" i="19" s="1"/>
  <c r="D105" i="19"/>
  <c r="D104" i="19"/>
  <c r="D103" i="19"/>
  <c r="D117" i="19" s="1"/>
  <c r="D135" i="19" s="1"/>
  <c r="D141" i="19" s="1"/>
  <c r="D102" i="19"/>
  <c r="D101" i="19"/>
  <c r="D100" i="19"/>
  <c r="D116" i="19" s="1"/>
  <c r="D134" i="19" s="1"/>
  <c r="D140" i="19" s="1"/>
  <c r="D99" i="19"/>
  <c r="D98" i="19"/>
  <c r="D97" i="19"/>
  <c r="D115" i="19" s="1"/>
  <c r="D133" i="19" s="1"/>
  <c r="D139" i="19" s="1"/>
  <c r="E114" i="18"/>
  <c r="E113" i="18"/>
  <c r="E112" i="18"/>
  <c r="E120" i="18" s="1"/>
  <c r="E138" i="18" s="1"/>
  <c r="E144" i="18" s="1"/>
  <c r="M190" i="18" s="1"/>
  <c r="E111" i="18"/>
  <c r="E110" i="18"/>
  <c r="E109" i="18"/>
  <c r="E119" i="18" s="1"/>
  <c r="E137" i="18" s="1"/>
  <c r="E143" i="18" s="1"/>
  <c r="K190" i="18" s="1"/>
  <c r="E108" i="18"/>
  <c r="E107" i="18"/>
  <c r="E106" i="18"/>
  <c r="E118" i="18" s="1"/>
  <c r="E136" i="18" s="1"/>
  <c r="E142" i="18" s="1"/>
  <c r="I190" i="18" s="1"/>
  <c r="E105" i="18"/>
  <c r="E104" i="18"/>
  <c r="E103" i="18"/>
  <c r="E117" i="18" s="1"/>
  <c r="E135" i="18" s="1"/>
  <c r="E141" i="18" s="1"/>
  <c r="G190" i="18" s="1"/>
  <c r="E102" i="18"/>
  <c r="E101" i="18"/>
  <c r="E100" i="18"/>
  <c r="E116" i="18" s="1"/>
  <c r="E134" i="18" s="1"/>
  <c r="E140" i="18" s="1"/>
  <c r="E190" i="18" s="1"/>
  <c r="E99" i="18"/>
  <c r="E98" i="18"/>
  <c r="E97" i="18"/>
  <c r="E115" i="18" s="1"/>
  <c r="E133" i="18" s="1"/>
  <c r="E139" i="18" s="1"/>
  <c r="C190" i="18" s="1"/>
  <c r="F96" i="18"/>
  <c r="C69" i="16"/>
  <c r="C77" i="16" s="1"/>
  <c r="C80" i="16" s="1"/>
  <c r="D69" i="16"/>
  <c r="D77" i="16" s="1"/>
  <c r="D80" i="16" s="1"/>
  <c r="C69" i="15"/>
  <c r="C77" i="15" s="1"/>
  <c r="C80" i="15" s="1"/>
  <c r="D69" i="15"/>
  <c r="D77" i="15" s="1"/>
  <c r="D80" i="15" s="1"/>
  <c r="E69" i="15"/>
  <c r="E77" i="15" s="1"/>
  <c r="E80" i="15" s="1"/>
  <c r="F69" i="15"/>
  <c r="E69" i="7"/>
  <c r="E77" i="7" s="1"/>
  <c r="E80" i="7" s="1"/>
  <c r="F95" i="7"/>
  <c r="F96" i="7"/>
  <c r="F103" i="7" s="1"/>
  <c r="C111" i="12"/>
  <c r="C110" i="12"/>
  <c r="C109" i="12"/>
  <c r="C116" i="12" s="1"/>
  <c r="C133" i="12" s="1"/>
  <c r="C138" i="12" s="1"/>
  <c r="C108" i="12"/>
  <c r="C107" i="12"/>
  <c r="C106" i="12"/>
  <c r="C115" i="12" s="1"/>
  <c r="C132" i="12" s="1"/>
  <c r="C137" i="12" s="1"/>
  <c r="C105" i="12"/>
  <c r="C104" i="12"/>
  <c r="C103" i="12"/>
  <c r="C114" i="12" s="1"/>
  <c r="C131" i="12" s="1"/>
  <c r="C136" i="12" s="1"/>
  <c r="Z8" i="5" s="1"/>
  <c r="C102" i="12"/>
  <c r="C101" i="12"/>
  <c r="C100" i="12"/>
  <c r="C113" i="12" s="1"/>
  <c r="C130" i="12" s="1"/>
  <c r="C135" i="12" s="1"/>
  <c r="C99" i="12"/>
  <c r="C98" i="12"/>
  <c r="C97" i="12"/>
  <c r="C112" i="12" s="1"/>
  <c r="C129" i="12" s="1"/>
  <c r="C134" i="12" s="1"/>
  <c r="D111" i="12"/>
  <c r="D110" i="12"/>
  <c r="D109" i="12"/>
  <c r="D116" i="12" s="1"/>
  <c r="D133" i="12" s="1"/>
  <c r="D138" i="12" s="1"/>
  <c r="Z9" i="5" s="1"/>
  <c r="D108" i="12"/>
  <c r="D107" i="12"/>
  <c r="D106" i="12"/>
  <c r="D115" i="12" s="1"/>
  <c r="D132" i="12" s="1"/>
  <c r="D137" i="12" s="1"/>
  <c r="D105" i="12"/>
  <c r="D104" i="12"/>
  <c r="D103" i="12"/>
  <c r="D114" i="12" s="1"/>
  <c r="D131" i="12" s="1"/>
  <c r="D136" i="12" s="1"/>
  <c r="Z16" i="5" s="1"/>
  <c r="D102" i="12"/>
  <c r="D101" i="12"/>
  <c r="D100" i="12"/>
  <c r="D113" i="12" s="1"/>
  <c r="D130" i="12" s="1"/>
  <c r="D135" i="12" s="1"/>
  <c r="D99" i="12"/>
  <c r="D98" i="12"/>
  <c r="D97" i="12"/>
  <c r="D112" i="12" s="1"/>
  <c r="D129" i="12" s="1"/>
  <c r="D134" i="12" s="1"/>
  <c r="Z18" i="5" s="1"/>
  <c r="C77" i="7"/>
  <c r="C80" i="7" s="1"/>
  <c r="D77" i="7"/>
  <c r="D80" i="7" s="1"/>
  <c r="F97" i="7" l="1"/>
  <c r="F108" i="7"/>
  <c r="F104" i="7"/>
  <c r="F107" i="7"/>
  <c r="F99" i="7"/>
  <c r="F110" i="7"/>
  <c r="F106" i="7"/>
  <c r="F115" i="7" s="1"/>
  <c r="F132" i="7" s="1"/>
  <c r="F137" i="7" s="1"/>
  <c r="F102" i="7"/>
  <c r="F98" i="7"/>
  <c r="F100" i="7"/>
  <c r="F111" i="7"/>
  <c r="F109" i="7"/>
  <c r="F116" i="7" s="1"/>
  <c r="F133" i="7" s="1"/>
  <c r="F138" i="7" s="1"/>
  <c r="F105" i="7"/>
  <c r="F101" i="7"/>
  <c r="Z14" i="5"/>
  <c r="Z15" i="5"/>
  <c r="Z10" i="5"/>
  <c r="Z17" i="5"/>
  <c r="Z22" i="5"/>
  <c r="Z12" i="5"/>
  <c r="Z13" i="5"/>
  <c r="Z39" i="5"/>
  <c r="Z42" i="5"/>
  <c r="Z43" i="5"/>
  <c r="AB39" i="5"/>
  <c r="AB42" i="5"/>
  <c r="AB43" i="5"/>
  <c r="C146" i="19"/>
  <c r="AB38" i="5" s="1"/>
  <c r="C150" i="19"/>
  <c r="F114" i="18"/>
  <c r="F113" i="18"/>
  <c r="F112" i="18"/>
  <c r="F120" i="18" s="1"/>
  <c r="F138" i="18" s="1"/>
  <c r="F144" i="18" s="1"/>
  <c r="F111" i="18"/>
  <c r="F110" i="18"/>
  <c r="F109" i="18"/>
  <c r="F119" i="18" s="1"/>
  <c r="F137" i="18" s="1"/>
  <c r="F143" i="18" s="1"/>
  <c r="F108" i="18"/>
  <c r="F107" i="18"/>
  <c r="F106" i="18"/>
  <c r="F118" i="18" s="1"/>
  <c r="F136" i="18" s="1"/>
  <c r="F142" i="18" s="1"/>
  <c r="F105" i="18"/>
  <c r="F104" i="18"/>
  <c r="F103" i="18"/>
  <c r="F117" i="18" s="1"/>
  <c r="F135" i="18" s="1"/>
  <c r="F141" i="18" s="1"/>
  <c r="F102" i="18"/>
  <c r="F101" i="18"/>
  <c r="F100" i="18"/>
  <c r="F116" i="18" s="1"/>
  <c r="F134" i="18" s="1"/>
  <c r="F140" i="18" s="1"/>
  <c r="F99" i="18"/>
  <c r="F98" i="18"/>
  <c r="F97" i="18"/>
  <c r="F115" i="18" s="1"/>
  <c r="F133" i="18" s="1"/>
  <c r="F139" i="18" s="1"/>
  <c r="D190" i="18"/>
  <c r="F190" i="18"/>
  <c r="H190" i="18"/>
  <c r="J190" i="18"/>
  <c r="L190" i="18"/>
  <c r="N190" i="18"/>
  <c r="F130" i="15"/>
  <c r="F132" i="15" s="1"/>
  <c r="F77" i="15"/>
  <c r="F80" i="15" s="1"/>
  <c r="E130" i="15"/>
  <c r="E132" i="15" s="1"/>
  <c r="E95" i="15"/>
  <c r="E96" i="15" s="1"/>
  <c r="D130" i="15"/>
  <c r="C130" i="15"/>
  <c r="D130" i="16"/>
  <c r="D132" i="16" s="1"/>
  <c r="D95" i="16"/>
  <c r="D96" i="16" s="1"/>
  <c r="C130" i="16"/>
  <c r="C132" i="16" s="1"/>
  <c r="C95" i="16"/>
  <c r="C96" i="16" s="1"/>
  <c r="E126" i="7"/>
  <c r="E128" i="7" s="1"/>
  <c r="E95" i="7"/>
  <c r="E96" i="7" s="1"/>
  <c r="F112" i="7"/>
  <c r="F129" i="7" s="1"/>
  <c r="F134" i="7" s="1"/>
  <c r="F113" i="7"/>
  <c r="F130" i="7" s="1"/>
  <c r="F135" i="7" s="1"/>
  <c r="F114" i="7"/>
  <c r="F131" i="7" s="1"/>
  <c r="F136" i="7" s="1"/>
  <c r="C139" i="12"/>
  <c r="C140" i="12"/>
  <c r="C141" i="12"/>
  <c r="C142" i="12"/>
  <c r="C143" i="12"/>
  <c r="D126" i="7"/>
  <c r="C126" i="7"/>
  <c r="E97" i="7" l="1"/>
  <c r="E105" i="7"/>
  <c r="E109" i="7"/>
  <c r="E102" i="7"/>
  <c r="E110" i="7"/>
  <c r="E99" i="7"/>
  <c r="E103" i="7"/>
  <c r="E114" i="7" s="1"/>
  <c r="E131" i="7" s="1"/>
  <c r="E136" i="7" s="1"/>
  <c r="G183" i="7" s="1"/>
  <c r="E107" i="7"/>
  <c r="E111" i="7"/>
  <c r="E101" i="7"/>
  <c r="E98" i="7"/>
  <c r="E106" i="7"/>
  <c r="E115" i="7" s="1"/>
  <c r="E132" i="7" s="1"/>
  <c r="E137" i="7" s="1"/>
  <c r="I183" i="7" s="1"/>
  <c r="E108" i="7"/>
  <c r="E104" i="7"/>
  <c r="E100" i="7"/>
  <c r="Z24" i="5"/>
  <c r="AB7" i="5"/>
  <c r="AB9" i="5"/>
  <c r="AB12" i="5"/>
  <c r="AB13" i="5"/>
  <c r="AB8" i="5"/>
  <c r="AB16" i="5"/>
  <c r="AB6" i="5"/>
  <c r="AB10" i="5"/>
  <c r="AB11" i="5"/>
  <c r="AB17" i="5"/>
  <c r="AB20" i="5"/>
  <c r="AB21" i="5"/>
  <c r="AB22" i="5"/>
  <c r="AB23" i="5"/>
  <c r="AB14" i="5"/>
  <c r="AB15" i="5"/>
  <c r="AB18" i="5"/>
  <c r="AB19" i="5"/>
  <c r="AB40" i="5"/>
  <c r="AB44" i="5"/>
  <c r="Z48" i="5"/>
  <c r="M155" i="18"/>
  <c r="M161" i="18"/>
  <c r="N161" i="18" s="1"/>
  <c r="M167" i="18"/>
  <c r="N167" i="18" s="1"/>
  <c r="M173" i="18"/>
  <c r="M179" i="18"/>
  <c r="M182" i="18"/>
  <c r="N182" i="18" s="1"/>
  <c r="M185" i="18"/>
  <c r="N185" i="18" s="1"/>
  <c r="M191" i="18"/>
  <c r="K197" i="18"/>
  <c r="K194" i="18"/>
  <c r="L194" i="18" s="1"/>
  <c r="M194" i="18"/>
  <c r="N194" i="18" s="1"/>
  <c r="M197" i="18"/>
  <c r="I167" i="18"/>
  <c r="G167" i="18"/>
  <c r="H167" i="18" s="1"/>
  <c r="I161" i="18"/>
  <c r="J161" i="18" s="1"/>
  <c r="G161" i="18"/>
  <c r="I155" i="18"/>
  <c r="G155" i="18"/>
  <c r="H155" i="18" s="1"/>
  <c r="I179" i="18"/>
  <c r="J179" i="18" s="1"/>
  <c r="I173" i="18"/>
  <c r="I182" i="18"/>
  <c r="I185" i="18"/>
  <c r="J185" i="18" s="1"/>
  <c r="I191" i="18"/>
  <c r="J191" i="18" s="1"/>
  <c r="J192" i="18" s="1"/>
  <c r="I194" i="18"/>
  <c r="I197" i="18"/>
  <c r="G197" i="18"/>
  <c r="H197" i="18" s="1"/>
  <c r="G194" i="18"/>
  <c r="H194" i="18" s="1"/>
  <c r="G191" i="18"/>
  <c r="G185" i="18"/>
  <c r="G182" i="18"/>
  <c r="H182" i="18" s="1"/>
  <c r="G179" i="18"/>
  <c r="H179" i="18" s="1"/>
  <c r="G173" i="18"/>
  <c r="C197" i="18"/>
  <c r="C194" i="18"/>
  <c r="C191" i="18"/>
  <c r="C185" i="18"/>
  <c r="C182" i="18"/>
  <c r="C179" i="18"/>
  <c r="C173" i="18"/>
  <c r="C167" i="18"/>
  <c r="C161" i="18"/>
  <c r="C155" i="18"/>
  <c r="F197" i="13"/>
  <c r="F194" i="13"/>
  <c r="F191" i="13"/>
  <c r="F185" i="13"/>
  <c r="F182" i="13"/>
  <c r="F179" i="13"/>
  <c r="F173" i="13"/>
  <c r="F167" i="13"/>
  <c r="F161" i="13"/>
  <c r="F155" i="13"/>
  <c r="K190" i="7"/>
  <c r="G187" i="7"/>
  <c r="I187" i="7"/>
  <c r="K187" i="7"/>
  <c r="K184" i="7"/>
  <c r="I184" i="7"/>
  <c r="G184" i="7"/>
  <c r="E178" i="7"/>
  <c r="G178" i="7"/>
  <c r="I178" i="7"/>
  <c r="K178" i="7"/>
  <c r="K175" i="7"/>
  <c r="I175" i="7"/>
  <c r="G175" i="7"/>
  <c r="G172" i="7"/>
  <c r="I172" i="7"/>
  <c r="K172" i="7"/>
  <c r="K166" i="7"/>
  <c r="I166" i="7"/>
  <c r="G166" i="7"/>
  <c r="K160" i="7"/>
  <c r="I160" i="7"/>
  <c r="G160" i="7"/>
  <c r="G154" i="7"/>
  <c r="I154" i="7"/>
  <c r="K154" i="7"/>
  <c r="K148" i="7"/>
  <c r="I148" i="7"/>
  <c r="G148" i="7"/>
  <c r="C148" i="7"/>
  <c r="G197" i="13"/>
  <c r="G194" i="13"/>
  <c r="G191" i="13"/>
  <c r="G192" i="13" s="1"/>
  <c r="G185" i="13"/>
  <c r="G182" i="13"/>
  <c r="G179" i="13"/>
  <c r="G173" i="13"/>
  <c r="G167" i="13"/>
  <c r="G161" i="13"/>
  <c r="G155" i="13"/>
  <c r="D197" i="18"/>
  <c r="D194" i="18"/>
  <c r="D191" i="18"/>
  <c r="D192" i="18" s="1"/>
  <c r="T46" i="5" s="1"/>
  <c r="D185" i="18"/>
  <c r="D182" i="18"/>
  <c r="D179" i="18"/>
  <c r="D173" i="18"/>
  <c r="D167" i="18"/>
  <c r="D161" i="18"/>
  <c r="D155" i="18"/>
  <c r="E197" i="18"/>
  <c r="F197" i="18" s="1"/>
  <c r="E194" i="18"/>
  <c r="F194" i="18" s="1"/>
  <c r="E191" i="18"/>
  <c r="F191" i="18" s="1"/>
  <c r="F192" i="18" s="1"/>
  <c r="E185" i="18"/>
  <c r="F185" i="18" s="1"/>
  <c r="E182" i="18"/>
  <c r="F182" i="18" s="1"/>
  <c r="E179" i="18"/>
  <c r="F179" i="18" s="1"/>
  <c r="E173" i="18"/>
  <c r="F173" i="18" s="1"/>
  <c r="E167" i="18"/>
  <c r="F167" i="18" s="1"/>
  <c r="E161" i="18"/>
  <c r="F161" i="18" s="1"/>
  <c r="E155" i="18"/>
  <c r="F155" i="18" s="1"/>
  <c r="H191" i="18"/>
  <c r="H192" i="18" s="1"/>
  <c r="H185" i="18"/>
  <c r="H173" i="18"/>
  <c r="H161" i="18"/>
  <c r="J197" i="18"/>
  <c r="J194" i="18"/>
  <c r="J182" i="18"/>
  <c r="J173" i="18"/>
  <c r="J167" i="18"/>
  <c r="J155" i="18"/>
  <c r="L197" i="18"/>
  <c r="K191" i="18"/>
  <c r="L191" i="18" s="1"/>
  <c r="L192" i="18" s="1"/>
  <c r="K185" i="18"/>
  <c r="L185" i="18" s="1"/>
  <c r="K182" i="18"/>
  <c r="L182" i="18" s="1"/>
  <c r="K179" i="18"/>
  <c r="L179" i="18" s="1"/>
  <c r="K173" i="18"/>
  <c r="L173" i="18" s="1"/>
  <c r="K167" i="18"/>
  <c r="L167" i="18" s="1"/>
  <c r="K161" i="18"/>
  <c r="L161" i="18" s="1"/>
  <c r="K155" i="18"/>
  <c r="L155" i="18" s="1"/>
  <c r="N197" i="18"/>
  <c r="N191" i="18"/>
  <c r="N192" i="18" s="1"/>
  <c r="N179" i="18"/>
  <c r="N173" i="18"/>
  <c r="N155" i="18"/>
  <c r="C190" i="7"/>
  <c r="C187" i="7"/>
  <c r="C184" i="7"/>
  <c r="C178" i="7"/>
  <c r="C175" i="7"/>
  <c r="C172" i="7"/>
  <c r="C166" i="7"/>
  <c r="C160" i="7"/>
  <c r="C154" i="7"/>
  <c r="C106" i="16"/>
  <c r="C118" i="16" s="1"/>
  <c r="C136" i="16" s="1"/>
  <c r="C142" i="16" s="1"/>
  <c r="C148" i="16" s="1"/>
  <c r="AB36" i="5" s="1"/>
  <c r="C108" i="16"/>
  <c r="C107" i="16"/>
  <c r="C114" i="16"/>
  <c r="C113" i="16"/>
  <c r="C112" i="16"/>
  <c r="C120" i="16" s="1"/>
  <c r="C138" i="16" s="1"/>
  <c r="C144" i="16" s="1"/>
  <c r="C150" i="16" s="1"/>
  <c r="AB29" i="5" s="1"/>
  <c r="C111" i="16"/>
  <c r="C110" i="16"/>
  <c r="C109" i="16"/>
  <c r="C119" i="16" s="1"/>
  <c r="C137" i="16" s="1"/>
  <c r="C143" i="16" s="1"/>
  <c r="C149" i="16" s="1"/>
  <c r="C105" i="16"/>
  <c r="C104" i="16"/>
  <c r="C103" i="16"/>
  <c r="C117" i="16" s="1"/>
  <c r="C135" i="16" s="1"/>
  <c r="C141" i="16" s="1"/>
  <c r="Z27" i="5" s="1"/>
  <c r="C102" i="16"/>
  <c r="C101" i="16"/>
  <c r="C100" i="16"/>
  <c r="C116" i="16" s="1"/>
  <c r="C134" i="16" s="1"/>
  <c r="C140" i="16" s="1"/>
  <c r="Z34" i="5" s="1"/>
  <c r="C99" i="16"/>
  <c r="C98" i="16"/>
  <c r="C97" i="16"/>
  <c r="C115" i="16" s="1"/>
  <c r="C133" i="16" s="1"/>
  <c r="C139" i="16" s="1"/>
  <c r="D106" i="16"/>
  <c r="D118" i="16" s="1"/>
  <c r="D136" i="16" s="1"/>
  <c r="D142" i="16" s="1"/>
  <c r="D108" i="16"/>
  <c r="D107" i="16"/>
  <c r="D114" i="16"/>
  <c r="D113" i="16"/>
  <c r="D112" i="16"/>
  <c r="D120" i="16" s="1"/>
  <c r="D138" i="16" s="1"/>
  <c r="D144" i="16" s="1"/>
  <c r="D111" i="16"/>
  <c r="D110" i="16"/>
  <c r="D109" i="16"/>
  <c r="D119" i="16" s="1"/>
  <c r="D137" i="16" s="1"/>
  <c r="D143" i="16" s="1"/>
  <c r="D105" i="16"/>
  <c r="D104" i="16"/>
  <c r="D103" i="16"/>
  <c r="D117" i="16" s="1"/>
  <c r="D135" i="16" s="1"/>
  <c r="D141" i="16" s="1"/>
  <c r="Z33" i="5" s="1"/>
  <c r="D102" i="16"/>
  <c r="D101" i="16"/>
  <c r="D100" i="16"/>
  <c r="D116" i="16" s="1"/>
  <c r="D134" i="16" s="1"/>
  <c r="D140" i="16" s="1"/>
  <c r="D99" i="16"/>
  <c r="D98" i="16"/>
  <c r="D97" i="16"/>
  <c r="D115" i="16" s="1"/>
  <c r="D133" i="16" s="1"/>
  <c r="D139" i="16" s="1"/>
  <c r="E106" i="15"/>
  <c r="E118" i="15" s="1"/>
  <c r="E136" i="15" s="1"/>
  <c r="E142" i="15" s="1"/>
  <c r="I190" i="15" s="1"/>
  <c r="E107" i="15"/>
  <c r="E108" i="15"/>
  <c r="E114" i="15"/>
  <c r="E113" i="15"/>
  <c r="E112" i="15"/>
  <c r="E120" i="15" s="1"/>
  <c r="E138" i="15" s="1"/>
  <c r="E144" i="15" s="1"/>
  <c r="M190" i="15" s="1"/>
  <c r="E111" i="15"/>
  <c r="E110" i="15"/>
  <c r="E109" i="15"/>
  <c r="E119" i="15" s="1"/>
  <c r="E137" i="15" s="1"/>
  <c r="E143" i="15" s="1"/>
  <c r="K190" i="15" s="1"/>
  <c r="E105" i="15"/>
  <c r="E104" i="15"/>
  <c r="E103" i="15"/>
  <c r="E117" i="15" s="1"/>
  <c r="E135" i="15" s="1"/>
  <c r="E141" i="15" s="1"/>
  <c r="G190" i="15" s="1"/>
  <c r="E102" i="15"/>
  <c r="E101" i="15"/>
  <c r="E100" i="15"/>
  <c r="E116" i="15" s="1"/>
  <c r="E134" i="15" s="1"/>
  <c r="E140" i="15" s="1"/>
  <c r="E190" i="15" s="1"/>
  <c r="E99" i="15"/>
  <c r="E98" i="15"/>
  <c r="E97" i="15"/>
  <c r="E115" i="15" s="1"/>
  <c r="E133" i="15" s="1"/>
  <c r="E139" i="15" s="1"/>
  <c r="C190" i="15" s="1"/>
  <c r="F95" i="15"/>
  <c r="F96" i="15" s="1"/>
  <c r="E112" i="7"/>
  <c r="E129" i="7" s="1"/>
  <c r="E134" i="7" s="1"/>
  <c r="C183" i="7" s="1"/>
  <c r="E113" i="7"/>
  <c r="E130" i="7" s="1"/>
  <c r="E135" i="7" s="1"/>
  <c r="E183" i="7" s="1"/>
  <c r="E116" i="7"/>
  <c r="E133" i="7" s="1"/>
  <c r="E138" i="7" s="1"/>
  <c r="K183" i="7" s="1"/>
  <c r="E148" i="7"/>
  <c r="F148" i="7" s="1"/>
  <c r="E154" i="7"/>
  <c r="F154" i="7" s="1"/>
  <c r="E160" i="7"/>
  <c r="F160" i="7" s="1"/>
  <c r="E166" i="7"/>
  <c r="F166" i="7" s="1"/>
  <c r="E172" i="7"/>
  <c r="F172" i="7" s="1"/>
  <c r="E175" i="7"/>
  <c r="F175" i="7" s="1"/>
  <c r="F178" i="7"/>
  <c r="E184" i="7"/>
  <c r="F184" i="7" s="1"/>
  <c r="E187" i="7"/>
  <c r="F187" i="7" s="1"/>
  <c r="E190" i="7"/>
  <c r="F190" i="7" s="1"/>
  <c r="AB24" i="5" l="1"/>
  <c r="Z28" i="5"/>
  <c r="Z31" i="5"/>
  <c r="Z32" i="5"/>
  <c r="T40" i="5"/>
  <c r="T44" i="5"/>
  <c r="T39" i="5"/>
  <c r="T42" i="5"/>
  <c r="T43" i="5"/>
  <c r="T38" i="5"/>
  <c r="T41" i="5"/>
  <c r="T45" i="5"/>
  <c r="F106" i="15"/>
  <c r="F118" i="15" s="1"/>
  <c r="F136" i="15" s="1"/>
  <c r="F142" i="15" s="1"/>
  <c r="F107" i="15"/>
  <c r="F108" i="15"/>
  <c r="F114" i="15"/>
  <c r="F113" i="15"/>
  <c r="F112" i="15"/>
  <c r="F120" i="15" s="1"/>
  <c r="F138" i="15" s="1"/>
  <c r="F144" i="15" s="1"/>
  <c r="F111" i="15"/>
  <c r="F110" i="15"/>
  <c r="F109" i="15"/>
  <c r="F119" i="15" s="1"/>
  <c r="F137" i="15" s="1"/>
  <c r="F143" i="15" s="1"/>
  <c r="F105" i="15"/>
  <c r="F104" i="15"/>
  <c r="F103" i="15"/>
  <c r="F117" i="15" s="1"/>
  <c r="F135" i="15" s="1"/>
  <c r="F141" i="15" s="1"/>
  <c r="F102" i="15"/>
  <c r="F101" i="15"/>
  <c r="F100" i="15"/>
  <c r="F116" i="15" s="1"/>
  <c r="F134" i="15" s="1"/>
  <c r="F140" i="15" s="1"/>
  <c r="F99" i="15"/>
  <c r="F98" i="15"/>
  <c r="F97" i="15"/>
  <c r="F115" i="15" s="1"/>
  <c r="F133" i="15" s="1"/>
  <c r="F139" i="15" s="1"/>
  <c r="D190" i="15"/>
  <c r="F190" i="15"/>
  <c r="H190" i="15"/>
  <c r="L190" i="15"/>
  <c r="N190" i="15"/>
  <c r="J190" i="15"/>
  <c r="C145" i="16"/>
  <c r="C146" i="16"/>
  <c r="AB34" i="5" s="1"/>
  <c r="C147" i="16"/>
  <c r="D184" i="7"/>
  <c r="D190" i="7"/>
  <c r="D187" i="7"/>
  <c r="D178" i="7"/>
  <c r="D175" i="7"/>
  <c r="D172" i="7"/>
  <c r="D160" i="7"/>
  <c r="H184" i="7"/>
  <c r="G190" i="7"/>
  <c r="H190" i="7" s="1"/>
  <c r="H187" i="7"/>
  <c r="H178" i="7"/>
  <c r="H175" i="7"/>
  <c r="H172" i="7"/>
  <c r="H160" i="7"/>
  <c r="J184" i="7"/>
  <c r="I190" i="7"/>
  <c r="J190" i="7" s="1"/>
  <c r="J187" i="7"/>
  <c r="J178" i="7"/>
  <c r="J175" i="7"/>
  <c r="J172" i="7"/>
  <c r="J160" i="7"/>
  <c r="L184" i="7"/>
  <c r="L190" i="7"/>
  <c r="L187" i="7"/>
  <c r="L178" i="7"/>
  <c r="L175" i="7"/>
  <c r="L172" i="7"/>
  <c r="L166" i="7"/>
  <c r="L160" i="7"/>
  <c r="D183" i="7"/>
  <c r="H183" i="7"/>
  <c r="J183" i="7"/>
  <c r="L183" i="7"/>
  <c r="D154" i="7"/>
  <c r="H166" i="7"/>
  <c r="H154" i="7"/>
  <c r="H148" i="7"/>
  <c r="J154" i="7"/>
  <c r="J148" i="7"/>
  <c r="L154" i="7"/>
  <c r="L148" i="7"/>
  <c r="Z37" i="5" l="1"/>
  <c r="Z50" i="5" s="1"/>
  <c r="G9" i="20" s="1"/>
  <c r="H9" i="20" s="1"/>
  <c r="AB25" i="5"/>
  <c r="AB26" i="5"/>
  <c r="AB27" i="5"/>
  <c r="AB30" i="5"/>
  <c r="AB33" i="5"/>
  <c r="AB35" i="5"/>
  <c r="AB28" i="5"/>
  <c r="AB31" i="5"/>
  <c r="AB32" i="5"/>
  <c r="M197" i="15"/>
  <c r="N197" i="15" s="1"/>
  <c r="M194" i="15"/>
  <c r="N194" i="15" s="1"/>
  <c r="M191" i="15"/>
  <c r="M185" i="15"/>
  <c r="M182" i="15"/>
  <c r="N182" i="15" s="1"/>
  <c r="M179" i="15"/>
  <c r="N179" i="15" s="1"/>
  <c r="M173" i="15"/>
  <c r="K173" i="15"/>
  <c r="K179" i="15"/>
  <c r="L179" i="15" s="1"/>
  <c r="K182" i="15"/>
  <c r="L182" i="15" s="1"/>
  <c r="K185" i="15"/>
  <c r="K191" i="15"/>
  <c r="K194" i="15"/>
  <c r="L194" i="15" s="1"/>
  <c r="K197" i="15"/>
  <c r="L197" i="15" s="1"/>
  <c r="I197" i="15"/>
  <c r="I194" i="15"/>
  <c r="I191" i="15"/>
  <c r="J191" i="15" s="1"/>
  <c r="J192" i="15" s="1"/>
  <c r="I185" i="15"/>
  <c r="J185" i="15" s="1"/>
  <c r="I182" i="15"/>
  <c r="I179" i="15"/>
  <c r="I173" i="15"/>
  <c r="J173" i="15" s="1"/>
  <c r="I167" i="15"/>
  <c r="J167" i="15" s="1"/>
  <c r="E173" i="15"/>
  <c r="F173" i="15" s="1"/>
  <c r="E179" i="15"/>
  <c r="E182" i="15"/>
  <c r="F182" i="15" s="1"/>
  <c r="E185" i="15"/>
  <c r="F185" i="15" s="1"/>
  <c r="E191" i="15"/>
  <c r="F191" i="15" s="1"/>
  <c r="F192" i="15" s="1"/>
  <c r="E194" i="15"/>
  <c r="E197" i="15"/>
  <c r="C197" i="15"/>
  <c r="D197" i="15" s="1"/>
  <c r="C194" i="15"/>
  <c r="D194" i="15" s="1"/>
  <c r="C191" i="15"/>
  <c r="C185" i="15"/>
  <c r="D185" i="15" s="1"/>
  <c r="C182" i="15"/>
  <c r="D182" i="15" s="1"/>
  <c r="C179" i="15"/>
  <c r="D179" i="15" s="1"/>
  <c r="C173" i="15"/>
  <c r="C167" i="15"/>
  <c r="D167" i="15" s="1"/>
  <c r="C161" i="15"/>
  <c r="D161" i="15" s="1"/>
  <c r="E161" i="15"/>
  <c r="F161" i="15" s="1"/>
  <c r="I161" i="15"/>
  <c r="K161" i="15"/>
  <c r="L161" i="15" s="1"/>
  <c r="M161" i="15"/>
  <c r="N161" i="15" s="1"/>
  <c r="M155" i="15"/>
  <c r="K155" i="15"/>
  <c r="I155" i="15"/>
  <c r="J155" i="15" s="1"/>
  <c r="E155" i="15"/>
  <c r="F155" i="15" s="1"/>
  <c r="C155" i="15"/>
  <c r="D155" i="15" s="1"/>
  <c r="D191" i="15"/>
  <c r="D192" i="15" s="1"/>
  <c r="D173" i="15"/>
  <c r="F197" i="15"/>
  <c r="F194" i="15"/>
  <c r="F179" i="15"/>
  <c r="E167" i="15"/>
  <c r="F167" i="15" s="1"/>
  <c r="G197" i="15"/>
  <c r="H197" i="15" s="1"/>
  <c r="G194" i="15"/>
  <c r="H194" i="15" s="1"/>
  <c r="G191" i="15"/>
  <c r="H191" i="15" s="1"/>
  <c r="H192" i="15" s="1"/>
  <c r="G185" i="15"/>
  <c r="H185" i="15" s="1"/>
  <c r="G182" i="15"/>
  <c r="H182" i="15" s="1"/>
  <c r="G179" i="15"/>
  <c r="H179" i="15" s="1"/>
  <c r="G173" i="15"/>
  <c r="H173" i="15" s="1"/>
  <c r="G167" i="15"/>
  <c r="H167" i="15" s="1"/>
  <c r="G161" i="15"/>
  <c r="H161" i="15" s="1"/>
  <c r="G155" i="15"/>
  <c r="H155" i="15" s="1"/>
  <c r="L191" i="15"/>
  <c r="L192" i="15" s="1"/>
  <c r="L185" i="15"/>
  <c r="L173" i="15"/>
  <c r="K167" i="15"/>
  <c r="L167" i="15" s="1"/>
  <c r="L155" i="15"/>
  <c r="N191" i="15"/>
  <c r="N192" i="15" s="1"/>
  <c r="N185" i="15"/>
  <c r="N173" i="15"/>
  <c r="M167" i="15"/>
  <c r="N167" i="15" s="1"/>
  <c r="N155" i="15"/>
  <c r="J197" i="15"/>
  <c r="J194" i="15"/>
  <c r="J182" i="15"/>
  <c r="J179" i="15"/>
  <c r="J161" i="15"/>
  <c r="F183" i="7"/>
  <c r="F185" i="7" s="1"/>
  <c r="D166" i="7"/>
  <c r="D148" i="7"/>
  <c r="AA81" i="5" l="1"/>
  <c r="T6" i="5"/>
  <c r="T10" i="5"/>
  <c r="T11" i="5"/>
  <c r="T17" i="5"/>
  <c r="T20" i="5"/>
  <c r="T21" i="5"/>
  <c r="T22" i="5"/>
  <c r="T23" i="5"/>
  <c r="AB37" i="5"/>
  <c r="D185" i="7"/>
  <c r="J166" i="7"/>
  <c r="T14" i="5" l="1"/>
  <c r="T15" i="5"/>
  <c r="T18" i="5"/>
  <c r="T19" i="5"/>
  <c r="AC81" i="5"/>
  <c r="H185" i="7"/>
  <c r="T8" i="5" l="1"/>
  <c r="T16" i="5"/>
  <c r="J185" i="7"/>
  <c r="L185" i="7"/>
  <c r="T7" i="5" l="1"/>
  <c r="T9" i="5"/>
  <c r="T12" i="5"/>
  <c r="T13" i="5"/>
  <c r="G59" i="2"/>
  <c r="B85" i="13" s="1"/>
  <c r="C85" i="13" l="1"/>
  <c r="C91" i="13" s="1"/>
  <c r="C131" i="13" s="1"/>
  <c r="D85" i="13"/>
  <c r="D91" i="13" s="1"/>
  <c r="B85" i="18"/>
  <c r="B85" i="15"/>
  <c r="B85" i="7"/>
  <c r="D131" i="13" l="1"/>
  <c r="D132" i="13" s="1"/>
  <c r="D95" i="13"/>
  <c r="D96" i="13" s="1"/>
  <c r="D85" i="7"/>
  <c r="D91" i="7" s="1"/>
  <c r="C85" i="7"/>
  <c r="C91" i="7" s="1"/>
  <c r="D85" i="15"/>
  <c r="D91" i="15" s="1"/>
  <c r="C85" i="15"/>
  <c r="C91" i="15" s="1"/>
  <c r="D85" i="18"/>
  <c r="D91" i="18" s="1"/>
  <c r="C85" i="18"/>
  <c r="C91" i="18" s="1"/>
  <c r="D104" i="13" l="1"/>
  <c r="D107" i="13"/>
  <c r="D112" i="13"/>
  <c r="D120" i="13" s="1"/>
  <c r="D138" i="13" s="1"/>
  <c r="D144" i="13" s="1"/>
  <c r="D109" i="13"/>
  <c r="D119" i="13" s="1"/>
  <c r="D137" i="13" s="1"/>
  <c r="D143" i="13" s="1"/>
  <c r="D99" i="13"/>
  <c r="D103" i="13"/>
  <c r="D117" i="13" s="1"/>
  <c r="D135" i="13" s="1"/>
  <c r="D141" i="13" s="1"/>
  <c r="D114" i="13"/>
  <c r="D106" i="13"/>
  <c r="D118" i="13" s="1"/>
  <c r="D136" i="13" s="1"/>
  <c r="D142" i="13" s="1"/>
  <c r="D113" i="13"/>
  <c r="D102" i="13"/>
  <c r="D110" i="13"/>
  <c r="D98" i="13"/>
  <c r="D100" i="13"/>
  <c r="D116" i="13" s="1"/>
  <c r="D134" i="13" s="1"/>
  <c r="D140" i="13" s="1"/>
  <c r="D97" i="13"/>
  <c r="D115" i="13" s="1"/>
  <c r="D133" i="13" s="1"/>
  <c r="D139" i="13" s="1"/>
  <c r="D131" i="18"/>
  <c r="D132" i="18" s="1"/>
  <c r="D95" i="18"/>
  <c r="D96" i="18" s="1"/>
  <c r="D127" i="7"/>
  <c r="D128" i="7" s="1"/>
  <c r="D95" i="7"/>
  <c r="D96" i="7" s="1"/>
  <c r="D108" i="13"/>
  <c r="C131" i="18"/>
  <c r="C132" i="18" s="1"/>
  <c r="C95" i="18"/>
  <c r="C96" i="18" s="1"/>
  <c r="C131" i="15"/>
  <c r="C132" i="15" s="1"/>
  <c r="C95" i="15"/>
  <c r="C96" i="15" s="1"/>
  <c r="D111" i="13"/>
  <c r="D105" i="13"/>
  <c r="D101" i="13"/>
  <c r="C127" i="7"/>
  <c r="C128" i="7" s="1"/>
  <c r="C95" i="7"/>
  <c r="D131" i="15"/>
  <c r="D132" i="15" s="1"/>
  <c r="D95" i="15"/>
  <c r="C109" i="15" l="1"/>
  <c r="C119" i="15" s="1"/>
  <c r="C137" i="15" s="1"/>
  <c r="C143" i="15" s="1"/>
  <c r="C105" i="15"/>
  <c r="C111" i="15"/>
  <c r="C114" i="15"/>
  <c r="C101" i="15"/>
  <c r="C104" i="15"/>
  <c r="C99" i="15"/>
  <c r="C97" i="15"/>
  <c r="C115" i="15" s="1"/>
  <c r="C133" i="15" s="1"/>
  <c r="C139" i="15" s="1"/>
  <c r="C103" i="15"/>
  <c r="C117" i="15" s="1"/>
  <c r="C135" i="15" s="1"/>
  <c r="C141" i="15" s="1"/>
  <c r="C113" i="15"/>
  <c r="C107" i="15"/>
  <c r="C106" i="15"/>
  <c r="C118" i="15" s="1"/>
  <c r="C136" i="15" s="1"/>
  <c r="C142" i="15" s="1"/>
  <c r="I196" i="15" s="1"/>
  <c r="J196" i="15" s="1"/>
  <c r="J198" i="15" s="1"/>
  <c r="X36" i="5" s="1"/>
  <c r="D100" i="7"/>
  <c r="D113" i="7" s="1"/>
  <c r="D130" i="7" s="1"/>
  <c r="D135" i="7" s="1"/>
  <c r="D106" i="7"/>
  <c r="D115" i="7" s="1"/>
  <c r="D132" i="7" s="1"/>
  <c r="D137" i="7" s="1"/>
  <c r="D97" i="7"/>
  <c r="D112" i="7" s="1"/>
  <c r="D129" i="7" s="1"/>
  <c r="D107" i="7"/>
  <c r="D102" i="7"/>
  <c r="D103" i="7"/>
  <c r="D114" i="7" s="1"/>
  <c r="D131" i="7" s="1"/>
  <c r="D136" i="7" s="1"/>
  <c r="D98" i="7"/>
  <c r="D104" i="7"/>
  <c r="D99" i="7"/>
  <c r="D105" i="7"/>
  <c r="C108" i="15"/>
  <c r="D108" i="7"/>
  <c r="C96" i="7"/>
  <c r="C102" i="15"/>
  <c r="D109" i="7"/>
  <c r="D116" i="7" s="1"/>
  <c r="D133" i="7" s="1"/>
  <c r="C97" i="18"/>
  <c r="C115" i="18" s="1"/>
  <c r="C133" i="18" s="1"/>
  <c r="C139" i="18" s="1"/>
  <c r="C113" i="18"/>
  <c r="C104" i="18"/>
  <c r="D104" i="18"/>
  <c r="D111" i="18"/>
  <c r="D109" i="18"/>
  <c r="D119" i="18" s="1"/>
  <c r="D137" i="18" s="1"/>
  <c r="D143" i="18" s="1"/>
  <c r="D106" i="18"/>
  <c r="D118" i="18" s="1"/>
  <c r="D136" i="18" s="1"/>
  <c r="D142" i="18" s="1"/>
  <c r="C149" i="15"/>
  <c r="K196" i="15"/>
  <c r="L196" i="15" s="1"/>
  <c r="L198" i="15" s="1"/>
  <c r="K181" i="15"/>
  <c r="L181" i="15" s="1"/>
  <c r="L183" i="15" s="1"/>
  <c r="K160" i="15"/>
  <c r="L160" i="15" s="1"/>
  <c r="L162" i="15" s="1"/>
  <c r="K166" i="15"/>
  <c r="L166" i="15" s="1"/>
  <c r="L168" i="15" s="1"/>
  <c r="K193" i="15"/>
  <c r="L193" i="15" s="1"/>
  <c r="L195" i="15" s="1"/>
  <c r="K178" i="15"/>
  <c r="L178" i="15" s="1"/>
  <c r="L180" i="15" s="1"/>
  <c r="K154" i="15"/>
  <c r="L154" i="15" s="1"/>
  <c r="L156" i="15" s="1"/>
  <c r="K184" i="15"/>
  <c r="L184" i="15" s="1"/>
  <c r="L186" i="15" s="1"/>
  <c r="K172" i="15"/>
  <c r="L172" i="15" s="1"/>
  <c r="L174" i="15" s="1"/>
  <c r="C106" i="18"/>
  <c r="C118" i="18" s="1"/>
  <c r="C136" i="18" s="1"/>
  <c r="C142" i="18" s="1"/>
  <c r="D96" i="15"/>
  <c r="D97" i="15" s="1"/>
  <c r="D115" i="15" s="1"/>
  <c r="D133" i="15" s="1"/>
  <c r="D139" i="15" s="1"/>
  <c r="C100" i="7"/>
  <c r="C113" i="7" s="1"/>
  <c r="C130" i="7" s="1"/>
  <c r="C135" i="7" s="1"/>
  <c r="C109" i="7"/>
  <c r="C116" i="7" s="1"/>
  <c r="C133" i="7" s="1"/>
  <c r="C138" i="7" s="1"/>
  <c r="C110" i="7"/>
  <c r="C100" i="15"/>
  <c r="C116" i="15" s="1"/>
  <c r="C134" i="15" s="1"/>
  <c r="C140" i="15" s="1"/>
  <c r="C110" i="15"/>
  <c r="C112" i="15"/>
  <c r="C120" i="15" s="1"/>
  <c r="C138" i="15" s="1"/>
  <c r="C144" i="15" s="1"/>
  <c r="C98" i="15"/>
  <c r="C99" i="18"/>
  <c r="C108" i="18"/>
  <c r="C101" i="18"/>
  <c r="C103" i="18"/>
  <c r="C117" i="18" s="1"/>
  <c r="C135" i="18" s="1"/>
  <c r="C141" i="18" s="1"/>
  <c r="C110" i="18"/>
  <c r="D101" i="7"/>
  <c r="D110" i="7"/>
  <c r="D111" i="7"/>
  <c r="D105" i="18"/>
  <c r="D110" i="18"/>
  <c r="D99" i="18"/>
  <c r="D101" i="18"/>
  <c r="D108" i="18"/>
  <c r="C111" i="18"/>
  <c r="C112" i="18"/>
  <c r="C120" i="18" s="1"/>
  <c r="C138" i="18" s="1"/>
  <c r="C144" i="18" s="1"/>
  <c r="C105" i="18"/>
  <c r="C98" i="18"/>
  <c r="C114" i="18"/>
  <c r="D138" i="7"/>
  <c r="D98" i="18"/>
  <c r="D114" i="18"/>
  <c r="D103" i="18"/>
  <c r="D117" i="18" s="1"/>
  <c r="D135" i="18" s="1"/>
  <c r="D141" i="18" s="1"/>
  <c r="D113" i="18"/>
  <c r="D112" i="18"/>
  <c r="D120" i="18" s="1"/>
  <c r="D138" i="18" s="1"/>
  <c r="D144" i="18" s="1"/>
  <c r="G172" i="15"/>
  <c r="H172" i="15" s="1"/>
  <c r="H174" i="15" s="1"/>
  <c r="G178" i="15"/>
  <c r="H178" i="15" s="1"/>
  <c r="H180" i="15" s="1"/>
  <c r="C147" i="15"/>
  <c r="G184" i="15"/>
  <c r="H184" i="15" s="1"/>
  <c r="H186" i="15" s="1"/>
  <c r="G166" i="15"/>
  <c r="H166" i="15" s="1"/>
  <c r="H168" i="15" s="1"/>
  <c r="G196" i="15"/>
  <c r="H196" i="15" s="1"/>
  <c r="H198" i="15" s="1"/>
  <c r="G181" i="15"/>
  <c r="H181" i="15" s="1"/>
  <c r="H183" i="15" s="1"/>
  <c r="G160" i="15"/>
  <c r="H160" i="15" s="1"/>
  <c r="H162" i="15" s="1"/>
  <c r="G193" i="15"/>
  <c r="H193" i="15" s="1"/>
  <c r="H195" i="15" s="1"/>
  <c r="G154" i="15"/>
  <c r="H154" i="15" s="1"/>
  <c r="H156" i="15" s="1"/>
  <c r="D105" i="15"/>
  <c r="C104" i="7"/>
  <c r="C101" i="7"/>
  <c r="C102" i="7"/>
  <c r="C100" i="18"/>
  <c r="C116" i="18" s="1"/>
  <c r="C134" i="18" s="1"/>
  <c r="C140" i="18" s="1"/>
  <c r="C107" i="18"/>
  <c r="C109" i="18"/>
  <c r="C119" i="18" s="1"/>
  <c r="C137" i="18" s="1"/>
  <c r="C143" i="18" s="1"/>
  <c r="C102" i="18"/>
  <c r="D134" i="7"/>
  <c r="D102" i="18"/>
  <c r="D97" i="18"/>
  <c r="D115" i="18" s="1"/>
  <c r="D133" i="18" s="1"/>
  <c r="D139" i="18" s="1"/>
  <c r="D107" i="18"/>
  <c r="D100" i="18"/>
  <c r="D116" i="18" s="1"/>
  <c r="D134" i="18" s="1"/>
  <c r="D140" i="18" s="1"/>
  <c r="C17" i="17"/>
  <c r="I17" i="17"/>
  <c r="H17" i="17"/>
  <c r="G17" i="17"/>
  <c r="F17" i="17"/>
  <c r="E17" i="17"/>
  <c r="D17" i="17"/>
  <c r="K17" i="17"/>
  <c r="L17" i="17"/>
  <c r="D109" i="15" l="1"/>
  <c r="D119" i="15" s="1"/>
  <c r="D137" i="15" s="1"/>
  <c r="D143" i="15" s="1"/>
  <c r="I172" i="15"/>
  <c r="J172" i="15" s="1"/>
  <c r="J174" i="15" s="1"/>
  <c r="L36" i="5" s="1"/>
  <c r="D111" i="15"/>
  <c r="I193" i="15"/>
  <c r="J193" i="15" s="1"/>
  <c r="J195" i="15" s="1"/>
  <c r="V36" i="5" s="1"/>
  <c r="D99" i="15"/>
  <c r="D113" i="15"/>
  <c r="D112" i="15"/>
  <c r="D120" i="15" s="1"/>
  <c r="D138" i="15" s="1"/>
  <c r="D144" i="15" s="1"/>
  <c r="I166" i="15"/>
  <c r="J166" i="15" s="1"/>
  <c r="J168" i="15" s="1"/>
  <c r="J36" i="5" s="1"/>
  <c r="I154" i="15"/>
  <c r="J154" i="15" s="1"/>
  <c r="J156" i="15" s="1"/>
  <c r="F36" i="5" s="1"/>
  <c r="I181" i="15"/>
  <c r="J181" i="15" s="1"/>
  <c r="J183" i="15" s="1"/>
  <c r="P36" i="5" s="1"/>
  <c r="D114" i="15"/>
  <c r="I184" i="15"/>
  <c r="J184" i="15" s="1"/>
  <c r="J186" i="15" s="1"/>
  <c r="R36" i="5" s="1"/>
  <c r="I160" i="15"/>
  <c r="J160" i="15" s="1"/>
  <c r="J162" i="15" s="1"/>
  <c r="H36" i="5" s="1"/>
  <c r="D107" i="15"/>
  <c r="D100" i="15"/>
  <c r="D116" i="15" s="1"/>
  <c r="D134" i="15" s="1"/>
  <c r="D140" i="15" s="1"/>
  <c r="D101" i="15"/>
  <c r="C148" i="15"/>
  <c r="AA36" i="5" s="1"/>
  <c r="I178" i="15"/>
  <c r="J178" i="15" s="1"/>
  <c r="J180" i="15" s="1"/>
  <c r="N36" i="5" s="1"/>
  <c r="D104" i="15"/>
  <c r="C103" i="7"/>
  <c r="C114" i="7" s="1"/>
  <c r="C131" i="7" s="1"/>
  <c r="C136" i="7" s="1"/>
  <c r="C105" i="7"/>
  <c r="C107" i="7"/>
  <c r="C97" i="7"/>
  <c r="C112" i="7" s="1"/>
  <c r="C129" i="7" s="1"/>
  <c r="C134" i="7" s="1"/>
  <c r="C174" i="7" s="1"/>
  <c r="D174" i="7" s="1"/>
  <c r="D176" i="7" s="1"/>
  <c r="C108" i="7"/>
  <c r="C106" i="7"/>
  <c r="C115" i="7" s="1"/>
  <c r="C132" i="7" s="1"/>
  <c r="C137" i="7" s="1"/>
  <c r="C99" i="7"/>
  <c r="D110" i="15"/>
  <c r="C98" i="7"/>
  <c r="C111" i="7"/>
  <c r="J26" i="5"/>
  <c r="J35" i="5"/>
  <c r="J33" i="5"/>
  <c r="J27" i="5"/>
  <c r="J25" i="5"/>
  <c r="J30" i="5"/>
  <c r="M172" i="15"/>
  <c r="N172" i="15" s="1"/>
  <c r="N174" i="15" s="1"/>
  <c r="L29" i="5" s="1"/>
  <c r="M154" i="15"/>
  <c r="N154" i="15" s="1"/>
  <c r="N156" i="15" s="1"/>
  <c r="F29" i="5" s="1"/>
  <c r="M184" i="15"/>
  <c r="N184" i="15" s="1"/>
  <c r="N186" i="15" s="1"/>
  <c r="R29" i="5" s="1"/>
  <c r="M166" i="15"/>
  <c r="N166" i="15" s="1"/>
  <c r="N168" i="15" s="1"/>
  <c r="J29" i="5" s="1"/>
  <c r="C150" i="15"/>
  <c r="AA29" i="5" s="1"/>
  <c r="M196" i="15"/>
  <c r="N196" i="15" s="1"/>
  <c r="N198" i="15" s="1"/>
  <c r="X29" i="5" s="1"/>
  <c r="M181" i="15"/>
  <c r="N181" i="15" s="1"/>
  <c r="N183" i="15" s="1"/>
  <c r="P29" i="5" s="1"/>
  <c r="M160" i="15"/>
  <c r="N160" i="15" s="1"/>
  <c r="N162" i="15" s="1"/>
  <c r="H29" i="5" s="1"/>
  <c r="M193" i="15"/>
  <c r="N193" i="15" s="1"/>
  <c r="N195" i="15" s="1"/>
  <c r="V29" i="5" s="1"/>
  <c r="M178" i="15"/>
  <c r="N178" i="15" s="1"/>
  <c r="N180" i="15" s="1"/>
  <c r="N29" i="5" s="1"/>
  <c r="E172" i="18"/>
  <c r="F172" i="18" s="1"/>
  <c r="F174" i="18" s="1"/>
  <c r="E154" i="18"/>
  <c r="F154" i="18" s="1"/>
  <c r="F156" i="18" s="1"/>
  <c r="E184" i="18"/>
  <c r="F184" i="18" s="1"/>
  <c r="F186" i="18" s="1"/>
  <c r="E166" i="18"/>
  <c r="F166" i="18" s="1"/>
  <c r="F168" i="18" s="1"/>
  <c r="E193" i="18"/>
  <c r="F193" i="18" s="1"/>
  <c r="F195" i="18" s="1"/>
  <c r="C146" i="18"/>
  <c r="E196" i="18"/>
  <c r="F196" i="18" s="1"/>
  <c r="F198" i="18" s="1"/>
  <c r="E181" i="18"/>
  <c r="F181" i="18" s="1"/>
  <c r="F183" i="18" s="1"/>
  <c r="E160" i="18"/>
  <c r="F160" i="18" s="1"/>
  <c r="F162" i="18" s="1"/>
  <c r="E178" i="18"/>
  <c r="F178" i="18" s="1"/>
  <c r="F180" i="18" s="1"/>
  <c r="C189" i="7"/>
  <c r="D189" i="7" s="1"/>
  <c r="D191" i="7" s="1"/>
  <c r="H30" i="5"/>
  <c r="H25" i="5"/>
  <c r="H33" i="5"/>
  <c r="H26" i="5"/>
  <c r="H35" i="5"/>
  <c r="H27" i="5"/>
  <c r="R26" i="5"/>
  <c r="R35" i="5"/>
  <c r="R27" i="5"/>
  <c r="R30" i="5"/>
  <c r="R25" i="5"/>
  <c r="R33" i="5"/>
  <c r="C172" i="15"/>
  <c r="D172" i="15" s="1"/>
  <c r="D174" i="15" s="1"/>
  <c r="C178" i="15"/>
  <c r="D178" i="15" s="1"/>
  <c r="D180" i="15" s="1"/>
  <c r="C184" i="15"/>
  <c r="D184" i="15" s="1"/>
  <c r="D186" i="15" s="1"/>
  <c r="C166" i="15"/>
  <c r="D166" i="15" s="1"/>
  <c r="D168" i="15" s="1"/>
  <c r="C145" i="15"/>
  <c r="C196" i="15"/>
  <c r="D196" i="15" s="1"/>
  <c r="D198" i="15" s="1"/>
  <c r="C181" i="15"/>
  <c r="D181" i="15" s="1"/>
  <c r="D183" i="15" s="1"/>
  <c r="C160" i="15"/>
  <c r="D160" i="15" s="1"/>
  <c r="D162" i="15" s="1"/>
  <c r="C193" i="15"/>
  <c r="D193" i="15" s="1"/>
  <c r="D195" i="15" s="1"/>
  <c r="C154" i="15"/>
  <c r="D154" i="15" s="1"/>
  <c r="D156" i="15" s="1"/>
  <c r="E159" i="7"/>
  <c r="F159" i="7" s="1"/>
  <c r="F161" i="7" s="1"/>
  <c r="E186" i="7"/>
  <c r="F186" i="7" s="1"/>
  <c r="F188" i="7" s="1"/>
  <c r="E153" i="7"/>
  <c r="F153" i="7" s="1"/>
  <c r="F155" i="7" s="1"/>
  <c r="E165" i="7"/>
  <c r="F165" i="7" s="1"/>
  <c r="F167" i="7" s="1"/>
  <c r="E171" i="7"/>
  <c r="F171" i="7" s="1"/>
  <c r="F173" i="7" s="1"/>
  <c r="E177" i="7"/>
  <c r="F177" i="7" s="1"/>
  <c r="F179" i="7" s="1"/>
  <c r="C140" i="7"/>
  <c r="E147" i="7"/>
  <c r="F147" i="7" s="1"/>
  <c r="F149" i="7" s="1"/>
  <c r="E174" i="7"/>
  <c r="F174" i="7" s="1"/>
  <c r="F176" i="7" s="1"/>
  <c r="E189" i="7"/>
  <c r="F189" i="7" s="1"/>
  <c r="F191" i="7" s="1"/>
  <c r="V30" i="5"/>
  <c r="V25" i="5"/>
  <c r="V33" i="5"/>
  <c r="V26" i="5"/>
  <c r="V35" i="5"/>
  <c r="V27" i="5"/>
  <c r="L30" i="5"/>
  <c r="L25" i="5"/>
  <c r="L33" i="5"/>
  <c r="L26" i="5"/>
  <c r="L35" i="5"/>
  <c r="L27" i="5"/>
  <c r="K174" i="7"/>
  <c r="L174" i="7" s="1"/>
  <c r="L176" i="7" s="1"/>
  <c r="K147" i="7"/>
  <c r="L147" i="7" s="1"/>
  <c r="L149" i="7" s="1"/>
  <c r="K189" i="7"/>
  <c r="L189" i="7" s="1"/>
  <c r="L191" i="7" s="1"/>
  <c r="K171" i="7"/>
  <c r="L171" i="7" s="1"/>
  <c r="L173" i="7" s="1"/>
  <c r="K186" i="7"/>
  <c r="L186" i="7" s="1"/>
  <c r="L188" i="7" s="1"/>
  <c r="K165" i="7"/>
  <c r="L165" i="7" s="1"/>
  <c r="L167" i="7" s="1"/>
  <c r="K177" i="7"/>
  <c r="L177" i="7" s="1"/>
  <c r="L179" i="7" s="1"/>
  <c r="K159" i="7"/>
  <c r="L159" i="7" s="1"/>
  <c r="L161" i="7" s="1"/>
  <c r="K153" i="7"/>
  <c r="L153" i="7" s="1"/>
  <c r="L155" i="7" s="1"/>
  <c r="C143" i="7"/>
  <c r="P30" i="5"/>
  <c r="P25" i="5"/>
  <c r="P33" i="5"/>
  <c r="P26" i="5"/>
  <c r="P35" i="5"/>
  <c r="P27" i="5"/>
  <c r="AA30" i="5"/>
  <c r="AA25" i="5"/>
  <c r="AA33" i="5"/>
  <c r="AA27" i="5"/>
  <c r="AA26" i="5"/>
  <c r="AA35" i="5"/>
  <c r="C146" i="15"/>
  <c r="AA34" i="5" s="1"/>
  <c r="E196" i="15"/>
  <c r="F196" i="15" s="1"/>
  <c r="F198" i="15" s="1"/>
  <c r="X34" i="5" s="1"/>
  <c r="E181" i="15"/>
  <c r="F181" i="15" s="1"/>
  <c r="F183" i="15" s="1"/>
  <c r="P34" i="5" s="1"/>
  <c r="E160" i="15"/>
  <c r="F160" i="15" s="1"/>
  <c r="F162" i="15" s="1"/>
  <c r="H34" i="5" s="1"/>
  <c r="E184" i="15"/>
  <c r="F184" i="15" s="1"/>
  <c r="F186" i="15" s="1"/>
  <c r="R34" i="5" s="1"/>
  <c r="E166" i="15"/>
  <c r="F166" i="15" s="1"/>
  <c r="F168" i="15" s="1"/>
  <c r="J34" i="5" s="1"/>
  <c r="E193" i="15"/>
  <c r="F193" i="15" s="1"/>
  <c r="F195" i="15" s="1"/>
  <c r="V34" i="5" s="1"/>
  <c r="E178" i="15"/>
  <c r="F178" i="15" s="1"/>
  <c r="F180" i="15" s="1"/>
  <c r="N34" i="5" s="1"/>
  <c r="E154" i="15"/>
  <c r="F154" i="15" s="1"/>
  <c r="F156" i="15" s="1"/>
  <c r="F34" i="5" s="1"/>
  <c r="E172" i="15"/>
  <c r="F172" i="15" s="1"/>
  <c r="F174" i="15" s="1"/>
  <c r="L34" i="5" s="1"/>
  <c r="D106" i="15"/>
  <c r="D118" i="15" s="1"/>
  <c r="D136" i="15" s="1"/>
  <c r="D142" i="15" s="1"/>
  <c r="D98" i="15"/>
  <c r="D103" i="15"/>
  <c r="D117" i="15" s="1"/>
  <c r="D135" i="15" s="1"/>
  <c r="D141" i="15" s="1"/>
  <c r="D102" i="15"/>
  <c r="D108" i="15"/>
  <c r="C149" i="18"/>
  <c r="K196" i="18"/>
  <c r="L196" i="18" s="1"/>
  <c r="L198" i="18" s="1"/>
  <c r="K181" i="18"/>
  <c r="L181" i="18" s="1"/>
  <c r="L183" i="18" s="1"/>
  <c r="K160" i="18"/>
  <c r="L160" i="18" s="1"/>
  <c r="L162" i="18" s="1"/>
  <c r="K166" i="18"/>
  <c r="L166" i="18" s="1"/>
  <c r="L168" i="18" s="1"/>
  <c r="K193" i="18"/>
  <c r="L193" i="18" s="1"/>
  <c r="L195" i="18" s="1"/>
  <c r="K178" i="18"/>
  <c r="L178" i="18" s="1"/>
  <c r="L180" i="18" s="1"/>
  <c r="K154" i="18"/>
  <c r="L154" i="18" s="1"/>
  <c r="L156" i="18" s="1"/>
  <c r="K184" i="18"/>
  <c r="L184" i="18" s="1"/>
  <c r="L186" i="18" s="1"/>
  <c r="K172" i="18"/>
  <c r="L172" i="18" s="1"/>
  <c r="L174" i="18" s="1"/>
  <c r="F26" i="5"/>
  <c r="F35" i="5"/>
  <c r="F33" i="5"/>
  <c r="F27" i="5"/>
  <c r="F25" i="5"/>
  <c r="F30" i="5"/>
  <c r="X26" i="5"/>
  <c r="X35" i="5"/>
  <c r="X27" i="5"/>
  <c r="X30" i="5"/>
  <c r="X33" i="5"/>
  <c r="X25" i="5"/>
  <c r="N26" i="5"/>
  <c r="N35" i="5"/>
  <c r="N33" i="5"/>
  <c r="N27" i="5"/>
  <c r="N25" i="5"/>
  <c r="N30" i="5"/>
  <c r="M172" i="18"/>
  <c r="N172" i="18" s="1"/>
  <c r="N174" i="18" s="1"/>
  <c r="M154" i="18"/>
  <c r="N154" i="18" s="1"/>
  <c r="N156" i="18" s="1"/>
  <c r="C150" i="18"/>
  <c r="M184" i="18"/>
  <c r="N184" i="18" s="1"/>
  <c r="N186" i="18" s="1"/>
  <c r="M166" i="18"/>
  <c r="N166" i="18" s="1"/>
  <c r="N168" i="18" s="1"/>
  <c r="M178" i="18"/>
  <c r="N178" i="18" s="1"/>
  <c r="N180" i="18" s="1"/>
  <c r="M196" i="18"/>
  <c r="N196" i="18" s="1"/>
  <c r="N198" i="18" s="1"/>
  <c r="M181" i="18"/>
  <c r="N181" i="18" s="1"/>
  <c r="N183" i="18" s="1"/>
  <c r="M160" i="18"/>
  <c r="N160" i="18" s="1"/>
  <c r="N162" i="18" s="1"/>
  <c r="M193" i="18"/>
  <c r="N193" i="18" s="1"/>
  <c r="N195" i="18" s="1"/>
  <c r="G196" i="18"/>
  <c r="H196" i="18" s="1"/>
  <c r="H198" i="18" s="1"/>
  <c r="G181" i="18"/>
  <c r="H181" i="18" s="1"/>
  <c r="H183" i="18" s="1"/>
  <c r="G160" i="18"/>
  <c r="H160" i="18" s="1"/>
  <c r="H162" i="18" s="1"/>
  <c r="G184" i="18"/>
  <c r="H184" i="18" s="1"/>
  <c r="H186" i="18" s="1"/>
  <c r="G193" i="18"/>
  <c r="H193" i="18" s="1"/>
  <c r="H195" i="18" s="1"/>
  <c r="G178" i="18"/>
  <c r="H178" i="18" s="1"/>
  <c r="H180" i="18" s="1"/>
  <c r="G154" i="18"/>
  <c r="H154" i="18" s="1"/>
  <c r="H156" i="18" s="1"/>
  <c r="G172" i="18"/>
  <c r="H172" i="18" s="1"/>
  <c r="H174" i="18" s="1"/>
  <c r="C147" i="18"/>
  <c r="G166" i="18"/>
  <c r="H166" i="18" s="1"/>
  <c r="H168" i="18" s="1"/>
  <c r="C148" i="18"/>
  <c r="I172" i="18"/>
  <c r="J172" i="18" s="1"/>
  <c r="J174" i="18" s="1"/>
  <c r="I178" i="18"/>
  <c r="J178" i="18" s="1"/>
  <c r="J180" i="18" s="1"/>
  <c r="I184" i="18"/>
  <c r="J184" i="18" s="1"/>
  <c r="J186" i="18" s="1"/>
  <c r="I166" i="18"/>
  <c r="J166" i="18" s="1"/>
  <c r="J168" i="18" s="1"/>
  <c r="I193" i="18"/>
  <c r="J193" i="18" s="1"/>
  <c r="J195" i="18" s="1"/>
  <c r="I196" i="18"/>
  <c r="J196" i="18" s="1"/>
  <c r="J198" i="18" s="1"/>
  <c r="I181" i="18"/>
  <c r="J181" i="18" s="1"/>
  <c r="J183" i="18" s="1"/>
  <c r="I160" i="18"/>
  <c r="J160" i="18" s="1"/>
  <c r="J162" i="18" s="1"/>
  <c r="I154" i="18"/>
  <c r="J154" i="18" s="1"/>
  <c r="J156" i="18" s="1"/>
  <c r="C145" i="18"/>
  <c r="AA46" i="5" s="1"/>
  <c r="C196" i="18"/>
  <c r="D196" i="18" s="1"/>
  <c r="D198" i="18" s="1"/>
  <c r="X46" i="5" s="1"/>
  <c r="C181" i="18"/>
  <c r="D181" i="18" s="1"/>
  <c r="D183" i="18" s="1"/>
  <c r="P46" i="5" s="1"/>
  <c r="C160" i="18"/>
  <c r="D160" i="18" s="1"/>
  <c r="D162" i="18" s="1"/>
  <c r="H46" i="5" s="1"/>
  <c r="C166" i="18"/>
  <c r="D166" i="18" s="1"/>
  <c r="D168" i="18" s="1"/>
  <c r="J46" i="5" s="1"/>
  <c r="C193" i="18"/>
  <c r="D193" i="18" s="1"/>
  <c r="D195" i="18" s="1"/>
  <c r="V46" i="5" s="1"/>
  <c r="C178" i="18"/>
  <c r="D178" i="18" s="1"/>
  <c r="D180" i="18" s="1"/>
  <c r="N46" i="5" s="1"/>
  <c r="C154" i="18"/>
  <c r="D154" i="18" s="1"/>
  <c r="D156" i="18" s="1"/>
  <c r="F46" i="5" s="1"/>
  <c r="C172" i="18"/>
  <c r="D172" i="18" s="1"/>
  <c r="D174" i="18" s="1"/>
  <c r="L46" i="5" s="1"/>
  <c r="C184" i="18"/>
  <c r="D184" i="18" s="1"/>
  <c r="D186" i="18" s="1"/>
  <c r="R46" i="5" s="1"/>
  <c r="M17" i="17"/>
  <c r="C54" i="13"/>
  <c r="C23" i="13"/>
  <c r="C59" i="13"/>
  <c r="C58" i="13"/>
  <c r="C57" i="13"/>
  <c r="C55" i="13"/>
  <c r="C24" i="13"/>
  <c r="C127" i="13"/>
  <c r="C159" i="7" l="1"/>
  <c r="D159" i="7" s="1"/>
  <c r="D161" i="7" s="1"/>
  <c r="C165" i="7"/>
  <c r="D165" i="7" s="1"/>
  <c r="D167" i="7" s="1"/>
  <c r="C171" i="7"/>
  <c r="D171" i="7" s="1"/>
  <c r="D173" i="7" s="1"/>
  <c r="N18" i="5" s="1"/>
  <c r="Y36" i="5"/>
  <c r="C139" i="7"/>
  <c r="AA18" i="5" s="1"/>
  <c r="C186" i="7"/>
  <c r="D186" i="7" s="1"/>
  <c r="D188" i="7" s="1"/>
  <c r="C153" i="7"/>
  <c r="D153" i="7" s="1"/>
  <c r="D155" i="7" s="1"/>
  <c r="H15" i="5" s="1"/>
  <c r="C177" i="7"/>
  <c r="D177" i="7" s="1"/>
  <c r="D179" i="7" s="1"/>
  <c r="R14" i="5" s="1"/>
  <c r="C147" i="7"/>
  <c r="D147" i="7" s="1"/>
  <c r="D149" i="7" s="1"/>
  <c r="F14" i="5" s="1"/>
  <c r="I189" i="7"/>
  <c r="J189" i="7" s="1"/>
  <c r="J191" i="7" s="1"/>
  <c r="I165" i="7"/>
  <c r="J165" i="7" s="1"/>
  <c r="J167" i="7" s="1"/>
  <c r="C142" i="7"/>
  <c r="I171" i="7"/>
  <c r="J171" i="7" s="1"/>
  <c r="J173" i="7" s="1"/>
  <c r="I177" i="7"/>
  <c r="J177" i="7" s="1"/>
  <c r="J179" i="7" s="1"/>
  <c r="I174" i="7"/>
  <c r="J174" i="7" s="1"/>
  <c r="J176" i="7" s="1"/>
  <c r="I147" i="7"/>
  <c r="J147" i="7" s="1"/>
  <c r="J149" i="7" s="1"/>
  <c r="I159" i="7"/>
  <c r="J159" i="7" s="1"/>
  <c r="J161" i="7" s="1"/>
  <c r="I153" i="7"/>
  <c r="J153" i="7" s="1"/>
  <c r="J155" i="7" s="1"/>
  <c r="I186" i="7"/>
  <c r="J186" i="7" s="1"/>
  <c r="J188" i="7" s="1"/>
  <c r="G171" i="7"/>
  <c r="H171" i="7" s="1"/>
  <c r="H173" i="7" s="1"/>
  <c r="G153" i="7"/>
  <c r="H153" i="7" s="1"/>
  <c r="H155" i="7" s="1"/>
  <c r="C141" i="7"/>
  <c r="G189" i="7"/>
  <c r="H189" i="7" s="1"/>
  <c r="H191" i="7" s="1"/>
  <c r="G177" i="7"/>
  <c r="H177" i="7" s="1"/>
  <c r="H179" i="7" s="1"/>
  <c r="G186" i="7"/>
  <c r="H186" i="7" s="1"/>
  <c r="H188" i="7" s="1"/>
  <c r="G159" i="7"/>
  <c r="H159" i="7" s="1"/>
  <c r="H161" i="7" s="1"/>
  <c r="G174" i="7"/>
  <c r="H174" i="7" s="1"/>
  <c r="H176" i="7" s="1"/>
  <c r="G165" i="7"/>
  <c r="H165" i="7" s="1"/>
  <c r="H167" i="7" s="1"/>
  <c r="G147" i="7"/>
  <c r="H147" i="7" s="1"/>
  <c r="H149" i="7" s="1"/>
  <c r="H40" i="5"/>
  <c r="H44" i="5"/>
  <c r="L6" i="5"/>
  <c r="L20" i="5"/>
  <c r="L10" i="5"/>
  <c r="L21" i="5"/>
  <c r="L11" i="5"/>
  <c r="L22" i="5"/>
  <c r="L17" i="5"/>
  <c r="L23" i="5"/>
  <c r="J15" i="5"/>
  <c r="J18" i="5"/>
  <c r="J19" i="5"/>
  <c r="J14" i="5"/>
  <c r="P43" i="5"/>
  <c r="P39" i="5"/>
  <c r="P42" i="5"/>
  <c r="Y30" i="5"/>
  <c r="Y34" i="5"/>
  <c r="R7" i="5"/>
  <c r="R9" i="5"/>
  <c r="R12" i="5"/>
  <c r="R13" i="5"/>
  <c r="X7" i="5"/>
  <c r="X12" i="5"/>
  <c r="X9" i="5"/>
  <c r="X13" i="5"/>
  <c r="AA11" i="5"/>
  <c r="AA22" i="5"/>
  <c r="AA17" i="5"/>
  <c r="AA23" i="5"/>
  <c r="AA6" i="5"/>
  <c r="AA20" i="5"/>
  <c r="AA21" i="5"/>
  <c r="AA10" i="5"/>
  <c r="H10" i="5"/>
  <c r="H21" i="5"/>
  <c r="H11" i="5"/>
  <c r="H6" i="5"/>
  <c r="H17" i="5"/>
  <c r="H20" i="5"/>
  <c r="V32" i="5"/>
  <c r="V28" i="5"/>
  <c r="V31" i="5"/>
  <c r="AA31" i="5"/>
  <c r="AA32" i="5"/>
  <c r="AA28" i="5"/>
  <c r="L32" i="5"/>
  <c r="L28" i="5"/>
  <c r="L31" i="5"/>
  <c r="L19" i="5"/>
  <c r="L14" i="5"/>
  <c r="L15" i="5"/>
  <c r="L18" i="5"/>
  <c r="X15" i="5"/>
  <c r="X14" i="5"/>
  <c r="X18" i="5"/>
  <c r="X19" i="5"/>
  <c r="H38" i="5"/>
  <c r="H41" i="5"/>
  <c r="H45" i="5"/>
  <c r="V45" i="5"/>
  <c r="V38" i="5"/>
  <c r="V41" i="5"/>
  <c r="L45" i="5"/>
  <c r="L38" i="5"/>
  <c r="L41" i="5"/>
  <c r="H43" i="5"/>
  <c r="H42" i="5"/>
  <c r="H39" i="5"/>
  <c r="L40" i="5"/>
  <c r="L44" i="5"/>
  <c r="J13" i="5"/>
  <c r="J7" i="5"/>
  <c r="J12" i="5"/>
  <c r="J9" i="5"/>
  <c r="F28" i="5"/>
  <c r="F31" i="5"/>
  <c r="F32" i="5"/>
  <c r="N28" i="5"/>
  <c r="N31" i="5"/>
  <c r="N32" i="5"/>
  <c r="N15" i="5"/>
  <c r="Y29" i="5"/>
  <c r="N42" i="5"/>
  <c r="N39" i="5"/>
  <c r="N43" i="5"/>
  <c r="R44" i="5"/>
  <c r="R40" i="5"/>
  <c r="Y35" i="5"/>
  <c r="AA39" i="5"/>
  <c r="AA42" i="5"/>
  <c r="AA43" i="5"/>
  <c r="V42" i="5"/>
  <c r="V43" i="5"/>
  <c r="V39" i="5"/>
  <c r="X43" i="5"/>
  <c r="X42" i="5"/>
  <c r="X39" i="5"/>
  <c r="X40" i="5"/>
  <c r="X44" i="5"/>
  <c r="AA44" i="5"/>
  <c r="AB45" i="5"/>
  <c r="AA40" i="5"/>
  <c r="AB41" i="5"/>
  <c r="Y25" i="5"/>
  <c r="Y26" i="5"/>
  <c r="AA7" i="5"/>
  <c r="AA9" i="5"/>
  <c r="AA12" i="5"/>
  <c r="AA13" i="5"/>
  <c r="L12" i="5"/>
  <c r="L13" i="5"/>
  <c r="L7" i="5"/>
  <c r="L9" i="5"/>
  <c r="F9" i="5"/>
  <c r="F12" i="5"/>
  <c r="F13" i="5"/>
  <c r="F7" i="5"/>
  <c r="X10" i="5"/>
  <c r="X21" i="5"/>
  <c r="X20" i="5"/>
  <c r="X11" i="5"/>
  <c r="X22" i="5"/>
  <c r="X6" i="5"/>
  <c r="X17" i="5"/>
  <c r="X23" i="5"/>
  <c r="R10" i="5"/>
  <c r="R21" i="5"/>
  <c r="R6" i="5"/>
  <c r="R11" i="5"/>
  <c r="R22" i="5"/>
  <c r="R17" i="5"/>
  <c r="R23" i="5"/>
  <c r="R20" i="5"/>
  <c r="V10" i="5"/>
  <c r="V21" i="5"/>
  <c r="V11" i="5"/>
  <c r="V22" i="5"/>
  <c r="V20" i="5"/>
  <c r="V17" i="5"/>
  <c r="V23" i="5"/>
  <c r="V6" i="5"/>
  <c r="H28" i="5"/>
  <c r="H31" i="5"/>
  <c r="H32" i="5"/>
  <c r="J31" i="5"/>
  <c r="J32" i="5"/>
  <c r="J28" i="5"/>
  <c r="AA15" i="5"/>
  <c r="V15" i="5"/>
  <c r="V18" i="5"/>
  <c r="V19" i="5"/>
  <c r="V14" i="5"/>
  <c r="H14" i="5"/>
  <c r="P38" i="5"/>
  <c r="P41" i="5"/>
  <c r="P45" i="5"/>
  <c r="J41" i="5"/>
  <c r="J38" i="5"/>
  <c r="J45" i="5"/>
  <c r="F42" i="5"/>
  <c r="F43" i="5"/>
  <c r="F39" i="5"/>
  <c r="J44" i="5"/>
  <c r="J40" i="5"/>
  <c r="Y33" i="5"/>
  <c r="N7" i="5"/>
  <c r="N12" i="5"/>
  <c r="N13" i="5"/>
  <c r="N9" i="5"/>
  <c r="F17" i="5"/>
  <c r="F23" i="5"/>
  <c r="F11" i="5"/>
  <c r="F6" i="5"/>
  <c r="F20" i="5"/>
  <c r="F10" i="5"/>
  <c r="F21" i="5"/>
  <c r="F22" i="5"/>
  <c r="X28" i="5"/>
  <c r="X31" i="5"/>
  <c r="X32" i="5"/>
  <c r="N38" i="5"/>
  <c r="N45" i="5"/>
  <c r="N41" i="5"/>
  <c r="AA41" i="5"/>
  <c r="AA45" i="5"/>
  <c r="AA38" i="5"/>
  <c r="F38" i="5"/>
  <c r="F45" i="5"/>
  <c r="F41" i="5"/>
  <c r="J39" i="5"/>
  <c r="J42" i="5"/>
  <c r="J43" i="5"/>
  <c r="P40" i="5"/>
  <c r="P44" i="5"/>
  <c r="Y46" i="5"/>
  <c r="L39" i="5"/>
  <c r="L42" i="5"/>
  <c r="L43" i="5"/>
  <c r="R39" i="5"/>
  <c r="R43" i="5"/>
  <c r="R42" i="5"/>
  <c r="V44" i="5"/>
  <c r="V40" i="5"/>
  <c r="N44" i="5"/>
  <c r="N40" i="5"/>
  <c r="F44" i="5"/>
  <c r="F40" i="5"/>
  <c r="Y27" i="5"/>
  <c r="H9" i="5"/>
  <c r="H7" i="5"/>
  <c r="H12" i="5"/>
  <c r="H13" i="5"/>
  <c r="V7" i="5"/>
  <c r="V12" i="5"/>
  <c r="V13" i="5"/>
  <c r="V9" i="5"/>
  <c r="P7" i="5"/>
  <c r="P13" i="5"/>
  <c r="P9" i="5"/>
  <c r="P12" i="5"/>
  <c r="P10" i="5"/>
  <c r="P21" i="5"/>
  <c r="P11" i="5"/>
  <c r="P22" i="5"/>
  <c r="P6" i="5"/>
  <c r="P17" i="5"/>
  <c r="P23" i="5"/>
  <c r="P20" i="5"/>
  <c r="N10" i="5"/>
  <c r="N21" i="5"/>
  <c r="N6" i="5"/>
  <c r="N11" i="5"/>
  <c r="N22" i="5"/>
  <c r="N20" i="5"/>
  <c r="N17" i="5"/>
  <c r="N23" i="5"/>
  <c r="J10" i="5"/>
  <c r="J21" i="5"/>
  <c r="J20" i="5"/>
  <c r="J11" i="5"/>
  <c r="J22" i="5"/>
  <c r="J17" i="5"/>
  <c r="J23" i="5"/>
  <c r="J6" i="5"/>
  <c r="P28" i="5"/>
  <c r="P31" i="5"/>
  <c r="P32" i="5"/>
  <c r="R31" i="5"/>
  <c r="R32" i="5"/>
  <c r="R28" i="5"/>
  <c r="F18" i="5"/>
  <c r="P15" i="5"/>
  <c r="P14" i="5"/>
  <c r="P18" i="5"/>
  <c r="P19" i="5"/>
  <c r="X38" i="5"/>
  <c r="X41" i="5"/>
  <c r="X45" i="5"/>
  <c r="R41" i="5"/>
  <c r="R45" i="5"/>
  <c r="R38" i="5"/>
  <c r="C25" i="13"/>
  <c r="N14" i="5" l="1"/>
  <c r="N19" i="5"/>
  <c r="F19" i="5"/>
  <c r="AA19" i="5"/>
  <c r="F15" i="5"/>
  <c r="AA14" i="5"/>
  <c r="H18" i="5"/>
  <c r="AA37" i="5"/>
  <c r="R18" i="5"/>
  <c r="R19" i="5"/>
  <c r="H19" i="5"/>
  <c r="R15" i="5"/>
  <c r="Y31" i="5"/>
  <c r="F8" i="5"/>
  <c r="F16" i="5"/>
  <c r="V8" i="5"/>
  <c r="V16" i="5"/>
  <c r="H16" i="5"/>
  <c r="H22" i="5"/>
  <c r="Y22" i="5" s="1"/>
  <c r="H23" i="5"/>
  <c r="Y23" i="5" s="1"/>
  <c r="H8" i="5"/>
  <c r="Y20" i="5"/>
  <c r="Y17" i="5"/>
  <c r="Y39" i="5"/>
  <c r="Y13" i="5"/>
  <c r="L16" i="5"/>
  <c r="L8" i="5"/>
  <c r="R8" i="5"/>
  <c r="R16" i="5"/>
  <c r="N8" i="5"/>
  <c r="N16" i="5"/>
  <c r="Y14" i="5"/>
  <c r="Y41" i="5"/>
  <c r="P16" i="5"/>
  <c r="P8" i="5"/>
  <c r="X8" i="5"/>
  <c r="X16" i="5"/>
  <c r="Y21" i="5"/>
  <c r="H37" i="5"/>
  <c r="J8" i="5"/>
  <c r="J16" i="5"/>
  <c r="AA8" i="5"/>
  <c r="AA16" i="5"/>
  <c r="Y45" i="5"/>
  <c r="Y6" i="5"/>
  <c r="Y43" i="5"/>
  <c r="Y12" i="5"/>
  <c r="Y28" i="5"/>
  <c r="Y40" i="5"/>
  <c r="Y38" i="5"/>
  <c r="Y11" i="5"/>
  <c r="Y42" i="5"/>
  <c r="Y9" i="5"/>
  <c r="AB48" i="5"/>
  <c r="AB50" i="5" s="1"/>
  <c r="G11" i="20" s="1"/>
  <c r="H11" i="20" s="1"/>
  <c r="Y44" i="5"/>
  <c r="Y10" i="5"/>
  <c r="Y7" i="5"/>
  <c r="Y32" i="5"/>
  <c r="C46" i="13"/>
  <c r="C35" i="13"/>
  <c r="C56" i="13" s="1"/>
  <c r="C60" i="13" s="1"/>
  <c r="C129" i="13" s="1"/>
  <c r="C28" i="13"/>
  <c r="C34" i="13"/>
  <c r="C33" i="13"/>
  <c r="C32" i="13"/>
  <c r="C31" i="13"/>
  <c r="C30" i="13"/>
  <c r="C29" i="13"/>
  <c r="AA24" i="5" l="1"/>
  <c r="AB81" i="5" s="1"/>
  <c r="Y19" i="5"/>
  <c r="Y18" i="5"/>
  <c r="Y15" i="5"/>
  <c r="Y16" i="5"/>
  <c r="Y37" i="5"/>
  <c r="Y8" i="5"/>
  <c r="C36" i="13"/>
  <c r="Y24" i="5" l="1"/>
  <c r="Z81" i="5" s="1"/>
  <c r="AD83" i="5" s="1"/>
  <c r="AD84" i="5" s="1"/>
  <c r="C74" i="13"/>
  <c r="C79" i="13" s="1"/>
  <c r="C47" i="13"/>
  <c r="C49" i="13" s="1"/>
  <c r="C64" i="13" l="1"/>
  <c r="C128" i="13"/>
  <c r="C67" i="13"/>
  <c r="C66" i="13"/>
  <c r="C65" i="13"/>
  <c r="C69" i="13" l="1"/>
  <c r="C77" i="13" s="1"/>
  <c r="C80" i="13" s="1"/>
  <c r="C130" i="13" l="1"/>
  <c r="C132" i="13" s="1"/>
  <c r="C95" i="13"/>
  <c r="C96" i="13" l="1"/>
  <c r="C97" i="13" l="1"/>
  <c r="C115" i="13" s="1"/>
  <c r="C133" i="13" s="1"/>
  <c r="C139" i="13" s="1"/>
  <c r="C145" i="13" s="1"/>
  <c r="C100" i="13"/>
  <c r="C116" i="13" s="1"/>
  <c r="C134" i="13" s="1"/>
  <c r="C140" i="13" s="1"/>
  <c r="C146" i="13" s="1"/>
  <c r="C103" i="13"/>
  <c r="C117" i="13" s="1"/>
  <c r="C135" i="13" s="1"/>
  <c r="C141" i="13" s="1"/>
  <c r="C106" i="13"/>
  <c r="C118" i="13" s="1"/>
  <c r="C136" i="13" s="1"/>
  <c r="C142" i="13" s="1"/>
  <c r="C148" i="13" s="1"/>
  <c r="C109" i="13"/>
  <c r="C119" i="13" s="1"/>
  <c r="C137" i="13" s="1"/>
  <c r="C143" i="13" s="1"/>
  <c r="C149" i="13" s="1"/>
  <c r="C112" i="13"/>
  <c r="C120" i="13" s="1"/>
  <c r="C138" i="13" s="1"/>
  <c r="C144" i="13" s="1"/>
  <c r="C150" i="13" s="1"/>
  <c r="C114" i="13"/>
  <c r="C113" i="13"/>
  <c r="C111" i="13"/>
  <c r="C110" i="13"/>
  <c r="C108" i="13"/>
  <c r="C107" i="13"/>
  <c r="C105" i="13"/>
  <c r="C104" i="13"/>
  <c r="C102" i="13"/>
  <c r="C101" i="13"/>
  <c r="C99" i="13"/>
  <c r="C98" i="13"/>
  <c r="F154" i="13" l="1"/>
  <c r="G154" i="13" s="1"/>
  <c r="G156" i="13" s="1"/>
  <c r="F47" i="5" s="1"/>
  <c r="C147" i="13"/>
  <c r="AA47" i="5" s="1"/>
  <c r="AA48" i="5" s="1"/>
  <c r="AA50" i="5" s="1"/>
  <c r="G10" i="20" s="1"/>
  <c r="H10" i="20" s="1"/>
  <c r="F160" i="13"/>
  <c r="G160" i="13" s="1"/>
  <c r="G162" i="13" s="1"/>
  <c r="H47" i="5" s="1"/>
  <c r="H48" i="5" s="1"/>
  <c r="F196" i="13"/>
  <c r="G196" i="13" s="1"/>
  <c r="G198" i="13" s="1"/>
  <c r="X47" i="5" s="1"/>
  <c r="F193" i="13"/>
  <c r="G193" i="13" s="1"/>
  <c r="G195" i="13" s="1"/>
  <c r="V47" i="5" s="1"/>
  <c r="F184" i="13"/>
  <c r="G184" i="13" s="1"/>
  <c r="G186" i="13" s="1"/>
  <c r="R47" i="5" s="1"/>
  <c r="F181" i="13"/>
  <c r="G181" i="13" s="1"/>
  <c r="G183" i="13" s="1"/>
  <c r="P47" i="5" s="1"/>
  <c r="F178" i="13"/>
  <c r="G178" i="13" s="1"/>
  <c r="G180" i="13" s="1"/>
  <c r="N47" i="5" s="1"/>
  <c r="F172" i="13"/>
  <c r="G172" i="13" s="1"/>
  <c r="G174" i="13" s="1"/>
  <c r="L47" i="5" s="1"/>
  <c r="F166" i="13"/>
  <c r="G166" i="13" s="1"/>
  <c r="G168" i="13" s="1"/>
  <c r="J47" i="5" s="1"/>
  <c r="Y47" i="5" l="1"/>
  <c r="Y48" i="5" s="1"/>
  <c r="Y50" i="5" s="1"/>
  <c r="G8" i="20" s="1"/>
  <c r="G13" i="20" l="1"/>
  <c r="H8" i="20"/>
  <c r="H13" i="20" s="1"/>
  <c r="AC52" i="5"/>
  <c r="AC53" i="5" s="1"/>
</calcChain>
</file>

<file path=xl/sharedStrings.xml><?xml version="1.0" encoding="utf-8"?>
<sst xmlns="http://schemas.openxmlformats.org/spreadsheetml/2006/main" count="2731" uniqueCount="666">
  <si>
    <t>MEMÓRIA DE CÁLCULO</t>
  </si>
  <si>
    <t>Premissas Utilizadas</t>
  </si>
  <si>
    <t>Quantidade média de dias úteis no mês</t>
  </si>
  <si>
    <t>Quantidade de dias no mês</t>
  </si>
  <si>
    <t>Módulo 1</t>
  </si>
  <si>
    <t>Salário Normativo</t>
  </si>
  <si>
    <t>CCT</t>
  </si>
  <si>
    <t>Data Base</t>
  </si>
  <si>
    <t>CBO</t>
  </si>
  <si>
    <t>SC000316/2022</t>
  </si>
  <si>
    <t>5143-20</t>
  </si>
  <si>
    <t>Carga horária semanal</t>
  </si>
  <si>
    <t>Salário Base (Cl. 3ª 01)</t>
  </si>
  <si>
    <t>Encarregado de 16 a 35 empregados</t>
  </si>
  <si>
    <t>+ 20% insalubridade</t>
  </si>
  <si>
    <t>Encarregado de 36 a 100 empregados (Cl. 3º CCT)</t>
  </si>
  <si>
    <t>Adicional de risco limpeza de vidros e fachadas de risco ( Cl.3º)</t>
  </si>
  <si>
    <t>+ 30% de periculosidade</t>
  </si>
  <si>
    <t xml:space="preserve">Valor da diária do carregador </t>
  </si>
  <si>
    <t>Valor baseado em Pesquisa de Preços anexa ao Processo</t>
  </si>
  <si>
    <t>módulo 2</t>
  </si>
  <si>
    <t>Módulo 2.3</t>
  </si>
  <si>
    <t>custo empregado</t>
  </si>
  <si>
    <t>custo da empresa</t>
  </si>
  <si>
    <t>Auxílio alimentação 44h  ( Cl.12ª)</t>
  </si>
  <si>
    <t>Auxílio alimentação 44h  ( Cl.13ª)</t>
  </si>
  <si>
    <t>Auxílio alimentação 30h  ( Cl.12ª)</t>
  </si>
  <si>
    <t>Auxílio alimentação 30h  ( Cl.13ª)</t>
  </si>
  <si>
    <t>Auxílio transporte  ( Cl.14ª)</t>
  </si>
  <si>
    <t>Prêmio Assiduidade  ( Cl.11º)</t>
  </si>
  <si>
    <t>Prêmio Assiduidade  ( Cl.)</t>
  </si>
  <si>
    <t>Assistência ao Trabalhador  ( Cl.16º)</t>
  </si>
  <si>
    <t>Assistência ao Trabalhador  ( Cl.)</t>
  </si>
  <si>
    <t>Ajuda de Custo  limpeza de vidros e fachadas de risco  ( Cl.12º)</t>
  </si>
  <si>
    <t>Benefício assistência médica  ( Cl.15ª)</t>
  </si>
  <si>
    <t>Benefício social familiar  ( Cl.16ª)</t>
  </si>
  <si>
    <t>Módulo 3</t>
  </si>
  <si>
    <t>3.1 -A - Aviso Prévio Indenizado:  Fórmula do Percentual: 1/12 x 5% = 0,42%; Fórmula: Total da Remuneração x 0,42%</t>
  </si>
  <si>
    <t>→ Proporção estimada dos empregados demitidos com Aviso Prévio Indenizado, no primeiro período de 12 meses, durante a vigência do contrato: 5%.</t>
  </si>
  <si>
    <t>C - Multa do FGTS sobre Aviso Prévio Indenizado -</t>
  </si>
  <si>
    <t>(Considerando que a multa do FGTS  incide uma única vez sobre a totalidade dos meses de contrato, independentemente da espécie de Aviso Prévio  - trabalhado ou indenizado -,  zeramos essa rubrica e aportamos na sua totalidade na alínea “f” deste mesmo módulo.)</t>
  </si>
  <si>
    <t>D - Aviso Prévio Trabalhado: Fórmula do Percentual: 1 / 30 dias x 7 dias / 12 meses = 1,94%; Fórmula: Total da Remuneração x 1,</t>
  </si>
  <si>
    <t>→ Foi considerado que 100% dos empregados seriam demitidos com Aviso Prévio Trabalhado ao final do contrato.</t>
  </si>
  <si>
    <t>(Esta parcela e seus reflexos  deverão ser reduzidos após o primeiro ano da contratação para o percentual máximo de 0,194% e, 0,072%, respectivamente: Acórdão 1.186/2017-P).</t>
  </si>
  <si>
    <t>OBS: Nas prorrogações deverá constar da planilha de custos somente a previsão da extensão do aviso prévio, consoante disposto na Lei nº 12.506/2011, de 03 dias a mais por ano trabalhado, até o limite máximo de 42 dias, haja vista que os contratos poderão ser prorrogados até 60 meses.</t>
  </si>
  <si>
    <t>F - Multa FGTS e contribuição social - Fórmula do Percentual: Alíquota do FGTS (8%) x Multa do FGTS (40%) x 90% x (1 + 1/12 + 1/12 + 1/3 x 1/12) = 3,44% ; Fórmula: (Total da Remuneração) x 3,44%</t>
  </si>
  <si>
    <t>→ Foi considerado que 10% dos empregados pedem as contas.</t>
  </si>
  <si>
    <t>Módulo 4</t>
  </si>
  <si>
    <t>4.1 - Substituto nas Ausências Legais</t>
  </si>
  <si>
    <t>A - Substituto na cobertura de Férias</t>
  </si>
  <si>
    <t>Provisão para as despesas com o pagamento do substituto do empregado residente, quando este se ausentar em razões de suas férias - Fórmula do Percentual: 1/12 = 8,33% ; Fórmula: (MÓDULO 1 + 2 + 3) x 8,33%</t>
  </si>
  <si>
    <t>B – Subs. cobertura de Ausências Legais</t>
  </si>
  <si>
    <t>Provisão para cobertura das despesas eventuais com outras faltas legais (justificadas ou abonadas por lei) - Fórmula do Percentual: Média de ausências por ano * (4,874) / dias do mês (30) / doze meses = 1,3538%;    Fórmula: (MÓDULO 1 + 2 + 3) x 1,3538%</t>
  </si>
  <si>
    <t>Ausência justificada</t>
  </si>
  <si>
    <t>Afastamento por doença</t>
  </si>
  <si>
    <t>* Fonte: Caderno técnico de Limpeza 2019 - Paraná - SEGES/ME</t>
  </si>
  <si>
    <t>Consulta médica filho</t>
  </si>
  <si>
    <t>Óbitos na família</t>
  </si>
  <si>
    <t>Casamento</t>
  </si>
  <si>
    <t>Doação de sangue</t>
  </si>
  <si>
    <t>Testemunho</t>
  </si>
  <si>
    <t>Consulta pré-natal</t>
  </si>
  <si>
    <t>TOTAL</t>
  </si>
  <si>
    <t>C - Subst. cobertura de Licença Parternidade</t>
  </si>
  <si>
    <t>Fórmula do Percentual: 5 dias de licença (5 / 30) / 12 meses x percentual estatístico* x percentual de empregados do sexo masculino** ;    Fórmula: (MÓDULO 1 + 2 + 3) x 0,02%</t>
  </si>
  <si>
    <t xml:space="preserve">*Expectativa anual de nascimento de filhos dos trabalhadores (IBGE – Manual de Preenchimento da Planilha de Custos): </t>
  </si>
  <si>
    <t>**Percentual de Homens: Limpeza 51,67%</t>
  </si>
  <si>
    <t>D - Subst.  cobertura de Ausências por acidente de trabalho</t>
  </si>
  <si>
    <t>Lei  8.213/91 obriga o empregador a assumir o ônus financeiro pelo prazo de 15 dias, no caso de acidente de trabalho previsto no art. 131 da CLT. Fórmula do Percentual: 0,9659 * dias / 30 dias do mês / 12 meses = 0,2681% ; Fórmula: (MÓDULO 1 + 2 + 3) x 0,2681%</t>
  </si>
  <si>
    <t>* Média de faltas anuais por acidente de trabalho( dias)</t>
  </si>
  <si>
    <t>4.3 - Afastamento Maternidade</t>
  </si>
  <si>
    <t>A - Afastamento Maternidade</t>
  </si>
  <si>
    <t>Fórmula do Percentual: (Dias licença: 120 / Dias no mês: 30 ) x Percentual de Mulheres* x Expectativa mensal de Afastamento Maternidade**;  Fórmula: (13° Salário + Férias + Adicional Férias + Submódulo 2.2 + Benefícios Mensais excluídos vale transporte e vale refeição) x Percentual Encontrado</t>
  </si>
  <si>
    <t xml:space="preserve">*Percentual de Mulheres Limpeza </t>
  </si>
  <si>
    <t>**Expectativa mensal Afastamento Maternidade (Censo IBGE)</t>
  </si>
  <si>
    <t>Módulo 6</t>
  </si>
  <si>
    <t>A - Custos Indiretos</t>
  </si>
  <si>
    <t>B - Lucro</t>
  </si>
  <si>
    <t>Vale Transporte e ISS</t>
  </si>
  <si>
    <t>Unidade Orgânica GEX Florianópolis</t>
  </si>
  <si>
    <t>ISS</t>
  </si>
  <si>
    <t>VT</t>
  </si>
  <si>
    <t>Serventes</t>
  </si>
  <si>
    <t>VT*Servente</t>
  </si>
  <si>
    <t>Unidade Orgânica GEX Blumenau</t>
  </si>
  <si>
    <t>Unidade Orgânica</t>
  </si>
  <si>
    <t>GERÊNCIA EXECUTIVA FLORIANÓPOLIS</t>
  </si>
  <si>
    <t>GERÊNCIA EXECUTIVA BLUMENAU</t>
  </si>
  <si>
    <t>GERÊNCIA EXECUTIVA JOINVILLE</t>
  </si>
  <si>
    <t>APS ALFREDO WAGNER</t>
  </si>
  <si>
    <t>CEDOC Prev</t>
  </si>
  <si>
    <t>APS CANOINHAS</t>
  </si>
  <si>
    <t>APS BIGUAÇÚ</t>
  </si>
  <si>
    <t>APS BLUMENAU</t>
  </si>
  <si>
    <t>APS JARAGUÁ DO SUL</t>
  </si>
  <si>
    <t>APS CURITIBANOS</t>
  </si>
  <si>
    <t>APS BRUSQUE</t>
  </si>
  <si>
    <t>APS JOINVILLE - CENTRO</t>
  </si>
  <si>
    <t>APS FLORIANÓPOLIS - CENTRO</t>
  </si>
  <si>
    <t>APS IBIRAMA</t>
  </si>
  <si>
    <t>APS MAFRA</t>
  </si>
  <si>
    <t>APS FLORIANÓPOLIS - CONTINENTE</t>
  </si>
  <si>
    <t>APS INDAIAL</t>
  </si>
  <si>
    <t>APS SÃO BENTO DO SUL</t>
  </si>
  <si>
    <t>APS IMBITUBA</t>
  </si>
  <si>
    <t>APS ITAJAÍ</t>
  </si>
  <si>
    <t>APS SÃO FRANCISCO DO SUL</t>
  </si>
  <si>
    <t>APS ITAPEMA</t>
  </si>
  <si>
    <t>APS RIO DO SUL</t>
  </si>
  <si>
    <t>PRÉDIO JOINVILLE - GUANABARA (DEPÓSITO/ARQUIVO)</t>
  </si>
  <si>
    <t>APS LAGES</t>
  </si>
  <si>
    <t>APS TIMBÓ</t>
  </si>
  <si>
    <t>APS GUARAMIRIM</t>
  </si>
  <si>
    <t>APS PALHOÇA</t>
  </si>
  <si>
    <t>APS BALNEÁRIO DE CAMBORIÚ</t>
  </si>
  <si>
    <t>APS RIO NEGRO/PR</t>
  </si>
  <si>
    <t>APS SÃO JOAQUIM</t>
  </si>
  <si>
    <t>APS PENHA</t>
  </si>
  <si>
    <t>Média Simples VT</t>
  </si>
  <si>
    <t>APS SÃO JOSÉ</t>
  </si>
  <si>
    <t>APS POMERODE</t>
  </si>
  <si>
    <t>Média Ponderada VT</t>
  </si>
  <si>
    <t>APS TIJUCAS</t>
  </si>
  <si>
    <t>Arquivo Palhoça</t>
  </si>
  <si>
    <t>GALPÕES MAURO RAMOS</t>
  </si>
  <si>
    <t>SALAS COMERCIAIS NO EDIFÍCIO EMEDAUX</t>
  </si>
  <si>
    <t>APS BI - Perícias</t>
  </si>
  <si>
    <t>SUPERINTENDÊNCIA – SRIII</t>
  </si>
  <si>
    <t>MATERIAIS</t>
  </si>
  <si>
    <t>Formalização da pesquisa de preços</t>
  </si>
  <si>
    <t>DISCRIMINAÇÃO</t>
  </si>
  <si>
    <t>UNIDADE</t>
  </si>
  <si>
    <t>QUANTIDADE DEFINIDA POR SERVENTE</t>
  </si>
  <si>
    <t>PREÇO MEDIO – PAINEL DE PREÇOS (R$)</t>
  </si>
  <si>
    <t>PREÇO MÉDIO - INTERNET (R$)</t>
  </si>
  <si>
    <t>CUSTO MÉDIO (R$)</t>
  </si>
  <si>
    <t>CUSTO MENSAL MATERIAIS POR SERVENTE</t>
  </si>
  <si>
    <t>USO(*)</t>
  </si>
  <si>
    <t>Art. 3º A pesquisa de preços será materializada em documento que conterá, no mínimo:</t>
  </si>
  <si>
    <t>Ácido Muriático</t>
  </si>
  <si>
    <t>litro</t>
  </si>
  <si>
    <t>VII</t>
  </si>
  <si>
    <t>I - identificação do agente responsável pela cotação;</t>
  </si>
  <si>
    <t>Agua Sanitária</t>
  </si>
  <si>
    <t>II,III</t>
  </si>
  <si>
    <t>II - caracterização das fontes consultadas;</t>
  </si>
  <si>
    <t>Álcool Gel 70%</t>
  </si>
  <si>
    <t>500 ml</t>
  </si>
  <si>
    <t>IX</t>
  </si>
  <si>
    <t>III - série de preços coletados;</t>
  </si>
  <si>
    <t>Álcool Liquido 70%</t>
  </si>
  <si>
    <t>V - justificativas para a metodologia utilizada, em especial para a desconsideração de valores inexequíveis, inconsistentes e excessivamente elevados, se aplicável.</t>
  </si>
  <si>
    <t>Cera Líquida</t>
  </si>
  <si>
    <t>5 litros</t>
  </si>
  <si>
    <t>I, X</t>
  </si>
  <si>
    <t>Desinfetante de uso geral/banheiro</t>
  </si>
  <si>
    <t>II, X</t>
  </si>
  <si>
    <t>Desincrustante limpeza pesada piso</t>
  </si>
  <si>
    <t>I, II, VII</t>
  </si>
  <si>
    <t>Detergente liquido neutro</t>
  </si>
  <si>
    <t>X</t>
  </si>
  <si>
    <t>Detergente para Louça</t>
  </si>
  <si>
    <t>II</t>
  </si>
  <si>
    <t>Estopa 500g</t>
  </si>
  <si>
    <t>Unidade</t>
  </si>
  <si>
    <t>I, II, X</t>
  </si>
  <si>
    <t>Fibra de limpeza pesada, 230mmx150mm</t>
  </si>
  <si>
    <t>I</t>
  </si>
  <si>
    <t>Esponja dupla face, 110mmx75mmx20mm</t>
  </si>
  <si>
    <t>Flanela de algodão 40cm x 60cm</t>
  </si>
  <si>
    <t>II,, III, XI,X</t>
  </si>
  <si>
    <t>Inseticida aerosol 300ml</t>
  </si>
  <si>
    <t>I, II,X</t>
  </si>
  <si>
    <t>Lã de aço fina uso doméstico</t>
  </si>
  <si>
    <t>PC  8UN</t>
  </si>
  <si>
    <t>Limpa-metais (polidor)</t>
  </si>
  <si>
    <t>VI</t>
  </si>
  <si>
    <t>Limpa Vidro líquido</t>
  </si>
  <si>
    <t>500ml</t>
  </si>
  <si>
    <t>IV</t>
  </si>
  <si>
    <t>Limpador Multiuso (Veja ou similar)</t>
  </si>
  <si>
    <t>Lustra Móveis líquido</t>
  </si>
  <si>
    <t>100 ml</t>
  </si>
  <si>
    <t>Luva borracha para limpeza (tamanho p/m/g)</t>
  </si>
  <si>
    <t>Par</t>
  </si>
  <si>
    <t>Odorizador de ambiente spray 360ml</t>
  </si>
  <si>
    <t>Pano para limpeza algodão alvejado 70 x 45 cm ( 120g)</t>
  </si>
  <si>
    <t>Papel higiênico 1ª qual,  branca, fl. dupla 30m x 10cm ( farto 64un)</t>
  </si>
  <si>
    <t>Fardo 64un</t>
  </si>
  <si>
    <t>Papel Higiênico Rolão com 300 metros x 10 cm (BRANCO, MACIO)</t>
  </si>
  <si>
    <t>Rolão ( fardo 8un)</t>
  </si>
  <si>
    <t>Papel Toalha interfolhada, cor branca, 21cmx22cm PC com 1000 fls</t>
  </si>
  <si>
    <t>Pacote</t>
  </si>
  <si>
    <t>Pastilha Sanitária com suporte</t>
  </si>
  <si>
    <t>pacote 25g</t>
  </si>
  <si>
    <t>Sabão em líquido neutro litros</t>
  </si>
  <si>
    <t>Sabão em Barra neutro 200g</t>
  </si>
  <si>
    <t>Sabão em pó</t>
  </si>
  <si>
    <t>Kg</t>
  </si>
  <si>
    <t>Sabonete Líquido neutro, 1ª qualidade</t>
  </si>
  <si>
    <t>Sapólio cremoso 300ml</t>
  </si>
  <si>
    <t>II,X</t>
  </si>
  <si>
    <t>Saco para Lixo reforçado 40L</t>
  </si>
  <si>
    <t>pcte 100 un</t>
  </si>
  <si>
    <t>I,II,V</t>
  </si>
  <si>
    <t>Saco para Lixo reforçado 60L</t>
  </si>
  <si>
    <t>Saco para Lixo reforçado 100L</t>
  </si>
  <si>
    <t>UTENSÍLIOS</t>
  </si>
  <si>
    <t>QUANTIDADE DEFINIDA POR SERVENTE (ANUAL)</t>
  </si>
  <si>
    <t>CUSTO MENSAL UTENSÍLIOS POR SERVENTE</t>
  </si>
  <si>
    <t>Balde de Plástico 10L a 20L</t>
  </si>
  <si>
    <t>Desentupidor de Pia</t>
  </si>
  <si>
    <t>Desentupidor de Vaso Sanitário</t>
  </si>
  <si>
    <t>Disco Para Enceradeira</t>
  </si>
  <si>
    <t>Escova sanitária com suporte</t>
  </si>
  <si>
    <t>Escova para Enceradeira</t>
  </si>
  <si>
    <t>Escova de Nylon para tangue</t>
  </si>
  <si>
    <t>Espanador de pó, penas, cabo 40 a 60 cm</t>
  </si>
  <si>
    <t>Mop Seco</t>
  </si>
  <si>
    <t>Mop Úmido</t>
  </si>
  <si>
    <t>Mop Úmido Refil</t>
  </si>
  <si>
    <t>Pá plastido p/ coleta de lixo,  cabo longo 80 cm</t>
  </si>
  <si>
    <t>Rodo espuma com cabo comprido, 40 a 60 cm</t>
  </si>
  <si>
    <t>Rodo borracha dupla, cabo comprido, 40 a 60 cm</t>
  </si>
  <si>
    <t>Saco descartável para aspirador de pó</t>
  </si>
  <si>
    <t>PACOTE COM 3UN</t>
  </si>
  <si>
    <t>Suporte limpa tudo, c/ rosca, articulado,  cabo</t>
  </si>
  <si>
    <t>I,II,V,X</t>
  </si>
  <si>
    <t>Vassoura de Gari</t>
  </si>
  <si>
    <t>I,X</t>
  </si>
  <si>
    <t>Vassoura de Nylon</t>
  </si>
  <si>
    <t>I,IIV,VII,X</t>
  </si>
  <si>
    <t>Vassoura de palha</t>
  </si>
  <si>
    <t>CUSTO UTENSÍLIO MENSAL POR SERVENTE</t>
  </si>
  <si>
    <t>CUSTO TOTAL DE MATERIAIS + UTENSÍLIOS POR SERVENTE</t>
  </si>
  <si>
    <t>MATERIAIS/UTENSÍLIOS PARA ÁREA SANITIZAÇÃO</t>
  </si>
  <si>
    <t>QUANTIDADE DEFINIDA POR SERVENTE (MENSAL)</t>
  </si>
  <si>
    <t>PREÇO MÉDIO – PAINEL DE PREÇOS (R$)</t>
  </si>
  <si>
    <t>CUSTO MENSAL MATERIAIS (R$)</t>
  </si>
  <si>
    <t>Álcool isopropílico</t>
  </si>
  <si>
    <t>III</t>
  </si>
  <si>
    <t>XI</t>
  </si>
  <si>
    <t>Saco para Lixo Leitoso reforçado 100L</t>
  </si>
  <si>
    <t>V</t>
  </si>
  <si>
    <t>QUANTIDADE DEFINIDA (anual)</t>
  </si>
  <si>
    <t>CUSTO MENSAL MATERIAIS (R$) - GEX Ponta Grossa</t>
  </si>
  <si>
    <t>Borrifador 350ml de Álcool de 350ml a 500 ml</t>
  </si>
  <si>
    <t>VALOR POR servente COVID</t>
  </si>
  <si>
    <t>As áreas destinadas ao consumo dos produtos solicitados estão assim distribuídas:</t>
  </si>
  <si>
    <t>I. Para uso em áreas de circulação</t>
  </si>
  <si>
    <t>II. Para uso em banheiros e cozinha</t>
  </si>
  <si>
    <t>III. Para uso nos protetores de acrílicos</t>
  </si>
  <si>
    <t>IV. Para uso em áreas envidraçadas e tampos de mesa</t>
  </si>
  <si>
    <t>V. Para uso nas salas</t>
  </si>
  <si>
    <t>VI. Para brilho em superfícies de Inox</t>
  </si>
  <si>
    <t>VII. Para limpeza de pisos e paredes de pedra</t>
  </si>
  <si>
    <t>VIII. Para limpeza dos microcomputadores</t>
  </si>
  <si>
    <t>XI. Higienização e desinfecção das mãos e superfícies de mobiliários e equipamentos,</t>
  </si>
  <si>
    <t>X. Diversos</t>
  </si>
  <si>
    <t>EQUIPAMENTOS</t>
  </si>
  <si>
    <t>QUANTIDADE DEFINIDA (1 por Unidade) GEXFLO</t>
  </si>
  <si>
    <t>QUANTIDADE DEFINIDA (1 por Unidade) GEXBLU</t>
  </si>
  <si>
    <t>QUANTIDADE DEFINIDA (1 por Unidade) GEXJVL</t>
  </si>
  <si>
    <t>CUSTO MENSAL EQUIPAMENTOS (R$) - GEXFLO</t>
  </si>
  <si>
    <t>CUSTO MENSAL EQUIPAMENTOS (R$) - GEXCRI</t>
  </si>
  <si>
    <t>CUSTO MENSAL EQUIPAMENTOS (R$) - GEXJVL</t>
  </si>
  <si>
    <t>Aspirador de Pó</t>
  </si>
  <si>
    <t>Cabo Extensor para Limpeza (5 metros)</t>
  </si>
  <si>
    <t>Carro funcional c/ bolsa, metal/plástico, 3 prat.</t>
  </si>
  <si>
    <t>Enceradeira industrial DC 350 ( 60 meses)</t>
  </si>
  <si>
    <t>Escada domés.  Alum. Degraus 4 a 6, Antiderrap</t>
  </si>
  <si>
    <t>Extensão elétrica de 15mt</t>
  </si>
  <si>
    <t xml:space="preserve">Lavadora de alta pressão mínimo 1.500 LB  </t>
  </si>
  <si>
    <t>Mangueira de jardim 20m, c/ esguicho/engate</t>
  </si>
  <si>
    <t>Placa sinalizadora (Piso Molhado - 2 por APS)</t>
  </si>
  <si>
    <t>Rastelo de Jardim ( APS com areas verdes)</t>
  </si>
  <si>
    <t>TOTAL GERAL ( 60 MESES)</t>
  </si>
  <si>
    <t>TOTAL ANUAL DE EQUIPAMENTOS  - Depreciação Anual conforme tabela da RFB -</t>
  </si>
  <si>
    <t>VALOR POR SERVENTE</t>
  </si>
  <si>
    <t>UNIFORMES</t>
  </si>
  <si>
    <t xml:space="preserve">QUANTIDADE DEFINIDA (anual) </t>
  </si>
  <si>
    <t>PREÇO MÉDIO – PAINEL DE PREÇOS</t>
  </si>
  <si>
    <t>PEÇO MÉDIO - INTERNET</t>
  </si>
  <si>
    <t>CUSTO MÉDIO</t>
  </si>
  <si>
    <t xml:space="preserve">CUSTO MENSAL UNIFORMES </t>
  </si>
  <si>
    <t>SERVENTES</t>
  </si>
  <si>
    <t>Bata ( avental) pano</t>
  </si>
  <si>
    <t>Bota de borracha</t>
  </si>
  <si>
    <t>Calça</t>
  </si>
  <si>
    <t>Camiseta</t>
  </si>
  <si>
    <t>Crachá, protetor, jacaré, cordão e regulador</t>
  </si>
  <si>
    <t>Sapato segurança</t>
  </si>
  <si>
    <t>ENCARREGADAS</t>
  </si>
  <si>
    <t xml:space="preserve">Calça Social </t>
  </si>
  <si>
    <t>Camisa social  manga curta/longa</t>
  </si>
  <si>
    <t>Crachá, protetor, jacaré, cordão,regulador</t>
  </si>
  <si>
    <t>Sapato Social</t>
  </si>
  <si>
    <t>TOTAL GERAL MENSAL POR SERVENTE</t>
  </si>
  <si>
    <t>TOTAL GERAL MENSAL ENCARREGADA</t>
  </si>
  <si>
    <t>EPIs</t>
  </si>
  <si>
    <t>QUANTIDADE DEFINIDA MENSAL (Serventes 20 ou 30h)</t>
  </si>
  <si>
    <t>QUANTIDADE DEFINIDA MENSAL (Serventes 40 ou 44h)</t>
  </si>
  <si>
    <t>PREÇO MÉDIO - INTERNET</t>
  </si>
  <si>
    <t>CUSTO MENSAL DE EPIS (Servente 20 ou 30h)</t>
  </si>
  <si>
    <t>CUSTO MENSAL DE EPIS (Servente 40 ou 44h)</t>
  </si>
  <si>
    <t>ÁREA SANITIZAÇÃO</t>
  </si>
  <si>
    <t>Avental descartável</t>
  </si>
  <si>
    <t>Face Shield</t>
  </si>
  <si>
    <t>Luvas descartáveis (100un) (50 pares)</t>
  </si>
  <si>
    <t>Máscara descartável</t>
  </si>
  <si>
    <t>Touca descartável</t>
  </si>
  <si>
    <t>QUANTIDADE DEFINIDA ANUAL  (Serventes 20 ou 30h)</t>
  </si>
  <si>
    <t>QUANTIDADE DEFINIDA ANUAL  (Serventes 40 ou 44h)</t>
  </si>
  <si>
    <t>PREÇO MEDIO – PAINEL DE PREÇOS</t>
  </si>
  <si>
    <t>EPIs USO GERAL</t>
  </si>
  <si>
    <t>Avental impermeável de pvc</t>
  </si>
  <si>
    <t>Luva proteção de raspa de couro, cano curto</t>
  </si>
  <si>
    <t>Óculos de proteção lente transparente</t>
  </si>
  <si>
    <t>Obs:  Periodicidade/frequencia de trocas dos EPIs de acorda com as premissas adotadas na contratação de média de dias úteis no mês = 22 dias</t>
  </si>
  <si>
    <t>1x ao dia</t>
  </si>
  <si>
    <t>1x a cada 6 meses -  Deverá ser descartado quando danificado</t>
  </si>
  <si>
    <t>3 pares ao dia ou quando danificado</t>
  </si>
  <si>
    <t>1x a cada 3h</t>
  </si>
  <si>
    <t>Borrifador 500ML</t>
  </si>
  <si>
    <t>2un/servente/a cada 3 meses ( 1 para álcool 70% e 1 para álcool isopropílico)</t>
  </si>
  <si>
    <t>Flanela de algodão branca 40cm x 60cm</t>
  </si>
  <si>
    <t>4 un para cada servente/mês</t>
  </si>
  <si>
    <t>saco de Lixo reforçado,  100 L , cor branco leitoso</t>
  </si>
  <si>
    <t>2 un/dia por lixeira x 4 salas de perícia/serviço social e reabilitação x 22 dias uteis mês</t>
  </si>
  <si>
    <t>PLANO DE TELEFONE  ENCARREGADA (O)</t>
  </si>
  <si>
    <t>Crédito celular encarregada</t>
  </si>
  <si>
    <t>ÁREA INTERNA</t>
  </si>
  <si>
    <t>ÁREA EXTERNA</t>
  </si>
  <si>
    <t>ESQUADRIAS</t>
  </si>
  <si>
    <t>ITEM 11</t>
  </si>
  <si>
    <t>ITEM 12</t>
  </si>
  <si>
    <t>ITEM 13</t>
  </si>
  <si>
    <t>ITEM 14</t>
  </si>
  <si>
    <t>ITEM 15</t>
  </si>
  <si>
    <t>ISS %</t>
  </si>
  <si>
    <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</si>
  <si>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</si>
  <si>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</si>
  <si>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</si>
  <si>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</si>
  <si>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t>AE-2: 
 coleta de detritos em pátios e áreas verdes com frequência diária</t>
  </si>
  <si>
    <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</si>
  <si>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</si>
  <si>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</si>
  <si>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t>EI:</t>
    </r>
    <r>
      <rPr>
        <sz val="9"/>
        <color rgb="FF000000"/>
        <rFont val="Calibri"/>
        <family val="2"/>
        <charset val="1"/>
      </rPr>
      <t xml:space="preserve"> 
Face Interna</t>
    </r>
  </si>
  <si>
    <t>Valor mensal                                   Limpeza odinária</t>
  </si>
  <si>
    <t>Valor mensal                                   Servente Covid</t>
  </si>
  <si>
    <t>Valor limite mensal - Horas eventuais Limp Ordinária</t>
  </si>
  <si>
    <t>Valor limite mensal - horas eventuais COVID</t>
  </si>
  <si>
    <t>Valor mensal item                    Diárias carregadores</t>
  </si>
  <si>
    <t>Área</t>
  </si>
  <si>
    <t>Preço m²</t>
  </si>
  <si>
    <t>R$</t>
  </si>
  <si>
    <t>30h</t>
  </si>
  <si>
    <t>44h</t>
  </si>
  <si>
    <t>RUA FELIPE SCHMIDT, 331, CENTRO, CEP 88010000</t>
  </si>
  <si>
    <t>FLORIANÓPOLIS/SC</t>
  </si>
  <si>
    <t>RUA MAJOR PEDRO BORGES, 103, CENTRO, CEP 88450000</t>
  </si>
  <si>
    <t>ALFREDO WAGNER/SC</t>
  </si>
  <si>
    <t>RUA GETÚLIO VARGAS, 70, CENTRO, CEP 88160000</t>
  </si>
  <si>
    <t>BIGUAÇU/SC</t>
  </si>
  <si>
    <t>RUA MAXIMINO DE MORAES, 357, CENTRO, CEP 89520000</t>
  </si>
  <si>
    <t>APS CURITIBANOS/SC</t>
  </si>
  <si>
    <t>AV. IVO SILVEIRA, 1960, CAPOEIRAS, CEP 88085000</t>
  </si>
  <si>
    <t>RUA SANTA CATARINA, 952, CENTRO, CEP 88780000</t>
  </si>
  <si>
    <t>IMBITUBA/SC</t>
  </si>
  <si>
    <t>RUA CENTO E VINTE E UM, 78, CENTRO, CEP 88220000</t>
  </si>
  <si>
    <t>ITAPEMA/SC</t>
  </si>
  <si>
    <t>RUA GOVERNADOR JORGE LACERDA, 126, CENTRO, CEP 88501120</t>
  </si>
  <si>
    <t>LAGES/SC</t>
  </si>
  <si>
    <t>RUA BARÃO DO RIO BRANCO, 277, CENTRO, CEP 88130101</t>
  </si>
  <si>
    <t>PALHOÇA/SC</t>
  </si>
  <si>
    <t xml:space="preserve">RUA DOMINGOS MARTORANO, 350, CENTRO, CEP 88600000 </t>
  </si>
  <si>
    <t>SÃO JOAQUIM/SC</t>
  </si>
  <si>
    <t>RUA ADEMAR DA SILVA, 1279, KOBRASOL, CEP 88101091</t>
  </si>
  <si>
    <t>SÃO JOSÉ/SC</t>
  </si>
  <si>
    <t>RUA ATILIO CAMPOS FILHO, S/N, CENTRO,</t>
  </si>
  <si>
    <t>TIJUCAS/SC</t>
  </si>
  <si>
    <t xml:space="preserve">AV. PREFEITO NELSON MARTINS, 405, CENTRO, CEP 88131300 </t>
  </si>
  <si>
    <t>AV. MAURO RAMOS, 1880, CENTRO, CEP 88020302</t>
  </si>
  <si>
    <t>R. SANTOS DUMONT, 64- CENTRO, CEP 88015020</t>
  </si>
  <si>
    <t>R. ÁLVARO DE CARVALHO, 220 - CENTRO, 88010040</t>
  </si>
  <si>
    <t>PRAÇA PEREIRA OLIVEIRA, 13, CENTRO, CEP 88010540</t>
  </si>
  <si>
    <t>Rua Presidente John. Kennedy, 25, Centro</t>
  </si>
  <si>
    <t>BLUMENAU/SC</t>
  </si>
  <si>
    <t>Rua João Pessoa, 2000, Velha</t>
  </si>
  <si>
    <t>Rua Rodrigues Alves, 50, Centro</t>
  </si>
  <si>
    <t>BRUSQUE/SC</t>
  </si>
  <si>
    <t>Rua XV de Novembro, 459, Centro</t>
  </si>
  <si>
    <t>IBIRAMA/SC</t>
  </si>
  <si>
    <t>Rua Marechal Floriano Peixoto, 444, Centro</t>
  </si>
  <si>
    <t>INDAIAL/SC</t>
  </si>
  <si>
    <t>R. Doutor José Bonifácio Malburg, 195, Centro</t>
  </si>
  <si>
    <t>ITAJAÍ/SC</t>
  </si>
  <si>
    <t>Av. 7 de Setembro, 352, Jardim América</t>
  </si>
  <si>
    <t>RIO DO SUL/SC</t>
  </si>
  <si>
    <t>Rua Benjamin Constant, 29, Centro</t>
  </si>
  <si>
    <t>TIMBÓ/SC</t>
  </si>
  <si>
    <t>Av. do Estado Dalmo Vieira, 3660</t>
  </si>
  <si>
    <t>BALNEÁRIO DE CAMBORIÚ/SC</t>
  </si>
  <si>
    <t>Rua João Veríssimo da Silva – SN, Centro</t>
  </si>
  <si>
    <t>PENHA/SC</t>
  </si>
  <si>
    <t>Rua Arthur Reinert, 11, Centro</t>
  </si>
  <si>
    <t>POMERODE/SC</t>
  </si>
  <si>
    <t>Rua 9 de Março, nº 241 – Centro, Joinville/SC</t>
  </si>
  <si>
    <t>Joinville/SC</t>
  </si>
  <si>
    <t>Rua Vidal Ramos, nº 780 – Centro, Canoinhas/SC</t>
  </si>
  <si>
    <t>Canoinhas/SC</t>
  </si>
  <si>
    <t>Av. Getúlio Vargas, nº 500 – Centro, Jaraguá do Sul</t>
  </si>
  <si>
    <t>Jaguará do sul/SC</t>
  </si>
  <si>
    <t>Rua Mathias Piechinick, nº 37 - Centro, Mafra/SC</t>
  </si>
  <si>
    <t>Mafra/SC</t>
  </si>
  <si>
    <t>Rua Capitão Ernesto Nunes, nº 89 - Centro, São Bento do Sul/SC</t>
  </si>
  <si>
    <t>São Bento do Sul/SC</t>
  </si>
  <si>
    <t>Rua Barão do Rio Branco, nº 377 - Centro, São Francisco do Sul/SC</t>
  </si>
  <si>
    <t>São Francisco do Sul/SC</t>
  </si>
  <si>
    <t>Rua Graciosa, nº 380 – Guanabara, Joinville/SC</t>
  </si>
  <si>
    <t>Av. Nelson Luís Rosa de Bem, nº 90 - Centro, Guaramirim/SC</t>
  </si>
  <si>
    <t>Guaramirim/SC</t>
  </si>
  <si>
    <t>Av. Saturnino Olindo, nº 30, Rio Negro/PR</t>
  </si>
  <si>
    <t>Rio Negro/PR</t>
  </si>
  <si>
    <t> </t>
  </si>
  <si>
    <t>TOTAL GERAL</t>
  </si>
  <si>
    <t xml:space="preserve">ISS </t>
  </si>
  <si>
    <t>AI-4: 
Banheiros</t>
  </si>
  <si>
    <t xml:space="preserve">AE-2:                                                                                                                                    coleta de detritos em pátios e áreas verdes com frequência diária
</t>
  </si>
  <si>
    <t>Serventes por Unidade (Calculada)</t>
  </si>
  <si>
    <t>Qtde de serventes ajustada LIMPEZA ORDINÁRIA                      e carga horária</t>
  </si>
  <si>
    <t>Qtde Ajustada Qtde postos COVID e Carga horária servente</t>
  </si>
  <si>
    <t>Qtde horas eventuais Limpeza Ordinária/Mês</t>
  </si>
  <si>
    <t xml:space="preserve"> Qtde horas eventuais COVID/Mês</t>
  </si>
  <si>
    <t>Qtde Diárias carregadores/Mês</t>
  </si>
  <si>
    <t>Qtde postos e Carga horária ENCARREGADA</t>
  </si>
  <si>
    <t>h</t>
  </si>
  <si>
    <t>diarias</t>
  </si>
  <si>
    <t>Total Geral</t>
  </si>
  <si>
    <t>Produtividade adotada</t>
  </si>
  <si>
    <t>total</t>
  </si>
  <si>
    <t>Número de Serventes</t>
  </si>
  <si>
    <t>fração</t>
  </si>
  <si>
    <t>Número de Encarregados</t>
  </si>
  <si>
    <t>800 a 1200</t>
  </si>
  <si>
    <t>1500 a 2500</t>
  </si>
  <si>
    <t>1000 a 1500</t>
  </si>
  <si>
    <t>200 a 300</t>
  </si>
  <si>
    <t>1800 a 2700</t>
  </si>
  <si>
    <t>6000 a 9000</t>
  </si>
  <si>
    <t>130 a 160</t>
  </si>
  <si>
    <t>300 a 380</t>
  </si>
  <si>
    <t>ANEXO IV</t>
  </si>
  <si>
    <t>MODELO DE PROPOSTA E PLANILHA DE CUSTOS E FORMAÇÃO DE PREÇOS</t>
  </si>
  <si>
    <t>PROCESSO 35014.018642/2022-12</t>
  </si>
  <si>
    <t>Servente 44h</t>
  </si>
  <si>
    <t>Servente 30h</t>
  </si>
  <si>
    <t>Servente 44h limpeza de esquadrias com risco</t>
  </si>
  <si>
    <t>Encarregada</t>
  </si>
  <si>
    <t>Salário Normativo da Categoria:</t>
  </si>
  <si>
    <t>Data base da Categoria:</t>
  </si>
  <si>
    <t>Convenção Coletiva:</t>
  </si>
  <si>
    <t>CBO/MTE:</t>
  </si>
  <si>
    <t>CUSTOS</t>
  </si>
  <si>
    <t>Percentuais e Valores de Referência</t>
  </si>
  <si>
    <t xml:space="preserve">Servente 44h </t>
  </si>
  <si>
    <t>Encarregada 44h</t>
  </si>
  <si>
    <t>MÓDULO 1: COMPOSIÇÃO DA REMUNERAÇÃO</t>
  </si>
  <si>
    <t>1 - Composição da Remuneração</t>
  </si>
  <si>
    <t>Percentuais</t>
  </si>
  <si>
    <t>Valor (R$)</t>
  </si>
  <si>
    <t>A – Salário Base 40 horas</t>
  </si>
  <si>
    <t>B - Adicional de Insalubridade</t>
  </si>
  <si>
    <t>D - Adicional Noturno</t>
  </si>
  <si>
    <t>E - Adicional de Hora Noturna Reduzida</t>
  </si>
  <si>
    <t>F - Adicional de Hora Extra no Feriado Trabalhado</t>
  </si>
  <si>
    <t>E - Outros -Adicional de Periculosidade</t>
  </si>
  <si>
    <t>Total</t>
  </si>
  <si>
    <t>MÓDULO 2: ENCARGOS E BENEFÍCIOS ANUAIS, MENSAIS E DIÁRIOS</t>
  </si>
  <si>
    <t>2.1 - 13º Salário, Férias e Adicional de Férias</t>
  </si>
  <si>
    <t>A - 13º salário</t>
  </si>
  <si>
    <t>B - Adicional de Férias</t>
  </si>
  <si>
    <t>2.2 - Encargos Previdenciários e FGTS</t>
  </si>
  <si>
    <t>2.2.1 - GPS</t>
  </si>
  <si>
    <t>A - INSS</t>
  </si>
  <si>
    <t>B - Salário Educação</t>
  </si>
  <si>
    <t>C - SAT</t>
  </si>
  <si>
    <t>D - SESI ou SESC</t>
  </si>
  <si>
    <t>E - SENAI ou SENAC</t>
  </si>
  <si>
    <t>F - SEBRAE</t>
  </si>
  <si>
    <t>G - INCRA</t>
  </si>
  <si>
    <t>F - FGTS</t>
  </si>
  <si>
    <t>2.3 - Benefícios Mensais e Diários</t>
  </si>
  <si>
    <t>Valores</t>
  </si>
  <si>
    <t>A - Transporte</t>
  </si>
  <si>
    <t>B - Auxílio-Refeição/Alimentação ( COM DESCONTO DE 1% - CCT SC)</t>
  </si>
  <si>
    <t>C - Ajuda de custo (equipes limpeza vidros)</t>
  </si>
  <si>
    <t>D - Assistência ao Trabalhador (Cláusula 16º)</t>
  </si>
  <si>
    <t>E - Prêmio Assiduidade (Cláusula 11º)</t>
  </si>
  <si>
    <t>F - Outros (especificar)</t>
  </si>
  <si>
    <t>2 - ENCARGOS E BENEFÍCIOS ANUAIS, MENSAIS E DIÁRIOS</t>
  </si>
  <si>
    <t>2.2 - GPS, FGTS e outras contribuições</t>
  </si>
  <si>
    <t>MÓDULO 3: PROVISÃO PARA RESCISÃO</t>
  </si>
  <si>
    <t>3 - Provisão para Rescisão</t>
  </si>
  <si>
    <t>3.1 - Aviso Prévio Indenizado</t>
  </si>
  <si>
    <t>A - Aviso Prévio Indenizado</t>
  </si>
  <si>
    <t>B - Incidência do FGTS sobre Aviso Prévio Indenizado</t>
  </si>
  <si>
    <t>C - Multa do FGTS sobre Aviso Prévio Indenizado</t>
  </si>
  <si>
    <t>A - Aviso Prévio Trabalhado</t>
  </si>
  <si>
    <t>B - Incidência do submódulo 2.2 sobre o Aviso Prévio Trabalhado</t>
  </si>
  <si>
    <t>C - Multa do FGTS sobre Aviso Prévio Trabalhado</t>
  </si>
  <si>
    <t>MÓDULO 4: CUSTO DE REPOSIÇÃO DO PROFISSIONAL AUSENTE</t>
  </si>
  <si>
    <t>B – Substituto na cobertura de Ausências Legais</t>
  </si>
  <si>
    <t>C - Substituto na cobertura de Licença Paternidade</t>
  </si>
  <si>
    <t>D - Substituto na cobertura de Ausências por acidente de trabalho</t>
  </si>
  <si>
    <t>E - Outros</t>
  </si>
  <si>
    <t>Subtotal</t>
  </si>
  <si>
    <t>4.2 - Substituto na Intrajornada</t>
  </si>
  <si>
    <t>A - Substituto na cobertura de Intervalo para repouso ou alimentação</t>
  </si>
  <si>
    <t>4 - Custo de Reposição do Profissional Ausente</t>
  </si>
  <si>
    <t>MÓDULO 5: INSUMOS DE MÃO DE OBRA</t>
  </si>
  <si>
    <t>5 - Insumos Diversos</t>
  </si>
  <si>
    <t>A - Uniformes</t>
  </si>
  <si>
    <t>B - Materiais e utensílios</t>
  </si>
  <si>
    <t>C - Equipamentos</t>
  </si>
  <si>
    <t>D - EPIs</t>
  </si>
  <si>
    <t>E - Esquadrias de risco - Materiais/ Equipamentos/EPIs ( conforme MPOG)</t>
  </si>
  <si>
    <t>F -  Plano de telefone</t>
  </si>
  <si>
    <t>G - Outros</t>
  </si>
  <si>
    <t>MÓDULO 6: CUSTOS INDIRETOS, TRIBUTOS E LUCRO</t>
  </si>
  <si>
    <t>6 - Custos Indiretos, Tributos e Lucro</t>
  </si>
  <si>
    <t>C - Tributos  (ISS 2,00%)</t>
  </si>
  <si>
    <t>C.1 - Tributos Federais (PIS e COFINS)</t>
  </si>
  <si>
    <t>C.3 - Tributos Municipais (especificar)</t>
  </si>
  <si>
    <t>C - Tributos  (ISS 2,500%)</t>
  </si>
  <si>
    <t>C - Tributos  (ISS 3,00%)</t>
  </si>
  <si>
    <t>C - Tributos  (ISS 4,00%)</t>
  </si>
  <si>
    <t>C - Tributos  (ISS 5,00%)</t>
  </si>
  <si>
    <t>Total Tributos por ISS Municipal</t>
  </si>
  <si>
    <t>C.4 - Outros Tributos (especificar)</t>
  </si>
  <si>
    <t>QUADRO RESUMO DO CUSTO POR EMPREGADO</t>
  </si>
  <si>
    <t>Mão de 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</si>
  <si>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</si>
  <si>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</si>
  <si>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</si>
  <si>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</si>
  <si>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</si>
  <si>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</si>
  <si>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 (ISS 2,00%)</t>
  </si>
  <si>
    <t>F - Módulo 6 - Custos Indiretos, Tributos e Lucro (ISS 2,5%)</t>
  </si>
  <si>
    <t>F - Módulo 6 - Custos Indiretos, Tributos e Lucro (ISS 3,00%)</t>
  </si>
  <si>
    <t>F - Módulo 6 - Custos Indiretos, Tributos e Lucro (ISS 4,00%)</t>
  </si>
  <si>
    <t>F - Módulo 6 - Custos Indiretos, Tributos e Lucro (ISS 5,00%)</t>
  </si>
  <si>
    <t>TOTAL POR EMPREGADO/MÊS com ISS de 2%</t>
  </si>
  <si>
    <t>TOTAL POR EMPREGADO/MÊS com ISS de 2,5%</t>
  </si>
  <si>
    <t>TOTAL POR EMPREGADO/MÊS com ISS de 3%</t>
  </si>
  <si>
    <t>TOTAL POR EMPREGADO/MÊS com ISS de 4%</t>
  </si>
  <si>
    <t>TOTAL POR EMPREGADO/MÊS com ISS de 5%</t>
  </si>
  <si>
    <t>VALOR DA HORA com ISS de 2%</t>
  </si>
  <si>
    <t>VALOR DA HORA com ISS de 2,5%</t>
  </si>
  <si>
    <t>VALOR DA HORA com ISS de 3%</t>
  </si>
  <si>
    <t>VALOR DA HORA com ISS de 4%</t>
  </si>
  <si>
    <t>VALOR DA HORA com ISS de 5%</t>
  </si>
  <si>
    <t>AI-1 Área Interna pisos frios</t>
  </si>
  <si>
    <t>ISS de 2%</t>
  </si>
  <si>
    <t>ISS de 2,5%</t>
  </si>
  <si>
    <t>ISS de 3%</t>
  </si>
  <si>
    <t>ISS de 4%</t>
  </si>
  <si>
    <t>ISS de 5%</t>
  </si>
  <si>
    <t>MÃO DE OBRA</t>
  </si>
  <si>
    <t>(1) PRODUTIVIDADE (1/P)</t>
  </si>
  <si>
    <t>(2) PREÇO HOMEM MÊS (R$)</t>
  </si>
  <si>
    <t>(1x2) SUBTOTAL (R$/M²)</t>
  </si>
  <si>
    <t>SERVENTE</t>
  </si>
  <si>
    <t>ENCARREGADO</t>
  </si>
  <si>
    <t>Subtotal 20%</t>
  </si>
  <si>
    <t>AI-2 Área interna (Almoxarifado, Galpões, arquivos )</t>
  </si>
  <si>
    <t>(1) PRODUTIVIDADE (1/M²)</t>
  </si>
  <si>
    <t>Subtotal:</t>
  </si>
  <si>
    <t>AI-3 Área interna Espaços Livres (saguão, hall, salão)</t>
  </si>
  <si>
    <t>AI-4 Área interna  Banheiros</t>
  </si>
  <si>
    <t>AE-1 AE-2 AE-3 Áreas Externas</t>
  </si>
  <si>
    <t>AE-1 Área Externa pisos adjacentes às edificações</t>
  </si>
  <si>
    <t>Subtotal AE-1</t>
  </si>
  <si>
    <t>AE-2: coleta de detritos em pátios e áreas verdes com frequência diária</t>
  </si>
  <si>
    <t>Subtotal AE-2</t>
  </si>
  <si>
    <t>AE-3 Área Externa arruamento, passeios</t>
  </si>
  <si>
    <t>Subtotal AE-3</t>
  </si>
  <si>
    <t>EER EE EI Esquadrias</t>
  </si>
  <si>
    <r>
      <t xml:space="preserve">EER Área de Esquadria 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</si>
  <si>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t>Subtotal EER</t>
  </si>
  <si>
    <r>
      <t xml:space="preserve">EE Área de Esquadria 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</si>
  <si>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t>Subtotal EE</t>
  </si>
  <si>
    <t>EI Área de Esquadria Face Interna</t>
  </si>
  <si>
    <t>Subtotal EI</t>
  </si>
  <si>
    <t>Servente 44h COVID</t>
  </si>
  <si>
    <t>Servente 30h COVID</t>
  </si>
  <si>
    <t>E - Outros -Adicional de risco limpeza de vidros e fachadas ( acima de 3m)</t>
  </si>
  <si>
    <t>F - Passagens intermunicipais</t>
  </si>
  <si>
    <t>G - Plano de telefone</t>
  </si>
  <si>
    <r>
      <rPr>
        <b/>
        <sz val="9"/>
        <color rgb="FF000000"/>
        <rFont val="Calibri"/>
        <family val="2"/>
        <charset val="1"/>
      </rPr>
      <t>AI-1:</t>
    </r>
    <r>
      <rPr>
        <sz val="9"/>
        <color rgb="FF000000"/>
        <rFont val="Calibri"/>
        <family val="2"/>
        <charset val="1"/>
      </rPr>
      <t xml:space="preserve"> 
Pisos frios</t>
    </r>
  </si>
  <si>
    <r>
      <rPr>
        <b/>
        <sz val="9"/>
        <color rgb="FF000000"/>
        <rFont val="Calibri"/>
        <family val="2"/>
        <charset val="1"/>
      </rPr>
      <t>AI-2:</t>
    </r>
    <r>
      <rPr>
        <sz val="9"/>
        <color rgb="FF000000"/>
        <rFont val="Calibri"/>
        <family val="2"/>
        <charset val="1"/>
      </rPr>
      <t xml:space="preserve"> 
Almoxarifado, Galpões, arquivos</t>
    </r>
  </si>
  <si>
    <r>
      <rPr>
        <b/>
        <sz val="9"/>
        <color rgb="FF000000"/>
        <rFont val="Calibri"/>
        <family val="2"/>
        <charset val="1"/>
      </rPr>
      <t>AI-3:</t>
    </r>
    <r>
      <rPr>
        <sz val="9"/>
        <color rgb="FF000000"/>
        <rFont val="Calibri"/>
        <family val="2"/>
        <charset val="1"/>
      </rPr>
      <t xml:space="preserve"> 
Espaços Livres, saguão, hall, salão</t>
    </r>
  </si>
  <si>
    <r>
      <rPr>
        <b/>
        <sz val="9"/>
        <color rgb="FF000000"/>
        <rFont val="Calibri"/>
        <family val="2"/>
        <charset val="1"/>
      </rPr>
      <t>AI-4:</t>
    </r>
    <r>
      <rPr>
        <sz val="9"/>
        <color rgb="FF000000"/>
        <rFont val="Calibri"/>
        <family val="2"/>
        <charset val="1"/>
      </rPr>
      <t xml:space="preserve"> 
Banheiros</t>
    </r>
  </si>
  <si>
    <r>
      <rPr>
        <b/>
        <sz val="9"/>
        <color rgb="FF000000"/>
        <rFont val="Calibri"/>
        <family val="2"/>
        <charset val="1"/>
      </rPr>
      <t>AE-1:</t>
    </r>
    <r>
      <rPr>
        <sz val="9"/>
        <color rgb="FF000000"/>
        <rFont val="Calibri"/>
        <family val="2"/>
        <charset val="1"/>
      </rPr>
      <t xml:space="preserve"> 
Pisos adjacentes às edificações</t>
    </r>
  </si>
  <si>
    <r>
      <rPr>
        <b/>
        <sz val="9"/>
        <color rgb="FF000000"/>
        <rFont val="Calibri"/>
        <family val="2"/>
        <charset val="1"/>
      </rPr>
      <t>AE-2:</t>
    </r>
    <r>
      <rPr>
        <sz val="9"/>
        <color rgb="FF000000"/>
        <rFont val="Calibri"/>
        <family val="2"/>
        <charset val="1"/>
      </rPr>
      <t xml:space="preserve"> 
Áreas verdes</t>
    </r>
  </si>
  <si>
    <r>
      <rPr>
        <b/>
        <sz val="9"/>
        <color rgb="FF000000"/>
        <rFont val="Calibri"/>
        <family val="2"/>
        <charset val="1"/>
      </rPr>
      <t xml:space="preserve">AE-3:
</t>
    </r>
    <r>
      <rPr>
        <sz val="9"/>
        <color rgb="FF000000"/>
        <rFont val="Calibri"/>
        <family val="2"/>
        <charset val="1"/>
      </rPr>
      <t>Arruamento, passeios</t>
    </r>
  </si>
  <si>
    <r>
      <rPr>
        <b/>
        <sz val="10"/>
        <color rgb="FF000000"/>
        <rFont val="Calibri"/>
        <family val="2"/>
        <charset val="1"/>
      </rPr>
      <t>EER: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COM</t>
    </r>
    <r>
      <rPr>
        <sz val="10"/>
        <color rgb="FF000000"/>
        <rFont val="Arial"/>
        <family val="2"/>
        <charset val="1"/>
      </rPr>
      <t xml:space="preserve"> exposição a risco </t>
    </r>
  </si>
  <si>
    <r>
      <rPr>
        <b/>
        <sz val="10"/>
        <color rgb="FF000000"/>
        <rFont val="Calibri"/>
        <family val="2"/>
        <charset val="1"/>
      </rPr>
      <t>EE:</t>
    </r>
    <r>
      <rPr>
        <sz val="10"/>
        <color rgb="FF000000"/>
        <rFont val="Calibri"/>
        <family val="2"/>
        <charset val="1"/>
      </rPr>
      <t xml:space="preserve"> 
Face Externa </t>
    </r>
    <r>
      <rPr>
        <b/>
        <sz val="10"/>
        <color rgb="FF000000"/>
        <rFont val="Arial"/>
        <family val="2"/>
        <charset val="1"/>
      </rPr>
      <t>SEM</t>
    </r>
    <r>
      <rPr>
        <sz val="10"/>
        <color rgb="FF000000"/>
        <rFont val="Arial"/>
        <family val="2"/>
        <charset val="1"/>
      </rPr>
      <t xml:space="preserve"> exposição a risco</t>
    </r>
  </si>
  <si>
    <r>
      <rPr>
        <b/>
        <sz val="9"/>
        <color rgb="FF000000"/>
        <rFont val="Calibri"/>
        <family val="2"/>
        <charset val="1"/>
      </rPr>
      <t>EI:</t>
    </r>
    <r>
      <rPr>
        <sz val="9"/>
        <color rgb="FF000000"/>
        <rFont val="Calibri"/>
        <family val="2"/>
        <charset val="1"/>
      </rPr>
      <t xml:space="preserve"> 
Face Interna</t>
    </r>
  </si>
  <si>
    <t xml:space="preserve">Qtd total </t>
  </si>
  <si>
    <t>Fração</t>
  </si>
  <si>
    <t>SEMESTRAL</t>
  </si>
  <si>
    <t>=H68/</t>
  </si>
  <si>
    <t>C - Tributos  (ISS 3,50%)</t>
  </si>
  <si>
    <t>F - Módulo 6 - Custos Indiretos, Tributos e Lucro (ISS 3,50%)</t>
  </si>
  <si>
    <t>TOTAL POR EMPREGADO/MÊS com ISS de 3,5%</t>
  </si>
  <si>
    <t>VALOR DA HORA com ISS de 3,5%</t>
  </si>
  <si>
    <t>ISS de 3,5%</t>
  </si>
  <si>
    <t>AE-2: 
Áreas verdes - Coleta de detritos</t>
  </si>
  <si>
    <t xml:space="preserve">- </t>
  </si>
  <si>
    <t>Qtd total</t>
  </si>
  <si>
    <t>Covid 44h</t>
  </si>
  <si>
    <t>Servente 40h</t>
  </si>
  <si>
    <t>Servente 44h Covid</t>
  </si>
  <si>
    <t>B - Auxílio-Refeição/Alimentação ( COM DESCONTO DE 20%)</t>
  </si>
  <si>
    <t>D - Assistência Médica (Cláusula 15ª)</t>
  </si>
  <si>
    <t>E - Benefício Social Familiar (Cláusula 16ª)</t>
  </si>
  <si>
    <t>F - Plano de telefone</t>
  </si>
  <si>
    <t>MODELO DE PROPOSTA DE PREÇOS</t>
  </si>
  <si>
    <t>PREGÃO Nº 12/2022</t>
  </si>
  <si>
    <t>PROCESSO ADMINISTRATIVO N.° 35014.018642/2022-12</t>
  </si>
  <si>
    <t>Ilmo. Sr. Pregoeiro, a Empresa ______________________________, CNPJ nº ________________, sediada ___________(endereço completo)______________, se propõe a executar os serviços discriminados, atendendo todas as condições estipuladas no Edital de Licitação, e nos valores abaixo:</t>
  </si>
  <si>
    <t xml:space="preserve">GRUPO </t>
  </si>
  <si>
    <t>ITEM</t>
  </si>
  <si>
    <t>CÓDIGO SIASG</t>
  </si>
  <si>
    <t>DESCRIÇÃO/
ESPECIFICAÇÃO</t>
  </si>
  <si>
    <t>Unidade de Medida</t>
  </si>
  <si>
    <t>Quantidade</t>
  </si>
  <si>
    <t>Valor Mensal</t>
  </si>
  <si>
    <t>Valor Anual</t>
  </si>
  <si>
    <r>
      <rPr>
        <b/>
        <sz val="12"/>
        <color rgb="FF000000"/>
        <rFont val="Calibri"/>
        <family val="2"/>
      </rPr>
      <t>Serviços de limpeza</t>
    </r>
    <r>
      <rPr>
        <sz val="12"/>
        <color rgb="FF000000"/>
        <rFont val="Calibri"/>
        <family val="2"/>
      </rPr>
      <t>, conservação e higienização, com fornecimento de materiais, insumos, equipamentos, EPIs e uniformes, a serem executados nas dependências do POLO III de limpeza da SRIII (GEX Florianópolis, Blumenau e Joinville )</t>
    </r>
  </si>
  <si>
    <t>M²</t>
  </si>
  <si>
    <t>12 (meses)</t>
  </si>
  <si>
    <r>
      <rPr>
        <b/>
        <sz val="12"/>
        <color rgb="FF000000"/>
        <rFont val="Calibri"/>
        <family val="2"/>
      </rPr>
      <t>Serviço de desinfecção</t>
    </r>
    <r>
      <rPr>
        <sz val="12"/>
        <color rgb="FF000000"/>
        <rFont val="Calibri"/>
        <family val="2"/>
      </rPr>
      <t>, com fornecimento de materiais, insumos, EPIs e uniformes,a serem executados nas dependências do POLO III de limpeza da SRIII (GEX Florianópolis, Blumenau e Joinville)</t>
    </r>
  </si>
  <si>
    <r>
      <rPr>
        <b/>
        <sz val="11"/>
        <color rgb="FF333333"/>
        <rFont val="Arial"/>
        <family val="2"/>
      </rPr>
      <t>Serviços de limpeza</t>
    </r>
    <r>
      <rPr>
        <sz val="11"/>
        <color rgb="FF333333"/>
        <rFont val="Arial"/>
        <family val="2"/>
      </rPr>
      <t>, conservação e higienização, com fornecimento de materiais, insumos, equipamentos, EPIs e uniformes, a serem executados nas dependências do POLO III de limpeza da SRIII (GEX Florianópolis, Blumenau e Joinville)</t>
    </r>
    <r>
      <rPr>
        <b/>
        <sz val="11"/>
        <color rgb="FF333333"/>
        <rFont val="Arial"/>
        <family val="2"/>
      </rPr>
      <t xml:space="preserve"> – POR DEMANDA</t>
    </r>
  </si>
  <si>
    <r>
      <rPr>
        <b/>
        <sz val="11"/>
        <color rgb="FF333333"/>
        <rFont val="Arial"/>
        <family val="2"/>
      </rPr>
      <t>Serviço de desinfecção</t>
    </r>
    <r>
      <rPr>
        <sz val="11"/>
        <color rgb="FF333333"/>
        <rFont val="Arial"/>
        <family val="2"/>
      </rPr>
      <t xml:space="preserve">, com fornecimento de materiais, insumos, EPIs e uniformes, a serem executados nas dependências do POLO III de limpeza da SRIII (GEX Florianópolis, Blumenau e Joinville) – </t>
    </r>
    <r>
      <rPr>
        <b/>
        <sz val="11"/>
        <color rgb="FF333333"/>
        <rFont val="Arial"/>
        <family val="2"/>
      </rPr>
      <t>POR DEMANDA</t>
    </r>
  </si>
  <si>
    <r>
      <rPr>
        <b/>
        <sz val="11"/>
        <color rgb="FF333333"/>
        <rFont val="Arial"/>
        <family val="2"/>
      </rPr>
      <t xml:space="preserve">Serviço de carregadores, </t>
    </r>
    <r>
      <rPr>
        <sz val="11"/>
        <color rgb="FF333333"/>
        <rFont val="Arial"/>
        <family val="2"/>
      </rPr>
      <t xml:space="preserve">a serem executados nas dependências do POLO III de limpeza da SRIII (GEX Florianópolis, Blumenau e Joinville)  – </t>
    </r>
    <r>
      <rPr>
        <b/>
        <sz val="11"/>
        <color rgb="FF333333"/>
        <rFont val="Arial"/>
        <family val="2"/>
      </rPr>
      <t>POR DEMANDA</t>
    </r>
  </si>
  <si>
    <t>Valor total da Proposta Polo III</t>
  </si>
  <si>
    <t xml:space="preserve">– Indicação dos acordos, convenções ou dissídios coletivos de trabalaho: </t>
  </si>
  <si>
    <t>– Indicação do regime tributário da licitante:</t>
  </si>
  <si>
    <t>– Validade da Proposta de Preços: 120 (cento e vinte) dias, a contar da data de apresentação.</t>
  </si>
  <si>
    <t>– Prazo de Execução dos Serviços: 12 (doze) meses.</t>
  </si>
  <si>
    <t>Dados para pagamento:</t>
  </si>
  <si>
    <t>– Banco (Nome/nº): – Agência: – Conta:</t>
  </si>
  <si>
    <t>Informações para assinatura do Contrato:</t>
  </si>
  <si>
    <t>– Nome:</t>
  </si>
  <si>
    <t>– Cargo:</t>
  </si>
  <si>
    <t>– RG:</t>
  </si>
  <si>
    <t>– CPF:</t>
  </si>
  <si>
    <t>–Telefone/Fax: E-mail:</t>
  </si>
  <si>
    <t>Local e data.</t>
  </si>
  <si>
    <t>Assinatura e Nome do Representante Legal da Empresa</t>
  </si>
  <si>
    <t>ANEXO X - POLO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</si>
</sst>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R$&quot;\ #,##0.00;[Red]\-&quot;R$&quot;\ #,##0.00"/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 &quot;#,##0.00"/>
    <numFmt numFmtId="166" formatCode="_-* #,##0.00_-;\-* #,##0.00_-;_-* \-??_-;_-@_-"/>
    <numFmt numFmtId="167" formatCode="d/m/yyyy"/>
    <numFmt numFmtId="168" formatCode="* #,##0.00\ ;\-* #,##0.00\ ;* \-#\ ;@\ "/>
    <numFmt numFmtId="169" formatCode="#,##0.00\ ;\(#,##0.00\);\-#\ ;@\ "/>
    <numFmt numFmtId="170" formatCode="#,##0.000000;\(#,##0.000000\)"/>
    <numFmt numFmtId="171" formatCode="&quot;R$ &quot;#,##0.00;[Red]&quot;-R$ &quot;#,##0.00"/>
    <numFmt numFmtId="172" formatCode="_-[$R$-416]\ * #,##0.00_-;\-[$R$-416]\ * #,##0.00_-;_-[$R$-416]\ * \-??_-;_-@_-"/>
    <numFmt numFmtId="173" formatCode="#,##0.00\ ;\(#,##0.00\)"/>
    <numFmt numFmtId="174" formatCode="&quot;R$ &quot;#,##0.00\ ;[Red]&quot;(R$ &quot;#,##0.00\)"/>
    <numFmt numFmtId="175" formatCode="[$R$-416]\ #,##0.00;[Red]\-[$R$-416]\ #,##0.00"/>
    <numFmt numFmtId="176" formatCode="* #,##0.00\ ;\-* #,##0.00\ ;* \-#\ ;@"/>
    <numFmt numFmtId="177" formatCode="0.000000000"/>
    <numFmt numFmtId="178" formatCode="#,##0.00\ ;#,##0.00\ ;\-#\ ;@\ "/>
    <numFmt numFmtId="179" formatCode="0.000000000;[Red]\(0.000000000\)"/>
    <numFmt numFmtId="180" formatCode="0.0000000000"/>
    <numFmt numFmtId="181" formatCode="0.0000"/>
    <numFmt numFmtId="182" formatCode="&quot;R$&quot;\ #,##0.00"/>
    <numFmt numFmtId="183" formatCode="_-[$R$-416]\ * #,##0.00_-;\-[$R$-416]\ * #,##0.00_-;_-[$R$-416]\ * &quot;-&quot;??_-;_-@_-"/>
    <numFmt numFmtId="184" formatCode="#,##0.000;\(#,##0.000\)"/>
    <numFmt numFmtId="185" formatCode="#,##0.00;\(#,##0.00\)"/>
  </numFmts>
  <fonts count="75" x14ac:knownFonts="1">
    <font>
      <sz val="11"/>
      <color rgb="FF333333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9"/>
      <color rgb="FF333333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color rgb="FF333333"/>
      <name val="Calibri"/>
      <family val="2"/>
      <charset val="1"/>
    </font>
    <font>
      <sz val="10"/>
      <color rgb="FFDDDDDD"/>
      <name val="Calibri"/>
      <family val="2"/>
      <charset val="1"/>
    </font>
    <font>
      <sz val="9"/>
      <color rgb="FFDDDDDD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DDDDDD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sz val="10"/>
      <color rgb="FF333333"/>
      <name val="Arial"/>
      <family val="2"/>
      <charset val="1"/>
    </font>
    <font>
      <b/>
      <sz val="9"/>
      <color rgb="FF333333"/>
      <name val="Arial"/>
      <family val="2"/>
      <charset val="1"/>
    </font>
    <font>
      <sz val="9"/>
      <color rgb="FF333333"/>
      <name val="Arial"/>
      <family val="2"/>
      <charset val="1"/>
    </font>
    <font>
      <sz val="8"/>
      <color rgb="FF333333"/>
      <name val="Arial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333333"/>
      <name val="Calibri"/>
      <family val="2"/>
      <charset val="1"/>
    </font>
    <font>
      <b/>
      <sz val="12"/>
      <color rgb="FF333333"/>
      <name val="Calibri"/>
      <family val="2"/>
      <charset val="1"/>
    </font>
    <font>
      <sz val="10"/>
      <color rgb="FF000080"/>
      <name val="Calibri"/>
      <family val="2"/>
      <charset val="1"/>
    </font>
    <font>
      <sz val="10"/>
      <color rgb="FF339966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Calibri"/>
      <family val="2"/>
      <charset val="1"/>
    </font>
    <font>
      <b/>
      <sz val="10"/>
      <color rgb="FF444444"/>
      <name val="Calibri"/>
      <family val="2"/>
      <charset val="1"/>
    </font>
    <font>
      <b/>
      <sz val="8"/>
      <name val="Calibri"/>
      <family val="2"/>
      <charset val="1"/>
    </font>
    <font>
      <b/>
      <sz val="8"/>
      <color rgb="FF444444"/>
      <name val="Calibri"/>
      <family val="2"/>
      <charset val="1"/>
    </font>
    <font>
      <b/>
      <i/>
      <sz val="10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333333"/>
      <name val="Calibri"/>
      <family val="2"/>
      <charset val="1"/>
    </font>
    <font>
      <b/>
      <i/>
      <sz val="10"/>
      <color rgb="FF333333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name val="Arial"/>
      <family val="2"/>
    </font>
    <font>
      <u/>
      <sz val="11"/>
      <color theme="10"/>
      <name val="Arial"/>
      <family val="2"/>
      <charset val="1"/>
    </font>
    <font>
      <b/>
      <sz val="9"/>
      <name val="Calibri"/>
      <family val="2"/>
      <charset val="1"/>
    </font>
    <font>
      <i/>
      <sz val="10"/>
      <color rgb="FF000000"/>
      <name val="Calibri"/>
      <family val="2"/>
    </font>
    <font>
      <i/>
      <sz val="10"/>
      <color rgb="FF000000"/>
      <name val="Calibri"/>
      <family val="2"/>
      <charset val="1"/>
    </font>
    <font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0"/>
      <color rgb="FF333333"/>
      <name val="Arial"/>
      <family val="2"/>
    </font>
    <font>
      <sz val="11"/>
      <color rgb="FFFFFFFF"/>
      <name val="Arial"/>
      <family val="2"/>
      <charset val="1"/>
    </font>
    <font>
      <sz val="10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8"/>
      <name val="Calibri"/>
      <family val="2"/>
    </font>
    <font>
      <b/>
      <sz val="10"/>
      <color rgb="FF333333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808080"/>
      <name val="Calibri"/>
      <family val="2"/>
    </font>
    <font>
      <b/>
      <sz val="12"/>
      <color rgb="FF333333"/>
      <name val="Calibri"/>
      <family val="2"/>
    </font>
    <font>
      <b/>
      <sz val="10"/>
      <color rgb="FF333333"/>
      <name val="Calibri"/>
      <family val="2"/>
    </font>
    <font>
      <sz val="10"/>
      <color rgb="FF333333"/>
      <name val="Calibri"/>
      <family val="2"/>
    </font>
    <font>
      <sz val="10"/>
      <color rgb="FF000080"/>
      <name val="Calibri"/>
      <family val="2"/>
    </font>
    <font>
      <b/>
      <sz val="10"/>
      <color rgb="FF000000"/>
      <name val="Calibri"/>
      <family val="2"/>
    </font>
    <font>
      <b/>
      <sz val="11"/>
      <color rgb="FF333333"/>
      <name val="Arial"/>
      <family val="2"/>
      <charset val="1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84">
    <fill>
      <patternFill patternType="none"/>
    </fill>
    <fill>
      <patternFill patternType="gray125"/>
    </fill>
    <fill>
      <patternFill patternType="solid">
        <fgColor rgb="FF1F4E78"/>
        <bgColor rgb="FF3D4C2F"/>
      </patternFill>
    </fill>
    <fill>
      <patternFill patternType="solid">
        <fgColor rgb="FFD9E1F2"/>
        <bgColor rgb="FFD6DCE4"/>
      </patternFill>
    </fill>
    <fill>
      <patternFill patternType="solid">
        <fgColor rgb="FFBF819E"/>
        <bgColor rgb="FFA6A6A6"/>
      </patternFill>
    </fill>
    <fill>
      <patternFill patternType="solid">
        <fgColor rgb="FFFFE699"/>
        <bgColor rgb="FFFFFF99"/>
      </patternFill>
    </fill>
    <fill>
      <patternFill patternType="solid">
        <fgColor rgb="FF729FCF"/>
        <bgColor rgb="FF5B9BD5"/>
      </patternFill>
    </fill>
    <fill>
      <patternFill patternType="solid">
        <fgColor rgb="FF8EA9DB"/>
        <bgColor rgb="FF8FAADC"/>
      </patternFill>
    </fill>
    <fill>
      <patternFill patternType="solid">
        <fgColor rgb="FFD0CECE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CE4D6"/>
        <bgColor rgb="FFFFF2CC"/>
      </patternFill>
    </fill>
    <fill>
      <patternFill patternType="solid">
        <fgColor rgb="FF49873A"/>
        <bgColor rgb="FF808080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FFFFCC"/>
      </patternFill>
    </fill>
    <fill>
      <patternFill patternType="solid">
        <fgColor rgb="FF8497B0"/>
        <bgColor rgb="FF729FCF"/>
      </patternFill>
    </fill>
    <fill>
      <patternFill patternType="solid">
        <fgColor rgb="FFD6DCE4"/>
        <bgColor rgb="FFDBDBDB"/>
      </patternFill>
    </fill>
    <fill>
      <patternFill patternType="solid">
        <fgColor rgb="FFFFFF00"/>
        <bgColor rgb="FFFFCC00"/>
      </patternFill>
    </fill>
    <fill>
      <patternFill patternType="solid">
        <fgColor rgb="FFB4C7DC"/>
        <bgColor rgb="FFB4C6E7"/>
      </patternFill>
    </fill>
    <fill>
      <patternFill patternType="solid">
        <fgColor rgb="FFFFFFCC"/>
        <bgColor rgb="FFFFF2CC"/>
      </patternFill>
    </fill>
    <fill>
      <patternFill patternType="solid">
        <fgColor rgb="FFCC99FF"/>
        <bgColor rgb="FFADB9CA"/>
      </patternFill>
    </fill>
    <fill>
      <patternFill patternType="solid">
        <fgColor rgb="FF00CCFF"/>
        <bgColor rgb="FF5B9BD5"/>
      </patternFill>
    </fill>
    <fill>
      <patternFill patternType="solid">
        <fgColor rgb="FF00FF00"/>
        <bgColor rgb="FF5EB91E"/>
      </patternFill>
    </fill>
    <fill>
      <patternFill patternType="solid">
        <fgColor rgb="FFCCCCFF"/>
        <bgColor rgb="FFB4C6E7"/>
      </patternFill>
    </fill>
    <fill>
      <patternFill patternType="solid">
        <fgColor rgb="FFC0C0C0"/>
        <bgColor rgb="FFC1C1C1"/>
      </patternFill>
    </fill>
    <fill>
      <patternFill patternType="solid">
        <fgColor rgb="FFFD6802"/>
        <bgColor rgb="FFFF9999"/>
      </patternFill>
    </fill>
    <fill>
      <patternFill patternType="solid">
        <fgColor rgb="FFFFCC00"/>
        <bgColor rgb="FFFFC000"/>
      </patternFill>
    </fill>
    <fill>
      <patternFill patternType="solid">
        <fgColor rgb="FFD9D9D9"/>
        <bgColor rgb="FFDBDBDB"/>
      </patternFill>
    </fill>
    <fill>
      <patternFill patternType="solid">
        <fgColor rgb="FFA1467E"/>
        <bgColor rgb="FF824802"/>
      </patternFill>
    </fill>
    <fill>
      <patternFill patternType="solid">
        <fgColor rgb="FF5EB91E"/>
        <bgColor rgb="FF70AD47"/>
      </patternFill>
    </fill>
    <fill>
      <patternFill patternType="solid">
        <fgColor rgb="FF5983B0"/>
        <bgColor rgb="FF5B9BD5"/>
      </patternFill>
    </fill>
    <fill>
      <patternFill patternType="solid">
        <fgColor rgb="FFA6A6A6"/>
        <bgColor rgb="FFADB9CA"/>
      </patternFill>
    </fill>
    <fill>
      <patternFill patternType="solid">
        <fgColor rgb="FFBBE33D"/>
        <bgColor rgb="FFA9D18E"/>
      </patternFill>
    </fill>
    <fill>
      <patternFill patternType="solid">
        <fgColor rgb="FF808080"/>
        <bgColor rgb="FF8497B0"/>
      </patternFill>
    </fill>
    <fill>
      <patternFill patternType="solid">
        <fgColor rgb="FF5B9BD5"/>
        <bgColor rgb="FF729FCF"/>
      </patternFill>
    </fill>
    <fill>
      <patternFill patternType="darkGray">
        <fgColor rgb="FFFD6802"/>
        <bgColor rgb="FFFF9999"/>
      </patternFill>
    </fill>
    <fill>
      <patternFill patternType="solid">
        <fgColor rgb="FF9BC2E6"/>
        <bgColor rgb="FFB4C6E7"/>
      </patternFill>
    </fill>
    <fill>
      <patternFill patternType="solid">
        <fgColor rgb="FFADB9CA"/>
        <bgColor rgb="FFC0C0C0"/>
      </patternFill>
    </fill>
    <fill>
      <patternFill patternType="solid">
        <fgColor rgb="FFDBDBDB"/>
        <bgColor rgb="FFDDDDDD"/>
      </patternFill>
    </fill>
    <fill>
      <patternFill patternType="solid">
        <fgColor rgb="FFF4B183"/>
        <bgColor rgb="FFFF9999"/>
      </patternFill>
    </fill>
    <fill>
      <patternFill patternType="solid">
        <fgColor rgb="FFFF9999"/>
        <bgColor rgb="FFF4B183"/>
      </patternFill>
    </fill>
    <fill>
      <patternFill patternType="solid">
        <fgColor rgb="FFFFCCCC"/>
        <bgColor rgb="FFF8CBAD"/>
      </patternFill>
    </fill>
    <fill>
      <patternFill patternType="solid">
        <fgColor rgb="FFC1C1C1"/>
        <bgColor rgb="FFC0C0C0"/>
      </patternFill>
    </fill>
    <fill>
      <patternFill patternType="solid">
        <fgColor rgb="FFDDDDDD"/>
        <bgColor rgb="FFDBDBDB"/>
      </patternFill>
    </fill>
    <fill>
      <patternFill patternType="solid">
        <fgColor rgb="FF70AD47"/>
        <bgColor rgb="FF5EB91E"/>
      </patternFill>
    </fill>
    <fill>
      <patternFill patternType="solid">
        <fgColor rgb="FFCCCCCC"/>
        <bgColor rgb="FFD0CECE"/>
      </patternFill>
    </fill>
    <fill>
      <patternFill patternType="solid">
        <fgColor rgb="FFDEEBF7"/>
        <bgColor rgb="FFD9E1F2"/>
      </patternFill>
    </fill>
    <fill>
      <patternFill patternType="solid">
        <fgColor rgb="FF8FAADC"/>
        <bgColor rgb="FF8EA9DB"/>
      </patternFill>
    </fill>
    <fill>
      <patternFill patternType="solid">
        <fgColor rgb="FFFFFF99"/>
        <bgColor rgb="FFFFFFCC"/>
      </patternFill>
    </fill>
    <fill>
      <patternFill patternType="solid">
        <fgColor rgb="FFD6DCE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5983B0"/>
        <bgColor rgb="FF50938A"/>
      </patternFill>
    </fill>
    <fill>
      <patternFill patternType="solid">
        <fgColor rgb="FFCCCCCC"/>
        <bgColor rgb="FFC1C1C1"/>
      </patternFill>
    </fill>
    <fill>
      <patternFill patternType="solid">
        <fgColor rgb="FF808080"/>
        <bgColor rgb="FF000000"/>
      </patternFill>
    </fill>
    <fill>
      <patternFill patternType="solid">
        <fgColor rgb="FFBF819E"/>
        <bgColor rgb="FF999999"/>
      </patternFill>
    </fill>
    <fill>
      <patternFill patternType="solid">
        <fgColor rgb="FFBBE33D"/>
        <bgColor rgb="FFACB20C"/>
      </patternFill>
    </fill>
    <fill>
      <patternFill patternType="solid">
        <fgColor rgb="FFB4C7DC"/>
        <bgColor rgb="FFB3CAC7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A1467E"/>
        <bgColor rgb="FF808080"/>
      </patternFill>
    </fill>
    <fill>
      <patternFill patternType="solid">
        <fgColor rgb="FF5EB91E"/>
        <bgColor rgb="FF339966"/>
      </patternFill>
    </fill>
    <fill>
      <patternFill patternType="solid">
        <fgColor rgb="FFDDDDDD"/>
        <bgColor rgb="FFD9D9D9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1D4E7B"/>
        <bgColor rgb="FF444444"/>
      </patternFill>
    </fill>
  </fills>
  <borders count="2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rgb="FFB4C6E7"/>
      </top>
      <bottom/>
      <diagonal/>
    </border>
    <border>
      <left/>
      <right/>
      <top style="thin">
        <color rgb="FFB4C6E7"/>
      </top>
      <bottom style="thin">
        <color rgb="FF9BC2E6"/>
      </bottom>
      <diagonal/>
    </border>
    <border>
      <left/>
      <right/>
      <top style="thin">
        <color rgb="FFB4C6E7"/>
      </top>
      <bottom style="thin">
        <color rgb="FFB4C6E7"/>
      </bottom>
      <diagonal/>
    </border>
    <border>
      <left/>
      <right/>
      <top style="thin">
        <color rgb="FF9BC2E6"/>
      </top>
      <bottom style="thin">
        <color rgb="FFB4C6E7"/>
      </bottom>
      <diagonal/>
    </border>
    <border>
      <left/>
      <right/>
      <top/>
      <bottom style="thin">
        <color rgb="FFB4C6E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/>
      <top/>
      <bottom style="thin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9BC2E6"/>
      </left>
      <right/>
      <top style="thin">
        <color rgb="FFB4C6E7"/>
      </top>
      <bottom style="thin">
        <color rgb="FF9BC2E6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5">
    <xf numFmtId="0" fontId="0" fillId="0" borderId="0"/>
    <xf numFmtId="168" fontId="12" fillId="0" borderId="0"/>
    <xf numFmtId="9" fontId="15" fillId="0" borderId="0" applyBorder="0" applyProtection="0"/>
    <xf numFmtId="166" fontId="1" fillId="0" borderId="0" applyBorder="0" applyProtection="0"/>
    <xf numFmtId="0" fontId="47" fillId="0" borderId="0" applyNumberFormat="0" applyFill="0" applyBorder="0" applyAlignment="0" applyProtection="0"/>
  </cellStyleXfs>
  <cellXfs count="1183">
    <xf numFmtId="0" fontId="0" fillId="0" borderId="0" xfId="0"/>
    <xf numFmtId="0" fontId="6" fillId="3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7" fontId="3" fillId="0" borderId="3" xfId="0" applyNumberFormat="1" applyFont="1" applyBorder="1" applyAlignment="1">
      <alignment vertical="center"/>
    </xf>
    <xf numFmtId="167" fontId="3" fillId="0" borderId="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/>
    <xf numFmtId="0" fontId="6" fillId="0" borderId="10" xfId="0" applyFont="1" applyBorder="1"/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9" fontId="13" fillId="0" borderId="0" xfId="1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7" fillId="8" borderId="13" xfId="0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165" fontId="15" fillId="0" borderId="20" xfId="0" applyNumberFormat="1" applyFont="1" applyBorder="1" applyAlignment="1">
      <alignment vertical="center"/>
    </xf>
    <xf numFmtId="165" fontId="15" fillId="0" borderId="21" xfId="0" applyNumberFormat="1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9" fillId="8" borderId="25" xfId="0" applyFont="1" applyFill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165" fontId="15" fillId="0" borderId="27" xfId="0" applyNumberFormat="1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164" fontId="15" fillId="0" borderId="30" xfId="0" applyNumberFormat="1" applyFont="1" applyBorder="1" applyAlignment="1">
      <alignment vertical="center"/>
    </xf>
    <xf numFmtId="164" fontId="15" fillId="0" borderId="33" xfId="0" applyNumberFormat="1" applyFont="1" applyBorder="1" applyAlignment="1">
      <alignment vertical="center"/>
    </xf>
    <xf numFmtId="0" fontId="15" fillId="9" borderId="33" xfId="0" applyFont="1" applyFill="1" applyBorder="1" applyAlignment="1">
      <alignment vertical="center"/>
    </xf>
    <xf numFmtId="0" fontId="15" fillId="9" borderId="0" xfId="0" applyFont="1" applyFill="1" applyAlignment="1">
      <alignment vertical="center"/>
    </xf>
    <xf numFmtId="171" fontId="15" fillId="9" borderId="0" xfId="0" applyNumberFormat="1" applyFont="1" applyFill="1" applyAlignment="1">
      <alignment vertical="center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2" fontId="15" fillId="9" borderId="3" xfId="0" applyNumberFormat="1" applyFont="1" applyFill="1" applyBorder="1" applyAlignment="1">
      <alignment vertical="center"/>
    </xf>
    <xf numFmtId="0" fontId="17" fillId="3" borderId="37" xfId="0" applyFont="1" applyFill="1" applyBorder="1" applyAlignment="1">
      <alignment horizontal="center" vertical="center" wrapText="1"/>
    </xf>
    <xf numFmtId="165" fontId="15" fillId="9" borderId="0" xfId="0" applyNumberFormat="1" applyFont="1" applyFill="1" applyAlignment="1">
      <alignment vertical="center"/>
    </xf>
    <xf numFmtId="164" fontId="15" fillId="9" borderId="0" xfId="0" applyNumberFormat="1" applyFont="1" applyFill="1" applyAlignment="1">
      <alignment vertical="center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9" fontId="16" fillId="10" borderId="40" xfId="0" applyNumberFormat="1" applyFont="1" applyFill="1" applyBorder="1" applyAlignment="1">
      <alignment horizontal="left" vertical="center"/>
    </xf>
    <xf numFmtId="0" fontId="16" fillId="10" borderId="40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 wrapText="1"/>
    </xf>
    <xf numFmtId="0" fontId="17" fillId="12" borderId="27" xfId="0" applyFont="1" applyFill="1" applyBorder="1" applyAlignment="1">
      <alignment horizontal="center" vertical="center" wrapText="1"/>
    </xf>
    <xf numFmtId="0" fontId="15" fillId="0" borderId="42" xfId="0" applyFont="1" applyBorder="1" applyAlignment="1">
      <alignment vertical="center"/>
    </xf>
    <xf numFmtId="165" fontId="15" fillId="0" borderId="43" xfId="0" applyNumberFormat="1" applyFont="1" applyBorder="1" applyAlignment="1">
      <alignment vertical="center"/>
    </xf>
    <xf numFmtId="0" fontId="17" fillId="15" borderId="8" xfId="0" applyFont="1" applyFill="1" applyBorder="1" applyAlignment="1">
      <alignment horizontal="center" vertical="center" wrapText="1"/>
    </xf>
    <xf numFmtId="0" fontId="17" fillId="15" borderId="27" xfId="0" applyFont="1" applyFill="1" applyBorder="1" applyAlignment="1">
      <alignment horizontal="center" vertical="center" wrapText="1"/>
    </xf>
    <xf numFmtId="0" fontId="17" fillId="15" borderId="18" xfId="0" applyFont="1" applyFill="1" applyBorder="1" applyAlignment="1">
      <alignment horizontal="center" vertical="center" wrapText="1"/>
    </xf>
    <xf numFmtId="171" fontId="15" fillId="0" borderId="31" xfId="0" applyNumberFormat="1" applyFont="1" applyBorder="1" applyAlignment="1">
      <alignment vertical="center"/>
    </xf>
    <xf numFmtId="2" fontId="15" fillId="0" borderId="3" xfId="0" applyNumberFormat="1" applyFont="1" applyBorder="1" applyAlignment="1">
      <alignment vertical="center"/>
    </xf>
    <xf numFmtId="165" fontId="15" fillId="0" borderId="6" xfId="0" applyNumberFormat="1" applyFont="1" applyBorder="1" applyAlignment="1">
      <alignment vertical="center"/>
    </xf>
    <xf numFmtId="171" fontId="15" fillId="0" borderId="32" xfId="0" applyNumberFormat="1" applyFont="1" applyBorder="1" applyAlignment="1">
      <alignment vertical="center"/>
    </xf>
    <xf numFmtId="165" fontId="15" fillId="0" borderId="47" xfId="0" applyNumberFormat="1" applyFont="1" applyBorder="1" applyAlignment="1">
      <alignment vertical="center"/>
    </xf>
    <xf numFmtId="171" fontId="15" fillId="0" borderId="48" xfId="0" applyNumberFormat="1" applyFont="1" applyBorder="1" applyAlignment="1">
      <alignment vertical="center"/>
    </xf>
    <xf numFmtId="2" fontId="15" fillId="0" borderId="7" xfId="0" applyNumberFormat="1" applyFont="1" applyBorder="1" applyAlignment="1">
      <alignment vertical="center"/>
    </xf>
    <xf numFmtId="171" fontId="15" fillId="0" borderId="21" xfId="0" applyNumberFormat="1" applyFont="1" applyBorder="1" applyAlignment="1">
      <alignment vertical="center"/>
    </xf>
    <xf numFmtId="0" fontId="21" fillId="9" borderId="23" xfId="0" applyFont="1" applyFill="1" applyBorder="1" applyAlignment="1">
      <alignment wrapText="1"/>
    </xf>
    <xf numFmtId="0" fontId="15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165" fontId="15" fillId="0" borderId="12" xfId="0" applyNumberFormat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9" fillId="0" borderId="0" xfId="0" applyFont="1"/>
    <xf numFmtId="0" fontId="23" fillId="9" borderId="33" xfId="0" applyFont="1" applyFill="1" applyBorder="1" applyAlignment="1">
      <alignment vertical="center"/>
    </xf>
    <xf numFmtId="0" fontId="23" fillId="9" borderId="0" xfId="0" applyFont="1" applyFill="1" applyAlignment="1">
      <alignment vertical="center"/>
    </xf>
    <xf numFmtId="167" fontId="6" fillId="18" borderId="44" xfId="0" applyNumberFormat="1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vertical="center"/>
    </xf>
    <xf numFmtId="0" fontId="6" fillId="9" borderId="0" xfId="0" applyFont="1" applyFill="1" applyAlignment="1">
      <alignment horizontal="right" vertical="center"/>
    </xf>
    <xf numFmtId="173" fontId="3" fillId="18" borderId="23" xfId="1" applyNumberFormat="1" applyFont="1" applyFill="1" applyBorder="1" applyAlignment="1">
      <alignment horizontal="center" vertical="center"/>
    </xf>
    <xf numFmtId="167" fontId="3" fillId="18" borderId="23" xfId="0" applyNumberFormat="1" applyFont="1" applyFill="1" applyBorder="1" applyAlignment="1">
      <alignment horizontal="center" vertical="center"/>
    </xf>
    <xf numFmtId="167" fontId="3" fillId="18" borderId="41" xfId="0" applyNumberFormat="1" applyFont="1" applyFill="1" applyBorder="1" applyAlignment="1">
      <alignment horizontal="center" vertical="center"/>
    </xf>
    <xf numFmtId="0" fontId="22" fillId="21" borderId="23" xfId="0" applyFont="1" applyFill="1" applyBorder="1" applyAlignment="1">
      <alignment vertical="center" wrapText="1"/>
    </xf>
    <xf numFmtId="169" fontId="22" fillId="21" borderId="3" xfId="1" applyNumberFormat="1" applyFont="1" applyFill="1" applyBorder="1" applyAlignment="1">
      <alignment horizontal="center" vertical="center"/>
    </xf>
    <xf numFmtId="169" fontId="22" fillId="21" borderId="51" xfId="1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vertical="center" wrapText="1"/>
    </xf>
    <xf numFmtId="165" fontId="24" fillId="9" borderId="3" xfId="2" applyNumberFormat="1" applyFont="1" applyFill="1" applyBorder="1" applyAlignment="1" applyProtection="1">
      <alignment vertical="center"/>
    </xf>
    <xf numFmtId="169" fontId="22" fillId="9" borderId="3" xfId="1" applyNumberFormat="1" applyFont="1" applyFill="1" applyBorder="1"/>
    <xf numFmtId="169" fontId="22" fillId="9" borderId="51" xfId="1" applyNumberFormat="1" applyFont="1" applyFill="1" applyBorder="1"/>
    <xf numFmtId="10" fontId="24" fillId="9" borderId="3" xfId="2" applyNumberFormat="1" applyFont="1" applyFill="1" applyBorder="1" applyAlignment="1" applyProtection="1">
      <alignment vertical="center"/>
    </xf>
    <xf numFmtId="169" fontId="25" fillId="9" borderId="3" xfId="2" applyNumberFormat="1" applyFont="1" applyFill="1" applyBorder="1" applyAlignment="1" applyProtection="1">
      <alignment vertical="center"/>
    </xf>
    <xf numFmtId="10" fontId="25" fillId="9" borderId="3" xfId="0" applyNumberFormat="1" applyFont="1" applyFill="1" applyBorder="1" applyAlignment="1">
      <alignment vertical="center"/>
    </xf>
    <xf numFmtId="0" fontId="20" fillId="7" borderId="23" xfId="0" applyFont="1" applyFill="1" applyBorder="1" applyAlignment="1">
      <alignment horizontal="right" vertical="center"/>
    </xf>
    <xf numFmtId="9" fontId="20" fillId="7" borderId="3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vertical="center"/>
    </xf>
    <xf numFmtId="169" fontId="22" fillId="22" borderId="3" xfId="1" applyNumberFormat="1" applyFont="1" applyFill="1" applyBorder="1" applyAlignment="1">
      <alignment horizontal="center" vertical="center"/>
    </xf>
    <xf numFmtId="169" fontId="22" fillId="22" borderId="51" xfId="1" applyNumberFormat="1" applyFont="1" applyFill="1" applyBorder="1" applyAlignment="1">
      <alignment horizontal="center" vertical="center"/>
    </xf>
    <xf numFmtId="0" fontId="21" fillId="0" borderId="23" xfId="0" applyFont="1" applyBorder="1" applyAlignment="1">
      <alignment vertical="center"/>
    </xf>
    <xf numFmtId="10" fontId="20" fillId="7" borderId="3" xfId="0" applyNumberFormat="1" applyFont="1" applyFill="1" applyBorder="1" applyAlignment="1">
      <alignment horizontal="center" vertical="center"/>
    </xf>
    <xf numFmtId="2" fontId="20" fillId="7" borderId="3" xfId="0" applyNumberFormat="1" applyFont="1" applyFill="1" applyBorder="1" applyAlignment="1">
      <alignment horizontal="right" vertical="center"/>
    </xf>
    <xf numFmtId="2" fontId="20" fillId="7" borderId="51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/>
    </xf>
    <xf numFmtId="0" fontId="20" fillId="3" borderId="51" xfId="0" applyFont="1" applyFill="1" applyBorder="1" applyAlignment="1">
      <alignment vertical="center"/>
    </xf>
    <xf numFmtId="169" fontId="22" fillId="9" borderId="3" xfId="1" applyNumberFormat="1" applyFont="1" applyFill="1" applyBorder="1" applyAlignment="1">
      <alignment vertical="center"/>
    </xf>
    <xf numFmtId="169" fontId="22" fillId="9" borderId="51" xfId="1" applyNumberFormat="1" applyFont="1" applyFill="1" applyBorder="1" applyAlignment="1">
      <alignment vertical="center"/>
    </xf>
    <xf numFmtId="174" fontId="24" fillId="9" borderId="3" xfId="2" applyNumberFormat="1" applyFont="1" applyFill="1" applyBorder="1" applyAlignment="1" applyProtection="1">
      <alignment horizontal="right" vertical="center"/>
    </xf>
    <xf numFmtId="174" fontId="24" fillId="9" borderId="3" xfId="2" applyNumberFormat="1" applyFont="1" applyFill="1" applyBorder="1" applyAlignment="1" applyProtection="1">
      <alignment vertical="center"/>
    </xf>
    <xf numFmtId="166" fontId="24" fillId="9" borderId="3" xfId="2" applyNumberFormat="1" applyFont="1" applyFill="1" applyBorder="1" applyAlignment="1" applyProtection="1">
      <alignment vertical="center"/>
    </xf>
    <xf numFmtId="10" fontId="21" fillId="0" borderId="3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vertical="center"/>
    </xf>
    <xf numFmtId="4" fontId="21" fillId="0" borderId="51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20" fillId="3" borderId="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2" fontId="21" fillId="0" borderId="3" xfId="0" applyNumberFormat="1" applyFont="1" applyBorder="1" applyAlignment="1">
      <alignment horizontal="right" vertical="center"/>
    </xf>
    <xf numFmtId="4" fontId="20" fillId="7" borderId="3" xfId="0" applyNumberFormat="1" applyFont="1" applyFill="1" applyBorder="1" applyAlignment="1">
      <alignment horizontal="right" vertical="center"/>
    </xf>
    <xf numFmtId="4" fontId="20" fillId="7" borderId="51" xfId="0" applyNumberFormat="1" applyFont="1" applyFill="1" applyBorder="1" applyAlignment="1">
      <alignment horizontal="right" vertical="center"/>
    </xf>
    <xf numFmtId="10" fontId="24" fillId="9" borderId="3" xfId="2" applyNumberFormat="1" applyFont="1" applyFill="1" applyBorder="1" applyAlignment="1" applyProtection="1">
      <alignment vertical="center"/>
      <protection locked="0"/>
    </xf>
    <xf numFmtId="0" fontId="22" fillId="23" borderId="23" xfId="0" applyFont="1" applyFill="1" applyBorder="1" applyAlignment="1">
      <alignment horizontal="right" vertical="center" wrapText="1"/>
    </xf>
    <xf numFmtId="10" fontId="22" fillId="23" borderId="3" xfId="0" applyNumberFormat="1" applyFont="1" applyFill="1" applyBorder="1" applyAlignment="1">
      <alignment horizontal="right" vertical="center" wrapText="1"/>
    </xf>
    <xf numFmtId="169" fontId="22" fillId="23" borderId="3" xfId="0" applyNumberFormat="1" applyFont="1" applyFill="1" applyBorder="1" applyAlignment="1">
      <alignment vertical="center"/>
    </xf>
    <xf numFmtId="169" fontId="22" fillId="23" borderId="51" xfId="0" applyNumberFormat="1" applyFont="1" applyFill="1" applyBorder="1" applyAlignment="1">
      <alignment vertical="center"/>
    </xf>
    <xf numFmtId="0" fontId="21" fillId="0" borderId="23" xfId="0" applyFont="1" applyBorder="1" applyAlignment="1">
      <alignment wrapText="1"/>
    </xf>
    <xf numFmtId="171" fontId="24" fillId="9" borderId="3" xfId="2" applyNumberFormat="1" applyFont="1" applyFill="1" applyBorder="1" applyProtection="1"/>
    <xf numFmtId="171" fontId="24" fillId="9" borderId="3" xfId="2" applyNumberFormat="1" applyFont="1" applyFill="1" applyBorder="1" applyAlignment="1" applyProtection="1">
      <alignment vertical="center"/>
    </xf>
    <xf numFmtId="0" fontId="25" fillId="23" borderId="3" xfId="0" applyFont="1" applyFill="1" applyBorder="1" applyAlignment="1">
      <alignment vertical="center"/>
    </xf>
    <xf numFmtId="0" fontId="9" fillId="9" borderId="11" xfId="0" applyFont="1" applyFill="1" applyBorder="1" applyAlignment="1">
      <alignment horizontal="center" vertical="center"/>
    </xf>
    <xf numFmtId="0" fontId="9" fillId="9" borderId="58" xfId="0" applyFont="1" applyFill="1" applyBorder="1" applyAlignment="1">
      <alignment horizontal="center" vertical="center"/>
    </xf>
    <xf numFmtId="169" fontId="22" fillId="9" borderId="3" xfId="0" applyNumberFormat="1" applyFont="1" applyFill="1" applyBorder="1" applyAlignment="1">
      <alignment vertical="center"/>
    </xf>
    <xf numFmtId="169" fontId="22" fillId="9" borderId="51" xfId="0" applyNumberFormat="1" applyFont="1" applyFill="1" applyBorder="1" applyAlignment="1">
      <alignment vertical="center"/>
    </xf>
    <xf numFmtId="169" fontId="26" fillId="9" borderId="3" xfId="0" applyNumberFormat="1" applyFont="1" applyFill="1" applyBorder="1" applyAlignment="1">
      <alignment vertical="center"/>
    </xf>
    <xf numFmtId="169" fontId="26" fillId="9" borderId="51" xfId="0" applyNumberFormat="1" applyFont="1" applyFill="1" applyBorder="1" applyAlignment="1">
      <alignment vertical="center"/>
    </xf>
    <xf numFmtId="0" fontId="22" fillId="23" borderId="41" xfId="0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31" borderId="12" xfId="0" applyFont="1" applyFill="1" applyBorder="1" applyAlignment="1">
      <alignment horizontal="center" vertical="center" wrapText="1"/>
    </xf>
    <xf numFmtId="0" fontId="20" fillId="17" borderId="1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20" fillId="17" borderId="39" xfId="0" applyFont="1" applyFill="1" applyBorder="1" applyAlignment="1">
      <alignment horizontal="center" vertical="center" wrapText="1"/>
    </xf>
    <xf numFmtId="0" fontId="32" fillId="37" borderId="38" xfId="0" applyFont="1" applyFill="1" applyBorder="1" applyAlignment="1">
      <alignment horizontal="center" vertical="center" wrapText="1"/>
    </xf>
    <xf numFmtId="0" fontId="33" fillId="38" borderId="12" xfId="0" applyFont="1" applyFill="1" applyBorder="1" applyAlignment="1">
      <alignment horizontal="center" vertical="center" wrapText="1"/>
    </xf>
    <xf numFmtId="172" fontId="32" fillId="30" borderId="30" xfId="0" applyNumberFormat="1" applyFont="1" applyFill="1" applyBorder="1" applyAlignment="1">
      <alignment horizontal="center" vertical="center" wrapText="1"/>
    </xf>
    <xf numFmtId="172" fontId="21" fillId="38" borderId="50" xfId="1" applyNumberFormat="1" applyFont="1" applyFill="1" applyBorder="1" applyAlignment="1">
      <alignment horizontal="center" vertical="center"/>
    </xf>
    <xf numFmtId="172" fontId="32" fillId="30" borderId="61" xfId="0" applyNumberFormat="1" applyFont="1" applyFill="1" applyBorder="1" applyAlignment="1">
      <alignment horizontal="center" vertical="center" wrapText="1"/>
    </xf>
    <xf numFmtId="172" fontId="21" fillId="38" borderId="51" xfId="1" applyNumberFormat="1" applyFont="1" applyFill="1" applyBorder="1" applyAlignment="1">
      <alignment horizontal="center" vertical="center"/>
    </xf>
    <xf numFmtId="0" fontId="14" fillId="0" borderId="0" xfId="0" applyFont="1"/>
    <xf numFmtId="2" fontId="30" fillId="0" borderId="0" xfId="0" applyNumberFormat="1" applyFont="1" applyAlignment="1">
      <alignment horizontal="center"/>
    </xf>
    <xf numFmtId="0" fontId="2" fillId="0" borderId="0" xfId="0" applyFont="1"/>
    <xf numFmtId="4" fontId="37" fillId="2" borderId="66" xfId="0" applyNumberFormat="1" applyFont="1" applyFill="1" applyBorder="1" applyAlignment="1">
      <alignment horizontal="center" vertical="center"/>
    </xf>
    <xf numFmtId="166" fontId="37" fillId="2" borderId="66" xfId="0" applyNumberFormat="1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vertical="center"/>
    </xf>
    <xf numFmtId="0" fontId="37" fillId="2" borderId="66" xfId="0" applyFont="1" applyFill="1" applyBorder="1" applyAlignment="1">
      <alignment horizontal="center" vertical="center"/>
    </xf>
    <xf numFmtId="0" fontId="35" fillId="2" borderId="66" xfId="0" applyFont="1" applyFill="1" applyBorder="1" applyAlignment="1">
      <alignment horizontal="left" vertical="center"/>
    </xf>
    <xf numFmtId="4" fontId="38" fillId="2" borderId="67" xfId="0" applyNumberFormat="1" applyFont="1" applyFill="1" applyBorder="1" applyAlignment="1">
      <alignment horizontal="center" vertical="center"/>
    </xf>
    <xf numFmtId="4" fontId="39" fillId="2" borderId="67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4" fontId="37" fillId="2" borderId="0" xfId="0" applyNumberFormat="1" applyFont="1" applyFill="1" applyAlignment="1">
      <alignment horizontal="center" vertical="center"/>
    </xf>
    <xf numFmtId="0" fontId="0" fillId="2" borderId="69" xfId="0" applyFill="1" applyBorder="1" applyAlignment="1">
      <alignment vertical="center"/>
    </xf>
    <xf numFmtId="0" fontId="37" fillId="2" borderId="69" xfId="0" applyFont="1" applyFill="1" applyBorder="1" applyAlignment="1">
      <alignment horizontal="center" vertical="center"/>
    </xf>
    <xf numFmtId="4" fontId="37" fillId="2" borderId="69" xfId="0" applyNumberFormat="1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22" fillId="9" borderId="44" xfId="0" applyFont="1" applyFill="1" applyBorder="1" applyAlignment="1">
      <alignment horizontal="center" vertical="center"/>
    </xf>
    <xf numFmtId="0" fontId="22" fillId="19" borderId="45" xfId="0" applyFont="1" applyFill="1" applyBorder="1" applyAlignment="1">
      <alignment horizontal="center" vertical="center" wrapText="1"/>
    </xf>
    <xf numFmtId="169" fontId="22" fillId="21" borderId="6" xfId="1" applyNumberFormat="1" applyFont="1" applyFill="1" applyBorder="1" applyAlignment="1">
      <alignment horizontal="center" vertical="center"/>
    </xf>
    <xf numFmtId="169" fontId="22" fillId="9" borderId="6" xfId="1" applyNumberFormat="1" applyFont="1" applyFill="1" applyBorder="1"/>
    <xf numFmtId="2" fontId="20" fillId="7" borderId="6" xfId="0" applyNumberFormat="1" applyFont="1" applyFill="1" applyBorder="1" applyAlignment="1">
      <alignment horizontal="right" vertical="center"/>
    </xf>
    <xf numFmtId="0" fontId="9" fillId="9" borderId="6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vertical="center"/>
    </xf>
    <xf numFmtId="169" fontId="22" fillId="9" borderId="6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4" fontId="20" fillId="7" borderId="6" xfId="0" applyNumberFormat="1" applyFont="1" applyFill="1" applyBorder="1" applyAlignment="1">
      <alignment horizontal="right" vertical="center"/>
    </xf>
    <xf numFmtId="169" fontId="22" fillId="22" borderId="6" xfId="1" applyNumberFormat="1" applyFont="1" applyFill="1" applyBorder="1" applyAlignment="1">
      <alignment horizontal="center" vertical="center"/>
    </xf>
    <xf numFmtId="169" fontId="22" fillId="23" borderId="6" xfId="0" applyNumberFormat="1" applyFont="1" applyFill="1" applyBorder="1" applyAlignment="1">
      <alignment vertical="center"/>
    </xf>
    <xf numFmtId="0" fontId="22" fillId="20" borderId="63" xfId="0" applyFont="1" applyFill="1" applyBorder="1" applyAlignment="1">
      <alignment vertical="center" wrapText="1"/>
    </xf>
    <xf numFmtId="0" fontId="22" fillId="20" borderId="4" xfId="0" applyFont="1" applyFill="1" applyBorder="1" applyAlignment="1">
      <alignment vertical="center" wrapText="1"/>
    </xf>
    <xf numFmtId="0" fontId="22" fillId="20" borderId="28" xfId="0" applyFont="1" applyFill="1" applyBorder="1" applyAlignment="1">
      <alignment vertical="center" wrapText="1"/>
    </xf>
    <xf numFmtId="0" fontId="9" fillId="9" borderId="47" xfId="0" applyFont="1" applyFill="1" applyBorder="1" applyAlignment="1">
      <alignment horizontal="center" vertical="center"/>
    </xf>
    <xf numFmtId="0" fontId="22" fillId="45" borderId="23" xfId="0" applyFont="1" applyFill="1" applyBorder="1" applyAlignment="1">
      <alignment vertical="center" wrapText="1"/>
    </xf>
    <xf numFmtId="10" fontId="24" fillId="45" borderId="3" xfId="2" applyNumberFormat="1" applyFont="1" applyFill="1" applyBorder="1" applyAlignment="1" applyProtection="1">
      <alignment vertical="center"/>
    </xf>
    <xf numFmtId="169" fontId="22" fillId="45" borderId="3" xfId="1" applyNumberFormat="1" applyFont="1" applyFill="1" applyBorder="1" applyAlignment="1">
      <alignment horizontal="left" vertical="center"/>
    </xf>
    <xf numFmtId="169" fontId="9" fillId="0" borderId="3" xfId="1" applyNumberFormat="1" applyFont="1" applyBorder="1" applyAlignment="1">
      <alignment vertical="center"/>
    </xf>
    <xf numFmtId="169" fontId="9" fillId="0" borderId="11" xfId="1" applyNumberFormat="1" applyFont="1" applyBorder="1" applyAlignment="1">
      <alignment vertical="center"/>
    </xf>
    <xf numFmtId="4" fontId="9" fillId="0" borderId="0" xfId="0" applyNumberFormat="1" applyFont="1"/>
    <xf numFmtId="10" fontId="24" fillId="9" borderId="11" xfId="2" applyNumberFormat="1" applyFont="1" applyFill="1" applyBorder="1" applyAlignment="1" applyProtection="1">
      <alignment vertical="center"/>
    </xf>
    <xf numFmtId="10" fontId="24" fillId="46" borderId="59" xfId="2" applyNumberFormat="1" applyFont="1" applyFill="1" applyBorder="1" applyAlignment="1" applyProtection="1">
      <alignment vertical="center"/>
    </xf>
    <xf numFmtId="169" fontId="22" fillId="46" borderId="45" xfId="1" applyNumberFormat="1" applyFont="1" applyFill="1" applyBorder="1" applyAlignment="1">
      <alignment vertical="center"/>
    </xf>
    <xf numFmtId="10" fontId="24" fillId="46" borderId="61" xfId="2" applyNumberFormat="1" applyFont="1" applyFill="1" applyBorder="1" applyAlignment="1" applyProtection="1">
      <alignment vertical="center"/>
    </xf>
    <xf numFmtId="169" fontId="22" fillId="46" borderId="3" xfId="1" applyNumberFormat="1" applyFont="1" applyFill="1" applyBorder="1" applyAlignment="1">
      <alignment vertical="center"/>
    </xf>
    <xf numFmtId="10" fontId="24" fillId="46" borderId="64" xfId="2" applyNumberFormat="1" applyFont="1" applyFill="1" applyBorder="1" applyAlignment="1" applyProtection="1">
      <alignment vertical="center"/>
    </xf>
    <xf numFmtId="169" fontId="22" fillId="46" borderId="42" xfId="1" applyNumberFormat="1" applyFont="1" applyFill="1" applyBorder="1" applyAlignment="1">
      <alignment vertical="center"/>
    </xf>
    <xf numFmtId="0" fontId="24" fillId="9" borderId="7" xfId="2" applyNumberFormat="1" applyFont="1" applyFill="1" applyBorder="1" applyAlignment="1" applyProtection="1">
      <alignment vertical="center"/>
    </xf>
    <xf numFmtId="169" fontId="9" fillId="9" borderId="7" xfId="1" applyNumberFormat="1" applyFont="1" applyFill="1" applyBorder="1" applyAlignment="1">
      <alignment vertical="center"/>
    </xf>
    <xf numFmtId="169" fontId="9" fillId="9" borderId="20" xfId="1" applyNumberFormat="1" applyFont="1" applyFill="1" applyBorder="1" applyAlignment="1">
      <alignment vertical="center"/>
    </xf>
    <xf numFmtId="169" fontId="9" fillId="9" borderId="57" xfId="1" applyNumberFormat="1" applyFont="1" applyFill="1" applyBorder="1" applyAlignment="1">
      <alignment vertical="center"/>
    </xf>
    <xf numFmtId="10" fontId="22" fillId="23" borderId="42" xfId="0" applyNumberFormat="1" applyFont="1" applyFill="1" applyBorder="1" applyAlignment="1">
      <alignment horizontal="right" vertical="center" wrapText="1"/>
    </xf>
    <xf numFmtId="169" fontId="22" fillId="23" borderId="42" xfId="0" applyNumberFormat="1" applyFont="1" applyFill="1" applyBorder="1" applyAlignment="1">
      <alignment vertical="center"/>
    </xf>
    <xf numFmtId="169" fontId="22" fillId="23" borderId="43" xfId="0" applyNumberFormat="1" applyFont="1" applyFill="1" applyBorder="1" applyAlignment="1">
      <alignment vertical="center"/>
    </xf>
    <xf numFmtId="169" fontId="22" fillId="23" borderId="52" xfId="0" applyNumberFormat="1" applyFont="1" applyFill="1" applyBorder="1" applyAlignment="1">
      <alignment vertical="center"/>
    </xf>
    <xf numFmtId="0" fontId="22" fillId="24" borderId="45" xfId="0" applyFont="1" applyFill="1" applyBorder="1" applyAlignment="1">
      <alignment horizontal="center" vertical="center" wrapText="1"/>
    </xf>
    <xf numFmtId="0" fontId="22" fillId="24" borderId="46" xfId="0" applyFont="1" applyFill="1" applyBorder="1" applyAlignment="1">
      <alignment horizontal="center" vertical="center" wrapText="1"/>
    </xf>
    <xf numFmtId="0" fontId="22" fillId="24" borderId="50" xfId="0" applyFont="1" applyFill="1" applyBorder="1" applyAlignment="1">
      <alignment horizontal="center" vertical="center" wrapText="1"/>
    </xf>
    <xf numFmtId="169" fontId="22" fillId="25" borderId="11" xfId="1" applyNumberFormat="1" applyFont="1" applyFill="1" applyBorder="1" applyAlignment="1">
      <alignment horizontal="center" vertical="center"/>
    </xf>
    <xf numFmtId="169" fontId="22" fillId="25" borderId="58" xfId="1" applyNumberFormat="1" applyFont="1" applyFill="1" applyBorder="1" applyAlignment="1">
      <alignment horizontal="center" vertical="center"/>
    </xf>
    <xf numFmtId="169" fontId="22" fillId="9" borderId="45" xfId="0" applyNumberFormat="1" applyFont="1" applyFill="1" applyBorder="1" applyAlignment="1">
      <alignment vertical="center"/>
    </xf>
    <xf numFmtId="169" fontId="22" fillId="9" borderId="50" xfId="0" applyNumberFormat="1" applyFont="1" applyFill="1" applyBorder="1" applyAlignment="1">
      <alignment vertical="center"/>
    </xf>
    <xf numFmtId="169" fontId="26" fillId="9" borderId="6" xfId="0" applyNumberFormat="1" applyFont="1" applyFill="1" applyBorder="1" applyAlignment="1">
      <alignment vertical="center"/>
    </xf>
    <xf numFmtId="169" fontId="26" fillId="9" borderId="11" xfId="0" applyNumberFormat="1" applyFont="1" applyFill="1" applyBorder="1" applyAlignment="1">
      <alignment vertical="center"/>
    </xf>
    <xf numFmtId="169" fontId="26" fillId="9" borderId="58" xfId="0" applyNumberFormat="1" applyFont="1" applyFill="1" applyBorder="1" applyAlignment="1">
      <alignment vertical="center"/>
    </xf>
    <xf numFmtId="169" fontId="26" fillId="9" borderId="62" xfId="0" applyNumberFormat="1" applyFont="1" applyFill="1" applyBorder="1" applyAlignment="1">
      <alignment vertical="center"/>
    </xf>
    <xf numFmtId="169" fontId="26" fillId="9" borderId="28" xfId="0" applyNumberFormat="1" applyFont="1" applyFill="1" applyBorder="1" applyAlignment="1">
      <alignment vertical="center"/>
    </xf>
    <xf numFmtId="0" fontId="22" fillId="26" borderId="38" xfId="0" applyFont="1" applyFill="1" applyBorder="1" applyAlignment="1">
      <alignment vertical="center" wrapText="1"/>
    </xf>
    <xf numFmtId="0" fontId="22" fillId="26" borderId="40" xfId="0" applyFont="1" applyFill="1" applyBorder="1" applyAlignment="1">
      <alignment vertical="center" wrapText="1"/>
    </xf>
    <xf numFmtId="175" fontId="22" fillId="26" borderId="40" xfId="0" applyNumberFormat="1" applyFont="1" applyFill="1" applyBorder="1" applyAlignment="1">
      <alignment horizontal="right" vertical="center" wrapText="1"/>
    </xf>
    <xf numFmtId="175" fontId="22" fillId="26" borderId="54" xfId="0" applyNumberFormat="1" applyFont="1" applyFill="1" applyBorder="1" applyAlignment="1">
      <alignment horizontal="right" vertical="center" wrapText="1"/>
    </xf>
    <xf numFmtId="0" fontId="22" fillId="26" borderId="33" xfId="0" applyFont="1" applyFill="1" applyBorder="1" applyAlignment="1">
      <alignment vertical="center" wrapText="1"/>
    </xf>
    <xf numFmtId="0" fontId="22" fillId="26" borderId="0" xfId="0" applyFont="1" applyFill="1" applyAlignment="1">
      <alignment vertical="center" wrapText="1"/>
    </xf>
    <xf numFmtId="175" fontId="22" fillId="26" borderId="0" xfId="0" applyNumberFormat="1" applyFont="1" applyFill="1" applyAlignment="1">
      <alignment horizontal="right" vertical="center" wrapText="1"/>
    </xf>
    <xf numFmtId="175" fontId="22" fillId="26" borderId="29" xfId="0" applyNumberFormat="1" applyFont="1" applyFill="1" applyBorder="1" applyAlignment="1">
      <alignment horizontal="right" vertical="center" wrapText="1"/>
    </xf>
    <xf numFmtId="0" fontId="22" fillId="30" borderId="40" xfId="0" applyFont="1" applyFill="1" applyBorder="1" applyAlignment="1">
      <alignment vertical="center" wrapText="1"/>
    </xf>
    <xf numFmtId="175" fontId="30" fillId="30" borderId="40" xfId="0" applyNumberFormat="1" applyFont="1" applyFill="1" applyBorder="1" applyAlignment="1">
      <alignment horizontal="right" vertical="center" wrapText="1"/>
    </xf>
    <xf numFmtId="0" fontId="22" fillId="30" borderId="0" xfId="0" applyFont="1" applyFill="1" applyAlignment="1">
      <alignment vertical="center" wrapText="1"/>
    </xf>
    <xf numFmtId="175" fontId="30" fillId="30" borderId="0" xfId="0" applyNumberFormat="1" applyFont="1" applyFill="1" applyAlignment="1">
      <alignment horizontal="right" vertical="center" wrapText="1"/>
    </xf>
    <xf numFmtId="0" fontId="9" fillId="0" borderId="33" xfId="0" applyFont="1" applyBorder="1"/>
    <xf numFmtId="0" fontId="9" fillId="9" borderId="33" xfId="0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178" fontId="9" fillId="9" borderId="0" xfId="0" applyNumberFormat="1" applyFont="1" applyFill="1" applyAlignment="1">
      <alignment vertical="center"/>
    </xf>
    <xf numFmtId="0" fontId="9" fillId="9" borderId="0" xfId="0" applyFont="1" applyFill="1"/>
    <xf numFmtId="0" fontId="0" fillId="9" borderId="0" xfId="0" applyFill="1"/>
    <xf numFmtId="0" fontId="22" fillId="19" borderId="5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15" fillId="0" borderId="70" xfId="0" applyFont="1" applyBorder="1" applyAlignment="1">
      <alignment vertical="center"/>
    </xf>
    <xf numFmtId="2" fontId="15" fillId="0" borderId="70" xfId="0" applyNumberFormat="1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7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6" fillId="48" borderId="7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81" fontId="3" fillId="0" borderId="9" xfId="0" applyNumberFormat="1" applyFont="1" applyBorder="1"/>
    <xf numFmtId="0" fontId="20" fillId="26" borderId="40" xfId="3" applyNumberFormat="1" applyFont="1" applyFill="1" applyBorder="1" applyAlignment="1" applyProtection="1">
      <alignment horizontal="center" vertical="center"/>
    </xf>
    <xf numFmtId="10" fontId="21" fillId="39" borderId="2" xfId="0" applyNumberFormat="1" applyFont="1" applyFill="1" applyBorder="1" applyAlignment="1" applyProtection="1">
      <alignment horizontal="center" vertical="center" wrapText="1"/>
      <protection locked="0"/>
    </xf>
    <xf numFmtId="10" fontId="21" fillId="40" borderId="60" xfId="0" applyNumberFormat="1" applyFont="1" applyFill="1" applyBorder="1" applyAlignment="1" applyProtection="1">
      <alignment horizontal="center" vertical="center"/>
      <protection locked="0"/>
    </xf>
    <xf numFmtId="10" fontId="3" fillId="0" borderId="3" xfId="0" applyNumberFormat="1" applyFont="1" applyBorder="1" applyAlignment="1">
      <alignment horizontal="center"/>
    </xf>
    <xf numFmtId="0" fontId="22" fillId="47" borderId="70" xfId="0" applyFont="1" applyFill="1" applyBorder="1" applyAlignment="1">
      <alignment horizontal="center" vertical="center"/>
    </xf>
    <xf numFmtId="0" fontId="22" fillId="47" borderId="70" xfId="0" applyFont="1" applyFill="1" applyBorder="1" applyAlignment="1">
      <alignment horizontal="center" vertical="center" wrapText="1"/>
    </xf>
    <xf numFmtId="0" fontId="9" fillId="47" borderId="70" xfId="0" applyFont="1" applyFill="1" applyBorder="1"/>
    <xf numFmtId="177" fontId="9" fillId="47" borderId="70" xfId="0" applyNumberFormat="1" applyFont="1" applyFill="1" applyBorder="1"/>
    <xf numFmtId="169" fontId="9" fillId="47" borderId="70" xfId="0" applyNumberFormat="1" applyFont="1" applyFill="1" applyBorder="1"/>
    <xf numFmtId="0" fontId="22" fillId="47" borderId="70" xfId="0" applyFont="1" applyFill="1" applyBorder="1"/>
    <xf numFmtId="0" fontId="43" fillId="4" borderId="70" xfId="0" applyFont="1" applyFill="1" applyBorder="1" applyAlignment="1">
      <alignment horizontal="right"/>
    </xf>
    <xf numFmtId="177" fontId="43" fillId="4" borderId="70" xfId="0" applyNumberFormat="1" applyFont="1" applyFill="1" applyBorder="1"/>
    <xf numFmtId="169" fontId="43" fillId="4" borderId="70" xfId="0" applyNumberFormat="1" applyFont="1" applyFill="1" applyBorder="1"/>
    <xf numFmtId="179" fontId="9" fillId="47" borderId="70" xfId="0" applyNumberFormat="1" applyFont="1" applyFill="1" applyBorder="1"/>
    <xf numFmtId="4" fontId="9" fillId="47" borderId="70" xfId="0" applyNumberFormat="1" applyFont="1" applyFill="1" applyBorder="1"/>
    <xf numFmtId="0" fontId="43" fillId="31" borderId="70" xfId="0" applyFont="1" applyFill="1" applyBorder="1" applyAlignment="1">
      <alignment horizontal="right"/>
    </xf>
    <xf numFmtId="177" fontId="9" fillId="31" borderId="70" xfId="0" applyNumberFormat="1" applyFont="1" applyFill="1" applyBorder="1"/>
    <xf numFmtId="4" fontId="9" fillId="31" borderId="70" xfId="0" applyNumberFormat="1" applyFont="1" applyFill="1" applyBorder="1"/>
    <xf numFmtId="169" fontId="43" fillId="31" borderId="70" xfId="0" applyNumberFormat="1" applyFont="1" applyFill="1" applyBorder="1"/>
    <xf numFmtId="179" fontId="9" fillId="31" borderId="70" xfId="0" applyNumberFormat="1" applyFont="1" applyFill="1" applyBorder="1"/>
    <xf numFmtId="0" fontId="21" fillId="47" borderId="70" xfId="0" applyFont="1" applyFill="1" applyBorder="1"/>
    <xf numFmtId="0" fontId="40" fillId="17" borderId="70" xfId="0" applyFont="1" applyFill="1" applyBorder="1" applyAlignment="1">
      <alignment horizontal="right" vertical="center" wrapText="1"/>
    </xf>
    <xf numFmtId="180" fontId="9" fillId="17" borderId="70" xfId="0" applyNumberFormat="1" applyFont="1" applyFill="1" applyBorder="1"/>
    <xf numFmtId="4" fontId="9" fillId="17" borderId="70" xfId="0" applyNumberFormat="1" applyFont="1" applyFill="1" applyBorder="1"/>
    <xf numFmtId="169" fontId="43" fillId="17" borderId="70" xfId="0" applyNumberFormat="1" applyFont="1" applyFill="1" applyBorder="1"/>
    <xf numFmtId="168" fontId="8" fillId="0" borderId="19" xfId="1" applyFont="1" applyBorder="1" applyAlignment="1">
      <alignment horizontal="center" vertical="center"/>
    </xf>
    <xf numFmtId="165" fontId="45" fillId="0" borderId="9" xfId="1" applyNumberFormat="1" applyFont="1" applyBorder="1" applyAlignment="1">
      <alignment horizontal="center" vertical="center"/>
    </xf>
    <xf numFmtId="165" fontId="45" fillId="0" borderId="5" xfId="1" applyNumberFormat="1" applyFont="1" applyBorder="1" applyAlignment="1">
      <alignment horizontal="center" vertical="center"/>
    </xf>
    <xf numFmtId="165" fontId="45" fillId="0" borderId="89" xfId="1" applyNumberFormat="1" applyFont="1" applyBorder="1" applyAlignment="1">
      <alignment horizontal="center" vertical="center"/>
    </xf>
    <xf numFmtId="165" fontId="45" fillId="0" borderId="91" xfId="1" applyNumberFormat="1" applyFont="1" applyBorder="1" applyAlignment="1">
      <alignment horizontal="center" vertical="center"/>
    </xf>
    <xf numFmtId="168" fontId="8" fillId="0" borderId="9" xfId="1" applyFont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168" fontId="35" fillId="29" borderId="55" xfId="1" applyFont="1" applyFill="1" applyBorder="1" applyAlignment="1">
      <alignment horizontal="center" vertical="center"/>
    </xf>
    <xf numFmtId="165" fontId="35" fillId="29" borderId="55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94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7" fillId="0" borderId="71" xfId="0" applyFont="1" applyBorder="1" applyAlignment="1">
      <alignment horizontal="left" vertical="center"/>
    </xf>
    <xf numFmtId="0" fontId="7" fillId="0" borderId="94" xfId="0" applyFont="1" applyBorder="1" applyAlignment="1">
      <alignment horizontal="left" vertical="center"/>
    </xf>
    <xf numFmtId="0" fontId="7" fillId="0" borderId="47" xfId="0" applyFont="1" applyBorder="1" applyAlignment="1">
      <alignment vertical="center"/>
    </xf>
    <xf numFmtId="0" fontId="7" fillId="0" borderId="95" xfId="0" applyFont="1" applyBorder="1" applyAlignment="1">
      <alignment vertical="center"/>
    </xf>
    <xf numFmtId="0" fontId="7" fillId="0" borderId="79" xfId="0" applyFont="1" applyBorder="1" applyAlignment="1">
      <alignment vertical="center"/>
    </xf>
    <xf numFmtId="10" fontId="7" fillId="0" borderId="96" xfId="0" applyNumberFormat="1" applyFont="1" applyBorder="1" applyAlignment="1">
      <alignment vertical="center"/>
    </xf>
    <xf numFmtId="10" fontId="7" fillId="0" borderId="97" xfId="0" applyNumberFormat="1" applyFont="1" applyBorder="1" applyAlignment="1">
      <alignment vertical="center"/>
    </xf>
    <xf numFmtId="10" fontId="7" fillId="0" borderId="9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/>
    </xf>
    <xf numFmtId="0" fontId="22" fillId="20" borderId="32" xfId="0" applyFont="1" applyFill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/>
    </xf>
    <xf numFmtId="4" fontId="20" fillId="0" borderId="6" xfId="0" applyNumberFormat="1" applyFont="1" applyBorder="1" applyAlignment="1">
      <alignment horizontal="right" vertical="center"/>
    </xf>
    <xf numFmtId="4" fontId="20" fillId="0" borderId="51" xfId="0" applyNumberFormat="1" applyFont="1" applyBorder="1" applyAlignment="1">
      <alignment horizontal="right" vertical="center"/>
    </xf>
    <xf numFmtId="0" fontId="46" fillId="0" borderId="99" xfId="0" applyFont="1" applyBorder="1"/>
    <xf numFmtId="0" fontId="46" fillId="0" borderId="77" xfId="0" applyFont="1" applyBorder="1"/>
    <xf numFmtId="8" fontId="46" fillId="0" borderId="77" xfId="0" applyNumberFormat="1" applyFont="1" applyBorder="1" applyAlignment="1">
      <alignment wrapText="1"/>
    </xf>
    <xf numFmtId="0" fontId="15" fillId="0" borderId="99" xfId="0" applyFont="1" applyBorder="1"/>
    <xf numFmtId="0" fontId="15" fillId="0" borderId="100" xfId="0" applyFont="1" applyBorder="1"/>
    <xf numFmtId="0" fontId="15" fillId="0" borderId="72" xfId="0" applyFont="1" applyBorder="1"/>
    <xf numFmtId="8" fontId="15" fillId="0" borderId="77" xfId="0" applyNumberFormat="1" applyFont="1" applyBorder="1" applyAlignment="1">
      <alignment wrapText="1"/>
    </xf>
    <xf numFmtId="0" fontId="15" fillId="0" borderId="101" xfId="0" applyFont="1" applyBorder="1" applyAlignment="1">
      <alignment vertical="center"/>
    </xf>
    <xf numFmtId="0" fontId="15" fillId="0" borderId="102" xfId="0" applyFont="1" applyBorder="1" applyAlignment="1">
      <alignment vertical="center"/>
    </xf>
    <xf numFmtId="0" fontId="41" fillId="0" borderId="103" xfId="0" applyFont="1" applyBorder="1"/>
    <xf numFmtId="8" fontId="15" fillId="0" borderId="104" xfId="0" applyNumberFormat="1" applyFont="1" applyBorder="1" applyAlignment="1">
      <alignment wrapText="1"/>
    </xf>
    <xf numFmtId="0" fontId="15" fillId="0" borderId="107" xfId="0" applyFont="1" applyBorder="1"/>
    <xf numFmtId="0" fontId="15" fillId="0" borderId="108" xfId="0" applyFont="1" applyBorder="1"/>
    <xf numFmtId="8" fontId="15" fillId="0" borderId="95" xfId="0" applyNumberFormat="1" applyFont="1" applyBorder="1" applyAlignment="1">
      <alignment wrapText="1"/>
    </xf>
    <xf numFmtId="8" fontId="15" fillId="0" borderId="77" xfId="0" applyNumberFormat="1" applyFont="1" applyBorder="1"/>
    <xf numFmtId="8" fontId="15" fillId="0" borderId="104" xfId="0" applyNumberFormat="1" applyFont="1" applyBorder="1"/>
    <xf numFmtId="8" fontId="15" fillId="0" borderId="78" xfId="0" applyNumberFormat="1" applyFont="1" applyBorder="1" applyAlignment="1">
      <alignment wrapText="1"/>
    </xf>
    <xf numFmtId="8" fontId="15" fillId="0" borderId="109" xfId="0" applyNumberFormat="1" applyFont="1" applyBorder="1" applyAlignment="1">
      <alignment wrapText="1"/>
    </xf>
    <xf numFmtId="8" fontId="15" fillId="0" borderId="74" xfId="0" applyNumberFormat="1" applyFont="1" applyBorder="1" applyAlignment="1">
      <alignment wrapText="1"/>
    </xf>
    <xf numFmtId="0" fontId="32" fillId="30" borderId="39" xfId="0" applyFont="1" applyFill="1" applyBorder="1" applyAlignment="1">
      <alignment horizontal="center" vertical="center" wrapText="1"/>
    </xf>
    <xf numFmtId="0" fontId="32" fillId="36" borderId="54" xfId="0" applyFont="1" applyFill="1" applyBorder="1" applyAlignment="1">
      <alignment horizontal="center" vertical="center" wrapText="1"/>
    </xf>
    <xf numFmtId="168" fontId="21" fillId="36" borderId="111" xfId="1" applyFont="1" applyFill="1" applyBorder="1" applyAlignment="1">
      <alignment horizontal="center" vertical="center"/>
    </xf>
    <xf numFmtId="168" fontId="21" fillId="36" borderId="60" xfId="1" applyFont="1" applyFill="1" applyBorder="1" applyAlignment="1">
      <alignment horizontal="center" vertical="center"/>
    </xf>
    <xf numFmtId="172" fontId="35" fillId="29" borderId="112" xfId="1" applyNumberFormat="1" applyFont="1" applyFill="1" applyBorder="1" applyAlignment="1">
      <alignment horizontal="center" vertical="center"/>
    </xf>
    <xf numFmtId="0" fontId="32" fillId="35" borderId="113" xfId="0" applyFont="1" applyFill="1" applyBorder="1" applyAlignment="1">
      <alignment horizontal="center" vertical="center" wrapText="1"/>
    </xf>
    <xf numFmtId="172" fontId="21" fillId="35" borderId="114" xfId="1" applyNumberFormat="1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vertical="center"/>
    </xf>
    <xf numFmtId="167" fontId="6" fillId="18" borderId="123" xfId="0" applyNumberFormat="1" applyFont="1" applyFill="1" applyBorder="1" applyAlignment="1">
      <alignment horizontal="center" vertical="center"/>
    </xf>
    <xf numFmtId="0" fontId="9" fillId="9" borderId="83" xfId="0" applyFont="1" applyFill="1" applyBorder="1" applyAlignment="1">
      <alignment vertical="center"/>
    </xf>
    <xf numFmtId="173" fontId="3" fillId="18" borderId="124" xfId="1" applyNumberFormat="1" applyFont="1" applyFill="1" applyBorder="1" applyAlignment="1">
      <alignment horizontal="center" vertical="center"/>
    </xf>
    <xf numFmtId="167" fontId="3" fillId="18" borderId="124" xfId="0" applyNumberFormat="1" applyFont="1" applyFill="1" applyBorder="1" applyAlignment="1">
      <alignment horizontal="center" vertical="center"/>
    </xf>
    <xf numFmtId="167" fontId="3" fillId="18" borderId="125" xfId="0" applyNumberFormat="1" applyFont="1" applyFill="1" applyBorder="1" applyAlignment="1">
      <alignment horizontal="center" vertical="center"/>
    </xf>
    <xf numFmtId="0" fontId="22" fillId="9" borderId="128" xfId="0" applyFont="1" applyFill="1" applyBorder="1" applyAlignment="1">
      <alignment horizontal="center" vertical="center"/>
    </xf>
    <xf numFmtId="0" fontId="22" fillId="19" borderId="129" xfId="0" applyFont="1" applyFill="1" applyBorder="1" applyAlignment="1">
      <alignment horizontal="center" vertical="center" wrapText="1"/>
    </xf>
    <xf numFmtId="0" fontId="22" fillId="20" borderId="130" xfId="0" applyFont="1" applyFill="1" applyBorder="1" applyAlignment="1">
      <alignment vertical="center" wrapText="1"/>
    </xf>
    <xf numFmtId="0" fontId="22" fillId="20" borderId="124" xfId="0" applyFont="1" applyFill="1" applyBorder="1" applyAlignment="1">
      <alignment vertical="center" wrapText="1"/>
    </xf>
    <xf numFmtId="0" fontId="22" fillId="21" borderId="90" xfId="0" applyFont="1" applyFill="1" applyBorder="1" applyAlignment="1">
      <alignment vertical="center" wrapText="1"/>
    </xf>
    <xf numFmtId="169" fontId="22" fillId="21" borderId="131" xfId="1" applyNumberFormat="1" applyFont="1" applyFill="1" applyBorder="1" applyAlignment="1">
      <alignment horizontal="center" vertical="center"/>
    </xf>
    <xf numFmtId="0" fontId="9" fillId="9" borderId="90" xfId="0" applyFont="1" applyFill="1" applyBorder="1" applyAlignment="1">
      <alignment vertical="center" wrapText="1"/>
    </xf>
    <xf numFmtId="169" fontId="22" fillId="9" borderId="131" xfId="1" applyNumberFormat="1" applyFont="1" applyFill="1" applyBorder="1"/>
    <xf numFmtId="0" fontId="20" fillId="7" borderId="90" xfId="0" applyFont="1" applyFill="1" applyBorder="1" applyAlignment="1">
      <alignment horizontal="right" vertical="center"/>
    </xf>
    <xf numFmtId="2" fontId="20" fillId="7" borderId="131" xfId="0" applyNumberFormat="1" applyFont="1" applyFill="1" applyBorder="1" applyAlignment="1">
      <alignment horizontal="right" vertical="center"/>
    </xf>
    <xf numFmtId="0" fontId="9" fillId="9" borderId="90" xfId="0" applyFont="1" applyFill="1" applyBorder="1" applyAlignment="1">
      <alignment horizontal="center" vertical="center"/>
    </xf>
    <xf numFmtId="0" fontId="9" fillId="9" borderId="131" xfId="0" applyFont="1" applyFill="1" applyBorder="1" applyAlignment="1">
      <alignment horizontal="center" vertical="center"/>
    </xf>
    <xf numFmtId="0" fontId="20" fillId="3" borderId="90" xfId="0" applyFont="1" applyFill="1" applyBorder="1" applyAlignment="1">
      <alignment vertical="center"/>
    </xf>
    <xf numFmtId="169" fontId="22" fillId="22" borderId="131" xfId="1" applyNumberFormat="1" applyFont="1" applyFill="1" applyBorder="1" applyAlignment="1">
      <alignment horizontal="center" vertical="center"/>
    </xf>
    <xf numFmtId="0" fontId="21" fillId="0" borderId="90" xfId="0" applyFont="1" applyBorder="1" applyAlignment="1">
      <alignment vertical="center"/>
    </xf>
    <xf numFmtId="0" fontId="20" fillId="3" borderId="131" xfId="0" applyFont="1" applyFill="1" applyBorder="1" applyAlignment="1">
      <alignment vertical="center"/>
    </xf>
    <xf numFmtId="169" fontId="22" fillId="9" borderId="131" xfId="1" applyNumberFormat="1" applyFont="1" applyFill="1" applyBorder="1" applyAlignment="1">
      <alignment vertical="center"/>
    </xf>
    <xf numFmtId="4" fontId="21" fillId="0" borderId="131" xfId="0" applyNumberFormat="1" applyFont="1" applyBorder="1" applyAlignment="1">
      <alignment vertical="center"/>
    </xf>
    <xf numFmtId="0" fontId="20" fillId="3" borderId="131" xfId="0" applyFont="1" applyFill="1" applyBorder="1" applyAlignment="1">
      <alignment horizontal="center" vertical="center"/>
    </xf>
    <xf numFmtId="2" fontId="21" fillId="0" borderId="131" xfId="0" applyNumberFormat="1" applyFont="1" applyBorder="1" applyAlignment="1">
      <alignment horizontal="right" vertical="center"/>
    </xf>
    <xf numFmtId="4" fontId="20" fillId="7" borderId="131" xfId="0" applyNumberFormat="1" applyFont="1" applyFill="1" applyBorder="1" applyAlignment="1">
      <alignment horizontal="right" vertical="center"/>
    </xf>
    <xf numFmtId="4" fontId="20" fillId="0" borderId="131" xfId="0" applyNumberFormat="1" applyFont="1" applyBorder="1" applyAlignment="1">
      <alignment horizontal="right" vertical="center"/>
    </xf>
    <xf numFmtId="0" fontId="22" fillId="23" borderId="90" xfId="0" applyFont="1" applyFill="1" applyBorder="1" applyAlignment="1">
      <alignment horizontal="right" vertical="center" wrapText="1"/>
    </xf>
    <xf numFmtId="169" fontId="22" fillId="23" borderId="131" xfId="0" applyNumberFormat="1" applyFont="1" applyFill="1" applyBorder="1" applyAlignment="1">
      <alignment vertical="center"/>
    </xf>
    <xf numFmtId="0" fontId="22" fillId="20" borderId="132" xfId="0" applyFont="1" applyFill="1" applyBorder="1" applyAlignment="1">
      <alignment vertical="center" wrapText="1"/>
    </xf>
    <xf numFmtId="0" fontId="22" fillId="20" borderId="133" xfId="0" applyFont="1" applyFill="1" applyBorder="1" applyAlignment="1">
      <alignment vertical="center" wrapText="1"/>
    </xf>
    <xf numFmtId="0" fontId="21" fillId="0" borderId="90" xfId="0" applyFont="1" applyBorder="1" applyAlignment="1">
      <alignment wrapText="1"/>
    </xf>
    <xf numFmtId="0" fontId="9" fillId="9" borderId="134" xfId="0" applyFont="1" applyFill="1" applyBorder="1" applyAlignment="1">
      <alignment horizontal="center" vertical="center"/>
    </xf>
    <xf numFmtId="0" fontId="22" fillId="45" borderId="90" xfId="0" applyFont="1" applyFill="1" applyBorder="1" applyAlignment="1">
      <alignment vertical="center" wrapText="1"/>
    </xf>
    <xf numFmtId="169" fontId="22" fillId="45" borderId="131" xfId="1" applyNumberFormat="1" applyFont="1" applyFill="1" applyBorder="1" applyAlignment="1">
      <alignment horizontal="left" vertical="center"/>
    </xf>
    <xf numFmtId="169" fontId="9" fillId="0" borderId="131" xfId="1" applyNumberFormat="1" applyFont="1" applyBorder="1" applyAlignment="1">
      <alignment vertical="center"/>
    </xf>
    <xf numFmtId="169" fontId="9" fillId="0" borderId="134" xfId="1" applyNumberFormat="1" applyFont="1" applyBorder="1" applyAlignment="1">
      <alignment vertical="center"/>
    </xf>
    <xf numFmtId="169" fontId="22" fillId="46" borderId="129" xfId="1" applyNumberFormat="1" applyFont="1" applyFill="1" applyBorder="1" applyAlignment="1">
      <alignment vertical="center"/>
    </xf>
    <xf numFmtId="169" fontId="22" fillId="46" borderId="131" xfId="1" applyNumberFormat="1" applyFont="1" applyFill="1" applyBorder="1" applyAlignment="1">
      <alignment vertical="center"/>
    </xf>
    <xf numFmtId="169" fontId="22" fillId="46" borderId="136" xfId="1" applyNumberFormat="1" applyFont="1" applyFill="1" applyBorder="1" applyAlignment="1">
      <alignment vertical="center"/>
    </xf>
    <xf numFmtId="169" fontId="9" fillId="9" borderId="137" xfId="1" applyNumberFormat="1" applyFont="1" applyFill="1" applyBorder="1" applyAlignment="1">
      <alignment vertical="center"/>
    </xf>
    <xf numFmtId="0" fontId="22" fillId="23" borderId="138" xfId="0" applyFont="1" applyFill="1" applyBorder="1" applyAlignment="1">
      <alignment horizontal="right" vertical="center" wrapText="1"/>
    </xf>
    <xf numFmtId="169" fontId="22" fillId="23" borderId="136" xfId="0" applyNumberFormat="1" applyFont="1" applyFill="1" applyBorder="1" applyAlignment="1">
      <alignment vertical="center"/>
    </xf>
    <xf numFmtId="0" fontId="22" fillId="24" borderId="129" xfId="0" applyFont="1" applyFill="1" applyBorder="1" applyAlignment="1">
      <alignment horizontal="center" vertical="center" wrapText="1"/>
    </xf>
    <xf numFmtId="169" fontId="22" fillId="25" borderId="134" xfId="1" applyNumberFormat="1" applyFont="1" applyFill="1" applyBorder="1" applyAlignment="1">
      <alignment horizontal="center" vertical="center"/>
    </xf>
    <xf numFmtId="169" fontId="22" fillId="9" borderId="129" xfId="0" applyNumberFormat="1" applyFont="1" applyFill="1" applyBorder="1" applyAlignment="1">
      <alignment vertical="center"/>
    </xf>
    <xf numFmtId="169" fontId="22" fillId="9" borderId="131" xfId="0" applyNumberFormat="1" applyFont="1" applyFill="1" applyBorder="1" applyAlignment="1">
      <alignment vertical="center"/>
    </xf>
    <xf numFmtId="169" fontId="26" fillId="9" borderId="131" xfId="0" applyNumberFormat="1" applyFont="1" applyFill="1" applyBorder="1" applyAlignment="1">
      <alignment vertical="center"/>
    </xf>
    <xf numFmtId="169" fontId="26" fillId="9" borderId="134" xfId="0" applyNumberFormat="1" applyFont="1" applyFill="1" applyBorder="1" applyAlignment="1">
      <alignment vertical="center"/>
    </xf>
    <xf numFmtId="169" fontId="26" fillId="9" borderId="133" xfId="0" applyNumberFormat="1" applyFont="1" applyFill="1" applyBorder="1" applyAlignment="1">
      <alignment vertical="center"/>
    </xf>
    <xf numFmtId="0" fontId="22" fillId="26" borderId="142" xfId="0" applyFont="1" applyFill="1" applyBorder="1" applyAlignment="1">
      <alignment vertical="center" wrapText="1"/>
    </xf>
    <xf numFmtId="175" fontId="22" fillId="26" borderId="143" xfId="0" applyNumberFormat="1" applyFont="1" applyFill="1" applyBorder="1" applyAlignment="1">
      <alignment horizontal="right" vertical="center" wrapText="1"/>
    </xf>
    <xf numFmtId="0" fontId="22" fillId="26" borderId="83" xfId="0" applyFont="1" applyFill="1" applyBorder="1" applyAlignment="1">
      <alignment vertical="center" wrapText="1"/>
    </xf>
    <xf numFmtId="175" fontId="22" fillId="26" borderId="84" xfId="0" applyNumberFormat="1" applyFont="1" applyFill="1" applyBorder="1" applyAlignment="1">
      <alignment horizontal="right" vertical="center" wrapText="1"/>
    </xf>
    <xf numFmtId="0" fontId="22" fillId="30" borderId="142" xfId="0" applyFont="1" applyFill="1" applyBorder="1" applyAlignment="1">
      <alignment vertical="center" wrapText="1"/>
    </xf>
    <xf numFmtId="175" fontId="30" fillId="30" borderId="143" xfId="0" applyNumberFormat="1" applyFont="1" applyFill="1" applyBorder="1" applyAlignment="1">
      <alignment horizontal="right" vertical="center" wrapText="1"/>
    </xf>
    <xf numFmtId="0" fontId="22" fillId="30" borderId="83" xfId="0" applyFont="1" applyFill="1" applyBorder="1" applyAlignment="1">
      <alignment vertical="center" wrapText="1"/>
    </xf>
    <xf numFmtId="175" fontId="30" fillId="30" borderId="84" xfId="0" applyNumberFormat="1" applyFont="1" applyFill="1" applyBorder="1" applyAlignment="1">
      <alignment horizontal="right" vertical="center" wrapText="1"/>
    </xf>
    <xf numFmtId="0" fontId="22" fillId="30" borderId="85" xfId="0" applyFont="1" applyFill="1" applyBorder="1" applyAlignment="1">
      <alignment vertical="center" wrapText="1"/>
    </xf>
    <xf numFmtId="0" fontId="22" fillId="30" borderId="86" xfId="0" applyFont="1" applyFill="1" applyBorder="1" applyAlignment="1">
      <alignment vertical="center" wrapText="1"/>
    </xf>
    <xf numFmtId="175" fontId="30" fillId="30" borderId="86" xfId="0" applyNumberFormat="1" applyFont="1" applyFill="1" applyBorder="1" applyAlignment="1">
      <alignment horizontal="right" vertical="center" wrapText="1"/>
    </xf>
    <xf numFmtId="175" fontId="30" fillId="30" borderId="87" xfId="0" applyNumberFormat="1" applyFont="1" applyFill="1" applyBorder="1" applyAlignment="1">
      <alignment horizontal="right" vertical="center" wrapText="1"/>
    </xf>
    <xf numFmtId="171" fontId="24" fillId="9" borderId="3" xfId="2" applyNumberFormat="1" applyFont="1" applyFill="1" applyBorder="1" applyAlignment="1" applyProtection="1">
      <alignment wrapText="1"/>
    </xf>
    <xf numFmtId="171" fontId="24" fillId="9" borderId="3" xfId="2" applyNumberFormat="1" applyFont="1" applyFill="1" applyBorder="1" applyAlignment="1" applyProtection="1">
      <alignment vertical="center" wrapText="1"/>
    </xf>
    <xf numFmtId="166" fontId="24" fillId="9" borderId="3" xfId="2" applyNumberFormat="1" applyFont="1" applyFill="1" applyBorder="1" applyAlignment="1" applyProtection="1">
      <alignment vertical="center" wrapText="1"/>
    </xf>
    <xf numFmtId="10" fontId="24" fillId="9" borderId="3" xfId="2" applyNumberFormat="1" applyFont="1" applyFill="1" applyBorder="1" applyAlignment="1" applyProtection="1">
      <alignment vertical="center" wrapText="1"/>
    </xf>
    <xf numFmtId="0" fontId="20" fillId="0" borderId="3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3" borderId="71" xfId="0" applyFont="1" applyFill="1" applyBorder="1" applyAlignment="1">
      <alignment horizontal="left" vertical="center"/>
    </xf>
    <xf numFmtId="10" fontId="7" fillId="0" borderId="77" xfId="0" applyNumberFormat="1" applyFont="1" applyBorder="1" applyAlignment="1">
      <alignment horizontal="left" vertical="center"/>
    </xf>
    <xf numFmtId="0" fontId="6" fillId="3" borderId="27" xfId="0" applyFont="1" applyFill="1" applyBorder="1" applyAlignment="1">
      <alignment horizontal="left" vertical="center"/>
    </xf>
    <xf numFmtId="0" fontId="18" fillId="0" borderId="0" xfId="0" applyFont="1"/>
    <xf numFmtId="0" fontId="6" fillId="0" borderId="6" xfId="0" applyFont="1" applyBorder="1" applyAlignment="1">
      <alignment vertical="center"/>
    </xf>
    <xf numFmtId="182" fontId="3" fillId="3" borderId="3" xfId="0" applyNumberFormat="1" applyFont="1" applyFill="1" applyBorder="1" applyAlignment="1">
      <alignment horizontal="center" vertical="center"/>
    </xf>
    <xf numFmtId="8" fontId="9" fillId="0" borderId="33" xfId="0" applyNumberFormat="1" applyFont="1" applyBorder="1"/>
    <xf numFmtId="8" fontId="9" fillId="0" borderId="0" xfId="0" applyNumberFormat="1" applyFont="1"/>
    <xf numFmtId="0" fontId="47" fillId="0" borderId="0" xfId="4"/>
    <xf numFmtId="0" fontId="7" fillId="0" borderId="20" xfId="0" applyFont="1" applyBorder="1" applyAlignment="1">
      <alignment vertical="center"/>
    </xf>
    <xf numFmtId="10" fontId="7" fillId="0" borderId="78" xfId="0" applyNumberFormat="1" applyFont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10" fontId="7" fillId="0" borderId="95" xfId="0" applyNumberFormat="1" applyFont="1" applyBorder="1" applyAlignment="1">
      <alignment horizontal="left" vertical="center"/>
    </xf>
    <xf numFmtId="171" fontId="16" fillId="14" borderId="76" xfId="0" applyNumberFormat="1" applyFont="1" applyFill="1" applyBorder="1" applyAlignment="1">
      <alignment vertical="center"/>
    </xf>
    <xf numFmtId="2" fontId="15" fillId="0" borderId="77" xfId="0" applyNumberFormat="1" applyFont="1" applyBorder="1" applyAlignment="1">
      <alignment vertical="center"/>
    </xf>
    <xf numFmtId="0" fontId="15" fillId="0" borderId="104" xfId="0" applyFont="1" applyBorder="1" applyAlignment="1">
      <alignment vertical="center"/>
    </xf>
    <xf numFmtId="0" fontId="15" fillId="0" borderId="157" xfId="0" applyFont="1" applyBorder="1" applyAlignment="1">
      <alignment vertical="center"/>
    </xf>
    <xf numFmtId="0" fontId="15" fillId="0" borderId="95" xfId="0" applyFont="1" applyBorder="1" applyAlignment="1">
      <alignment vertical="center"/>
    </xf>
    <xf numFmtId="0" fontId="16" fillId="0" borderId="158" xfId="0" applyFont="1" applyBorder="1" applyAlignment="1">
      <alignment vertical="center"/>
    </xf>
    <xf numFmtId="0" fontId="16" fillId="0" borderId="96" xfId="0" applyFont="1" applyBorder="1" applyAlignment="1">
      <alignment vertical="center"/>
    </xf>
    <xf numFmtId="171" fontId="16" fillId="10" borderId="147" xfId="0" applyNumberFormat="1" applyFont="1" applyFill="1" applyBorder="1" applyAlignment="1">
      <alignment vertical="center"/>
    </xf>
    <xf numFmtId="171" fontId="16" fillId="10" borderId="18" xfId="0" applyNumberFormat="1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17" fillId="15" borderId="159" xfId="0" applyFont="1" applyFill="1" applyBorder="1" applyAlignment="1">
      <alignment horizontal="center" vertical="center" wrapText="1"/>
    </xf>
    <xf numFmtId="0" fontId="17" fillId="15" borderId="122" xfId="0" applyFont="1" applyFill="1" applyBorder="1" applyAlignment="1">
      <alignment horizontal="center" vertical="center" wrapText="1"/>
    </xf>
    <xf numFmtId="0" fontId="17" fillId="12" borderId="159" xfId="0" applyFont="1" applyFill="1" applyBorder="1" applyAlignment="1">
      <alignment horizontal="center" vertical="center" wrapText="1"/>
    </xf>
    <xf numFmtId="0" fontId="17" fillId="12" borderId="122" xfId="0" applyFont="1" applyFill="1" applyBorder="1" applyAlignment="1">
      <alignment horizontal="center" vertical="center" wrapText="1"/>
    </xf>
    <xf numFmtId="165" fontId="16" fillId="13" borderId="160" xfId="0" applyNumberFormat="1" applyFont="1" applyFill="1" applyBorder="1" applyAlignment="1">
      <alignment vertical="center"/>
    </xf>
    <xf numFmtId="0" fontId="15" fillId="0" borderId="161" xfId="0" applyFont="1" applyBorder="1" applyAlignment="1">
      <alignment vertical="center"/>
    </xf>
    <xf numFmtId="165" fontId="15" fillId="0" borderId="162" xfId="0" applyNumberFormat="1" applyFont="1" applyBorder="1" applyAlignment="1">
      <alignment vertical="center"/>
    </xf>
    <xf numFmtId="0" fontId="15" fillId="0" borderId="90" xfId="0" applyFont="1" applyBorder="1" applyAlignment="1">
      <alignment vertical="center"/>
    </xf>
    <xf numFmtId="0" fontId="15" fillId="0" borderId="141" xfId="0" applyFont="1" applyBorder="1" applyAlignment="1">
      <alignment vertical="center"/>
    </xf>
    <xf numFmtId="0" fontId="15" fillId="0" borderId="138" xfId="0" applyFont="1" applyBorder="1" applyAlignment="1">
      <alignment vertical="center"/>
    </xf>
    <xf numFmtId="165" fontId="16" fillId="12" borderId="160" xfId="0" applyNumberFormat="1" applyFont="1" applyFill="1" applyBorder="1" applyAlignment="1">
      <alignment vertical="center"/>
    </xf>
    <xf numFmtId="165" fontId="16" fillId="12" borderId="165" xfId="0" applyNumberFormat="1" applyFont="1" applyFill="1" applyBorder="1" applyAlignment="1">
      <alignment vertical="center"/>
    </xf>
    <xf numFmtId="0" fontId="17" fillId="10" borderId="166" xfId="0" applyFont="1" applyFill="1" applyBorder="1" applyAlignment="1">
      <alignment horizontal="center" vertical="center" wrapText="1"/>
    </xf>
    <xf numFmtId="0" fontId="17" fillId="10" borderId="127" xfId="0" applyFont="1" applyFill="1" applyBorder="1" applyAlignment="1">
      <alignment horizontal="center" vertical="center" wrapText="1"/>
    </xf>
    <xf numFmtId="171" fontId="16" fillId="10" borderId="164" xfId="0" applyNumberFormat="1" applyFont="1" applyFill="1" applyBorder="1" applyAlignment="1">
      <alignment vertical="center"/>
    </xf>
    <xf numFmtId="0" fontId="17" fillId="15" borderId="168" xfId="0" applyFont="1" applyFill="1" applyBorder="1" applyAlignment="1">
      <alignment horizontal="center" vertical="center" wrapText="1"/>
    </xf>
    <xf numFmtId="0" fontId="17" fillId="15" borderId="169" xfId="0" applyFont="1" applyFill="1" applyBorder="1" applyAlignment="1">
      <alignment horizontal="center" vertical="center" wrapText="1"/>
    </xf>
    <xf numFmtId="0" fontId="17" fillId="15" borderId="170" xfId="0" applyFont="1" applyFill="1" applyBorder="1" applyAlignment="1">
      <alignment horizontal="center" vertical="center" wrapText="1"/>
    </xf>
    <xf numFmtId="0" fontId="17" fillId="15" borderId="75" xfId="0" applyFont="1" applyFill="1" applyBorder="1" applyAlignment="1">
      <alignment horizontal="center" vertical="center" wrapText="1"/>
    </xf>
    <xf numFmtId="0" fontId="17" fillId="15" borderId="76" xfId="0" applyFont="1" applyFill="1" applyBorder="1" applyAlignment="1">
      <alignment horizontal="center" vertical="center" wrapText="1"/>
    </xf>
    <xf numFmtId="8" fontId="15" fillId="0" borderId="73" xfId="0" applyNumberFormat="1" applyFont="1" applyBorder="1"/>
    <xf numFmtId="171" fontId="15" fillId="0" borderId="13" xfId="0" applyNumberFormat="1" applyFont="1" applyBorder="1" applyAlignment="1">
      <alignment vertical="center"/>
    </xf>
    <xf numFmtId="171" fontId="16" fillId="14" borderId="25" xfId="0" applyNumberFormat="1" applyFont="1" applyFill="1" applyBorder="1" applyAlignment="1">
      <alignment vertical="center"/>
    </xf>
    <xf numFmtId="0" fontId="53" fillId="61" borderId="110" xfId="0" applyFont="1" applyFill="1" applyBorder="1" applyAlignment="1">
      <alignment horizontal="center"/>
    </xf>
    <xf numFmtId="0" fontId="53" fillId="61" borderId="154" xfId="0" applyFont="1" applyFill="1" applyBorder="1" applyAlignment="1">
      <alignment horizontal="center"/>
    </xf>
    <xf numFmtId="4" fontId="54" fillId="61" borderId="99" xfId="0" applyNumberFormat="1" applyFont="1" applyFill="1" applyBorder="1" applyAlignment="1">
      <alignment horizontal="center"/>
    </xf>
    <xf numFmtId="4" fontId="54" fillId="61" borderId="156" xfId="0" applyNumberFormat="1" applyFont="1" applyFill="1" applyBorder="1" applyAlignment="1">
      <alignment horizontal="center"/>
    </xf>
    <xf numFmtId="14" fontId="54" fillId="61" borderId="99" xfId="0" applyNumberFormat="1" applyFont="1" applyFill="1" applyBorder="1" applyAlignment="1">
      <alignment horizontal="center"/>
    </xf>
    <xf numFmtId="14" fontId="54" fillId="61" borderId="156" xfId="0" applyNumberFormat="1" applyFont="1" applyFill="1" applyBorder="1" applyAlignment="1">
      <alignment horizontal="center"/>
    </xf>
    <xf numFmtId="0" fontId="54" fillId="61" borderId="99" xfId="0" applyFont="1" applyFill="1" applyBorder="1" applyAlignment="1">
      <alignment horizontal="center"/>
    </xf>
    <xf numFmtId="0" fontId="54" fillId="61" borderId="156" xfId="0" applyFont="1" applyFill="1" applyBorder="1" applyAlignment="1">
      <alignment horizontal="center"/>
    </xf>
    <xf numFmtId="0" fontId="54" fillId="61" borderId="148" xfId="0" applyFont="1" applyFill="1" applyBorder="1" applyAlignment="1">
      <alignment horizontal="center"/>
    </xf>
    <xf numFmtId="0" fontId="54" fillId="61" borderId="152" xfId="0" applyFont="1" applyFill="1" applyBorder="1" applyAlignment="1">
      <alignment horizontal="center"/>
    </xf>
    <xf numFmtId="0" fontId="54" fillId="61" borderId="85" xfId="0" applyFont="1" applyFill="1" applyBorder="1" applyAlignment="1">
      <alignment horizontal="center"/>
    </xf>
    <xf numFmtId="0" fontId="52" fillId="0" borderId="100" xfId="0" applyFont="1" applyBorder="1"/>
    <xf numFmtId="0" fontId="55" fillId="62" borderId="70" xfId="0" applyFont="1" applyFill="1" applyBorder="1"/>
    <xf numFmtId="0" fontId="16" fillId="7" borderId="105" xfId="0" applyFont="1" applyFill="1" applyBorder="1" applyAlignment="1">
      <alignment vertical="center"/>
    </xf>
    <xf numFmtId="0" fontId="16" fillId="7" borderId="153" xfId="0" applyFont="1" applyFill="1" applyBorder="1" applyAlignment="1">
      <alignment vertical="center"/>
    </xf>
    <xf numFmtId="165" fontId="16" fillId="7" borderId="153" xfId="0" applyNumberFormat="1" applyFont="1" applyFill="1" applyBorder="1" applyAlignment="1">
      <alignment vertical="center"/>
    </xf>
    <xf numFmtId="0" fontId="16" fillId="7" borderId="106" xfId="0" applyFont="1" applyFill="1" applyBorder="1" applyAlignment="1">
      <alignment vertical="center"/>
    </xf>
    <xf numFmtId="0" fontId="46" fillId="0" borderId="107" xfId="0" applyFont="1" applyBorder="1"/>
    <xf numFmtId="0" fontId="46" fillId="0" borderId="104" xfId="0" applyFont="1" applyBorder="1"/>
    <xf numFmtId="0" fontId="55" fillId="62" borderId="73" xfId="0" applyFont="1" applyFill="1" applyBorder="1"/>
    <xf numFmtId="8" fontId="46" fillId="0" borderId="104" xfId="0" applyNumberFormat="1" applyFont="1" applyBorder="1" applyAlignment="1">
      <alignment wrapText="1"/>
    </xf>
    <xf numFmtId="165" fontId="15" fillId="0" borderId="18" xfId="0" applyNumberFormat="1" applyFont="1" applyBorder="1" applyAlignment="1">
      <alignment vertical="center"/>
    </xf>
    <xf numFmtId="0" fontId="15" fillId="0" borderId="144" xfId="0" applyFont="1" applyBorder="1" applyAlignment="1">
      <alignment vertical="center"/>
    </xf>
    <xf numFmtId="171" fontId="16" fillId="3" borderId="105" xfId="0" applyNumberFormat="1" applyFont="1" applyFill="1" applyBorder="1" applyAlignment="1">
      <alignment horizontal="center" vertical="center"/>
    </xf>
    <xf numFmtId="171" fontId="16" fillId="3" borderId="106" xfId="0" applyNumberFormat="1" applyFont="1" applyFill="1" applyBorder="1" applyAlignment="1">
      <alignment horizontal="center" vertical="center"/>
    </xf>
    <xf numFmtId="171" fontId="16" fillId="3" borderId="80" xfId="0" applyNumberFormat="1" applyFont="1" applyFill="1" applyBorder="1" applyAlignment="1">
      <alignment horizontal="center" vertical="center"/>
    </xf>
    <xf numFmtId="171" fontId="16" fillId="3" borderId="82" xfId="0" applyNumberFormat="1" applyFont="1" applyFill="1" applyBorder="1" applyAlignment="1">
      <alignment horizontal="center" vertical="center"/>
    </xf>
    <xf numFmtId="0" fontId="4" fillId="62" borderId="0" xfId="0" applyFont="1" applyFill="1" applyAlignment="1">
      <alignment horizontal="left" vertical="center"/>
    </xf>
    <xf numFmtId="0" fontId="38" fillId="62" borderId="0" xfId="0" applyFont="1" applyFill="1" applyAlignment="1">
      <alignment horizontal="center" vertical="center"/>
    </xf>
    <xf numFmtId="0" fontId="38" fillId="62" borderId="0" xfId="0" applyFont="1" applyFill="1" applyAlignment="1">
      <alignment vertical="center"/>
    </xf>
    <xf numFmtId="0" fontId="56" fillId="62" borderId="0" xfId="0" applyFont="1" applyFill="1"/>
    <xf numFmtId="0" fontId="32" fillId="42" borderId="70" xfId="0" applyFont="1" applyFill="1" applyBorder="1" applyAlignment="1">
      <alignment horizontal="center" vertical="center" wrapText="1"/>
    </xf>
    <xf numFmtId="0" fontId="32" fillId="14" borderId="70" xfId="0" applyFont="1" applyFill="1" applyBorder="1" applyAlignment="1">
      <alignment horizontal="center" vertical="center" wrapText="1"/>
    </xf>
    <xf numFmtId="0" fontId="32" fillId="44" borderId="70" xfId="0" applyFont="1" applyFill="1" applyBorder="1" applyAlignment="1">
      <alignment horizontal="center" vertical="center" wrapText="1"/>
    </xf>
    <xf numFmtId="0" fontId="33" fillId="34" borderId="70" xfId="0" applyFont="1" applyFill="1" applyBorder="1" applyAlignment="1">
      <alignment horizontal="center" vertical="center" wrapText="1"/>
    </xf>
    <xf numFmtId="0" fontId="33" fillId="43" borderId="70" xfId="0" applyFont="1" applyFill="1" applyBorder="1" applyAlignment="1">
      <alignment horizontal="center" wrapText="1"/>
    </xf>
    <xf numFmtId="0" fontId="32" fillId="35" borderId="70" xfId="0" applyFont="1" applyFill="1" applyBorder="1" applyAlignment="1">
      <alignment horizontal="center" vertical="center" wrapText="1"/>
    </xf>
    <xf numFmtId="0" fontId="30" fillId="14" borderId="70" xfId="0" applyFont="1" applyFill="1" applyBorder="1" applyAlignment="1">
      <alignment horizontal="center" vertical="center" wrapText="1"/>
    </xf>
    <xf numFmtId="0" fontId="30" fillId="44" borderId="70" xfId="0" applyFont="1" applyFill="1" applyBorder="1" applyAlignment="1">
      <alignment horizontal="center" vertical="center" wrapText="1"/>
    </xf>
    <xf numFmtId="0" fontId="31" fillId="34" borderId="70" xfId="0" applyFont="1" applyFill="1" applyBorder="1" applyAlignment="1">
      <alignment horizontal="center" vertical="center" wrapText="1"/>
    </xf>
    <xf numFmtId="0" fontId="21" fillId="0" borderId="70" xfId="0" applyFont="1" applyBorder="1" applyAlignment="1">
      <alignment wrapText="1"/>
    </xf>
    <xf numFmtId="4" fontId="14" fillId="0" borderId="70" xfId="0" applyNumberFormat="1" applyFont="1" applyBorder="1"/>
    <xf numFmtId="0" fontId="14" fillId="0" borderId="70" xfId="0" applyFont="1" applyBorder="1"/>
    <xf numFmtId="4" fontId="14" fillId="51" borderId="70" xfId="0" applyNumberFormat="1" applyFont="1" applyFill="1" applyBorder="1"/>
    <xf numFmtId="0" fontId="14" fillId="64" borderId="70" xfId="0" applyFont="1" applyFill="1" applyBorder="1"/>
    <xf numFmtId="0" fontId="48" fillId="52" borderId="70" xfId="0" applyFont="1" applyFill="1" applyBorder="1"/>
    <xf numFmtId="0" fontId="21" fillId="0" borderId="70" xfId="0" applyFont="1" applyBorder="1"/>
    <xf numFmtId="0" fontId="14" fillId="52" borderId="70" xfId="0" applyFont="1" applyFill="1" applyBorder="1"/>
    <xf numFmtId="0" fontId="20" fillId="0" borderId="70" xfId="0" applyFont="1" applyBorder="1"/>
    <xf numFmtId="0" fontId="49" fillId="0" borderId="70" xfId="0" applyFont="1" applyBorder="1"/>
    <xf numFmtId="0" fontId="50" fillId="0" borderId="70" xfId="0" applyFont="1" applyBorder="1"/>
    <xf numFmtId="0" fontId="21" fillId="53" borderId="70" xfId="0" applyFont="1" applyFill="1" applyBorder="1"/>
    <xf numFmtId="0" fontId="14" fillId="53" borderId="70" xfId="0" applyFont="1" applyFill="1" applyBorder="1"/>
    <xf numFmtId="4" fontId="14" fillId="53" borderId="70" xfId="0" applyNumberFormat="1" applyFont="1" applyFill="1" applyBorder="1"/>
    <xf numFmtId="0" fontId="21" fillId="54" borderId="70" xfId="0" applyFont="1" applyFill="1" applyBorder="1"/>
    <xf numFmtId="4" fontId="14" fillId="54" borderId="70" xfId="0" applyNumberFormat="1" applyFont="1" applyFill="1" applyBorder="1"/>
    <xf numFmtId="0" fontId="14" fillId="54" borderId="70" xfId="0" applyFont="1" applyFill="1" applyBorder="1"/>
    <xf numFmtId="4" fontId="8" fillId="0" borderId="70" xfId="0" applyNumberFormat="1" applyFont="1" applyBorder="1"/>
    <xf numFmtId="0" fontId="8" fillId="0" borderId="70" xfId="0" applyFont="1" applyBorder="1"/>
    <xf numFmtId="0" fontId="44" fillId="55" borderId="70" xfId="0" applyFont="1" applyFill="1" applyBorder="1"/>
    <xf numFmtId="4" fontId="8" fillId="55" borderId="70" xfId="0" applyNumberFormat="1" applyFont="1" applyFill="1" applyBorder="1"/>
    <xf numFmtId="0" fontId="30" fillId="56" borderId="70" xfId="0" applyFont="1" applyFill="1" applyBorder="1"/>
    <xf numFmtId="4" fontId="30" fillId="57" borderId="70" xfId="0" applyNumberFormat="1" applyFont="1" applyFill="1" applyBorder="1"/>
    <xf numFmtId="4" fontId="30" fillId="63" borderId="70" xfId="0" applyNumberFormat="1" applyFont="1" applyFill="1" applyBorder="1"/>
    <xf numFmtId="4" fontId="30" fillId="65" borderId="70" xfId="0" applyNumberFormat="1" applyFont="1" applyFill="1" applyBorder="1"/>
    <xf numFmtId="4" fontId="30" fillId="66" borderId="70" xfId="0" applyNumberFormat="1" applyFont="1" applyFill="1" applyBorder="1"/>
    <xf numFmtId="2" fontId="14" fillId="63" borderId="70" xfId="0" applyNumberFormat="1" applyFont="1" applyFill="1" applyBorder="1"/>
    <xf numFmtId="0" fontId="15" fillId="0" borderId="173" xfId="0" applyFont="1" applyBorder="1"/>
    <xf numFmtId="8" fontId="15" fillId="0" borderId="78" xfId="0" applyNumberFormat="1" applyFont="1" applyBorder="1"/>
    <xf numFmtId="0" fontId="20" fillId="26" borderId="38" xfId="3" applyNumberFormat="1" applyFont="1" applyFill="1" applyBorder="1" applyAlignment="1" applyProtection="1">
      <alignment horizontal="center" vertical="center"/>
    </xf>
    <xf numFmtId="0" fontId="58" fillId="39" borderId="2" xfId="0" applyFont="1" applyFill="1" applyBorder="1" applyAlignment="1" applyProtection="1">
      <alignment horizontal="left" vertical="center" wrapText="1"/>
      <protection locked="0"/>
    </xf>
    <xf numFmtId="0" fontId="58" fillId="40" borderId="60" xfId="0" applyFont="1" applyFill="1" applyBorder="1" applyAlignment="1" applyProtection="1">
      <alignment horizontal="left" vertical="center"/>
      <protection locked="0"/>
    </xf>
    <xf numFmtId="167" fontId="6" fillId="18" borderId="101" xfId="0" applyNumberFormat="1" applyFont="1" applyFill="1" applyBorder="1" applyAlignment="1">
      <alignment horizontal="center" vertical="center"/>
    </xf>
    <xf numFmtId="173" fontId="3" fillId="18" borderId="102" xfId="1" applyNumberFormat="1" applyFont="1" applyFill="1" applyBorder="1" applyAlignment="1">
      <alignment horizontal="center" vertical="center"/>
    </xf>
    <xf numFmtId="167" fontId="3" fillId="18" borderId="102" xfId="0" applyNumberFormat="1" applyFont="1" applyFill="1" applyBorder="1" applyAlignment="1">
      <alignment horizontal="center" vertical="center"/>
    </xf>
    <xf numFmtId="167" fontId="3" fillId="18" borderId="17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2" fontId="30" fillId="56" borderId="70" xfId="0" applyNumberFormat="1" applyFont="1" applyFill="1" applyBorder="1"/>
    <xf numFmtId="4" fontId="30" fillId="57" borderId="73" xfId="0" applyNumberFormat="1" applyFont="1" applyFill="1" applyBorder="1"/>
    <xf numFmtId="4" fontId="30" fillId="49" borderId="73" xfId="0" applyNumberFormat="1" applyFont="1" applyFill="1" applyBorder="1"/>
    <xf numFmtId="0" fontId="2" fillId="50" borderId="70" xfId="0" applyFont="1" applyFill="1" applyBorder="1" applyAlignment="1">
      <alignment horizontal="right"/>
    </xf>
    <xf numFmtId="2" fontId="20" fillId="50" borderId="70" xfId="0" applyNumberFormat="1" applyFont="1" applyFill="1" applyBorder="1" applyAlignment="1">
      <alignment horizontal="left"/>
    </xf>
    <xf numFmtId="2" fontId="21" fillId="50" borderId="70" xfId="0" applyNumberFormat="1" applyFont="1" applyFill="1" applyBorder="1" applyAlignment="1">
      <alignment horizontal="right"/>
    </xf>
    <xf numFmtId="0" fontId="2" fillId="50" borderId="70" xfId="0" applyFont="1" applyFill="1" applyBorder="1"/>
    <xf numFmtId="2" fontId="20" fillId="50" borderId="70" xfId="0" applyNumberFormat="1" applyFont="1" applyFill="1" applyBorder="1" applyAlignment="1">
      <alignment horizontal="center"/>
    </xf>
    <xf numFmtId="2" fontId="57" fillId="68" borderId="70" xfId="0" applyNumberFormat="1" applyFont="1" applyFill="1" applyBorder="1"/>
    <xf numFmtId="0" fontId="55" fillId="67" borderId="70" xfId="0" applyFont="1" applyFill="1" applyBorder="1"/>
    <xf numFmtId="0" fontId="21" fillId="0" borderId="73" xfId="0" applyFont="1" applyBorder="1" applyAlignment="1">
      <alignment horizontal="center" vertical="center"/>
    </xf>
    <xf numFmtId="0" fontId="30" fillId="56" borderId="71" xfId="0" applyFont="1" applyFill="1" applyBorder="1"/>
    <xf numFmtId="2" fontId="14" fillId="63" borderId="73" xfId="0" applyNumberFormat="1" applyFont="1" applyFill="1" applyBorder="1"/>
    <xf numFmtId="4" fontId="14" fillId="51" borderId="73" xfId="0" applyNumberFormat="1" applyFont="1" applyFill="1" applyBorder="1"/>
    <xf numFmtId="0" fontId="14" fillId="64" borderId="73" xfId="0" applyFont="1" applyFill="1" applyBorder="1"/>
    <xf numFmtId="0" fontId="14" fillId="52" borderId="73" xfId="0" applyFont="1" applyFill="1" applyBorder="1"/>
    <xf numFmtId="2" fontId="30" fillId="56" borderId="71" xfId="0" applyNumberFormat="1" applyFont="1" applyFill="1" applyBorder="1"/>
    <xf numFmtId="4" fontId="30" fillId="57" borderId="98" xfId="0" applyNumberFormat="1" applyFont="1" applyFill="1" applyBorder="1"/>
    <xf numFmtId="168" fontId="14" fillId="0" borderId="70" xfId="1" applyFont="1" applyBorder="1" applyAlignment="1">
      <alignment horizontal="center" vertical="center"/>
    </xf>
    <xf numFmtId="168" fontId="14" fillId="69" borderId="73" xfId="1" applyFont="1" applyFill="1" applyBorder="1" applyAlignment="1">
      <alignment horizontal="center" vertical="center"/>
    </xf>
    <xf numFmtId="168" fontId="14" fillId="0" borderId="73" xfId="1" applyFont="1" applyBorder="1" applyAlignment="1">
      <alignment horizontal="center" vertical="center"/>
    </xf>
    <xf numFmtId="168" fontId="14" fillId="70" borderId="77" xfId="1" applyFont="1" applyFill="1" applyBorder="1" applyAlignment="1">
      <alignment horizontal="center" vertical="center"/>
    </xf>
    <xf numFmtId="168" fontId="14" fillId="70" borderId="70" xfId="1" applyFont="1" applyFill="1" applyBorder="1" applyAlignment="1">
      <alignment horizontal="center" vertical="center"/>
    </xf>
    <xf numFmtId="9" fontId="24" fillId="9" borderId="3" xfId="2" applyFont="1" applyFill="1" applyBorder="1" applyAlignment="1" applyProtection="1">
      <alignment vertical="center"/>
    </xf>
    <xf numFmtId="168" fontId="8" fillId="0" borderId="175" xfId="1" applyFont="1" applyBorder="1" applyAlignment="1">
      <alignment horizontal="center" vertical="center"/>
    </xf>
    <xf numFmtId="168" fontId="8" fillId="0" borderId="145" xfId="1" applyFont="1" applyBorder="1" applyAlignment="1">
      <alignment horizontal="center" vertical="center"/>
    </xf>
    <xf numFmtId="168" fontId="8" fillId="0" borderId="176" xfId="1" applyFont="1" applyBorder="1" applyAlignment="1">
      <alignment horizontal="center" vertical="center"/>
    </xf>
    <xf numFmtId="0" fontId="59" fillId="73" borderId="80" xfId="0" applyFont="1" applyFill="1" applyBorder="1" applyAlignment="1">
      <alignment horizontal="center" vertical="center" wrapText="1"/>
    </xf>
    <xf numFmtId="0" fontId="59" fillId="73" borderId="179" xfId="0" applyFont="1" applyFill="1" applyBorder="1" applyAlignment="1">
      <alignment horizontal="center" vertical="center" wrapText="1"/>
    </xf>
    <xf numFmtId="0" fontId="59" fillId="74" borderId="81" xfId="0" applyFont="1" applyFill="1" applyBorder="1" applyAlignment="1">
      <alignment horizontal="center" vertical="center" wrapText="1"/>
    </xf>
    <xf numFmtId="0" fontId="59" fillId="74" borderId="80" xfId="0" applyFont="1" applyFill="1" applyBorder="1" applyAlignment="1">
      <alignment horizontal="center" vertical="center" wrapText="1"/>
    </xf>
    <xf numFmtId="0" fontId="21" fillId="0" borderId="156" xfId="0" applyFont="1" applyBorder="1" applyAlignment="1">
      <alignment horizontal="center" vertical="center"/>
    </xf>
    <xf numFmtId="0" fontId="21" fillId="0" borderId="99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1" fillId="0" borderId="155" xfId="0" applyFont="1" applyBorder="1" applyAlignment="1">
      <alignment horizontal="center" vertical="center"/>
    </xf>
    <xf numFmtId="2" fontId="30" fillId="56" borderId="91" xfId="0" applyNumberFormat="1" applyFont="1" applyFill="1" applyBorder="1" applyAlignment="1">
      <alignment horizontal="center"/>
    </xf>
    <xf numFmtId="2" fontId="30" fillId="56" borderId="180" xfId="0" applyNumberFormat="1" applyFont="1" applyFill="1" applyBorder="1" applyAlignment="1">
      <alignment horizontal="center"/>
    </xf>
    <xf numFmtId="2" fontId="30" fillId="56" borderId="90" xfId="0" applyNumberFormat="1" applyFont="1" applyFill="1" applyBorder="1" applyAlignment="1">
      <alignment horizontal="center"/>
    </xf>
    <xf numFmtId="2" fontId="30" fillId="56" borderId="3" xfId="0" applyNumberFormat="1" applyFont="1" applyFill="1" applyBorder="1" applyAlignment="1">
      <alignment horizontal="center"/>
    </xf>
    <xf numFmtId="2" fontId="30" fillId="56" borderId="131" xfId="0" applyNumberFormat="1" applyFont="1" applyFill="1" applyBorder="1" applyAlignment="1">
      <alignment horizontal="center"/>
    </xf>
    <xf numFmtId="2" fontId="30" fillId="56" borderId="181" xfId="0" applyNumberFormat="1" applyFont="1" applyFill="1" applyBorder="1" applyAlignment="1">
      <alignment horizontal="center"/>
    </xf>
    <xf numFmtId="2" fontId="30" fillId="56" borderId="92" xfId="0" applyNumberFormat="1" applyFont="1" applyFill="1" applyBorder="1" applyAlignment="1">
      <alignment horizontal="center"/>
    </xf>
    <xf numFmtId="2" fontId="30" fillId="56" borderId="182" xfId="0" applyNumberFormat="1" applyFont="1" applyFill="1" applyBorder="1" applyAlignment="1">
      <alignment horizontal="center"/>
    </xf>
    <xf numFmtId="2" fontId="30" fillId="56" borderId="183" xfId="0" applyNumberFormat="1" applyFont="1" applyFill="1" applyBorder="1" applyAlignment="1">
      <alignment horizontal="center"/>
    </xf>
    <xf numFmtId="2" fontId="30" fillId="56" borderId="93" xfId="0" applyNumberFormat="1" applyFont="1" applyFill="1" applyBorder="1" applyAlignment="1">
      <alignment horizontal="center"/>
    </xf>
    <xf numFmtId="165" fontId="14" fillId="0" borderId="70" xfId="1" applyNumberFormat="1" applyFont="1" applyBorder="1" applyAlignment="1">
      <alignment horizontal="center" vertical="center"/>
    </xf>
    <xf numFmtId="172" fontId="14" fillId="0" borderId="70" xfId="0" applyNumberFormat="1" applyFont="1" applyBorder="1" applyAlignment="1">
      <alignment horizontal="center" vertical="center"/>
    </xf>
    <xf numFmtId="168" fontId="35" fillId="29" borderId="10" xfId="1" applyFont="1" applyFill="1" applyBorder="1" applyAlignment="1">
      <alignment horizontal="center" vertical="center"/>
    </xf>
    <xf numFmtId="165" fontId="35" fillId="29" borderId="10" xfId="1" applyNumberFormat="1" applyFont="1" applyFill="1" applyBorder="1" applyAlignment="1">
      <alignment horizontal="center" vertical="center"/>
    </xf>
    <xf numFmtId="168" fontId="35" fillId="29" borderId="49" xfId="1" applyFont="1" applyFill="1" applyBorder="1" applyAlignment="1">
      <alignment horizontal="center" vertical="center"/>
    </xf>
    <xf numFmtId="172" fontId="35" fillId="29" borderId="184" xfId="1" applyNumberFormat="1" applyFont="1" applyFill="1" applyBorder="1" applyAlignment="1">
      <alignment horizontal="center" vertical="center"/>
    </xf>
    <xf numFmtId="168" fontId="35" fillId="29" borderId="15" xfId="1" applyFont="1" applyFill="1" applyBorder="1" applyAlignment="1">
      <alignment horizontal="center" vertical="center"/>
    </xf>
    <xf numFmtId="172" fontId="35" fillId="29" borderId="16" xfId="1" applyNumberFormat="1" applyFont="1" applyFill="1" applyBorder="1" applyAlignment="1">
      <alignment horizontal="center" vertical="center"/>
    </xf>
    <xf numFmtId="176" fontId="14" fillId="0" borderId="70" xfId="0" applyNumberFormat="1" applyFont="1" applyBorder="1" applyAlignment="1">
      <alignment horizontal="center" vertical="center"/>
    </xf>
    <xf numFmtId="172" fontId="14" fillId="0" borderId="71" xfId="0" applyNumberFormat="1" applyFont="1" applyBorder="1" applyAlignment="1">
      <alignment horizontal="center" vertical="center"/>
    </xf>
    <xf numFmtId="172" fontId="32" fillId="30" borderId="2" xfId="0" applyNumberFormat="1" applyFont="1" applyFill="1" applyBorder="1" applyAlignment="1">
      <alignment horizontal="center" vertical="center" wrapText="1"/>
    </xf>
    <xf numFmtId="172" fontId="32" fillId="30" borderId="60" xfId="0" applyNumberFormat="1" applyFont="1" applyFill="1" applyBorder="1" applyAlignment="1">
      <alignment horizontal="center" vertical="center" wrapText="1"/>
    </xf>
    <xf numFmtId="168" fontId="35" fillId="29" borderId="185" xfId="1" applyFont="1" applyFill="1" applyBorder="1" applyAlignment="1">
      <alignment horizontal="center" vertical="center"/>
    </xf>
    <xf numFmtId="4" fontId="35" fillId="29" borderId="15" xfId="1" applyNumberFormat="1" applyFont="1" applyFill="1" applyBorder="1" applyAlignment="1">
      <alignment horizontal="center" vertical="center"/>
    </xf>
    <xf numFmtId="4" fontId="35" fillId="29" borderId="16" xfId="1" applyNumberFormat="1" applyFont="1" applyFill="1" applyBorder="1" applyAlignment="1">
      <alignment horizontal="center" vertical="center"/>
    </xf>
    <xf numFmtId="168" fontId="35" fillId="29" borderId="112" xfId="1" applyFont="1" applyFill="1" applyBorder="1" applyAlignment="1">
      <alignment horizontal="center" vertical="center"/>
    </xf>
    <xf numFmtId="168" fontId="21" fillId="0" borderId="70" xfId="1" applyFont="1" applyBorder="1" applyAlignment="1">
      <alignment horizontal="center" vertical="center"/>
    </xf>
    <xf numFmtId="168" fontId="61" fillId="73" borderId="70" xfId="1" applyFont="1" applyFill="1" applyBorder="1" applyAlignment="1">
      <alignment horizontal="center" vertical="center"/>
    </xf>
    <xf numFmtId="168" fontId="61" fillId="74" borderId="70" xfId="1" applyFont="1" applyFill="1" applyBorder="1" applyAlignment="1">
      <alignment horizontal="center" vertical="center"/>
    </xf>
    <xf numFmtId="0" fontId="30" fillId="14" borderId="73" xfId="0" applyFont="1" applyFill="1" applyBorder="1" applyAlignment="1">
      <alignment horizontal="center" vertical="center" wrapText="1"/>
    </xf>
    <xf numFmtId="0" fontId="30" fillId="44" borderId="73" xfId="0" applyFont="1" applyFill="1" applyBorder="1" applyAlignment="1">
      <alignment horizontal="center" vertical="center" wrapText="1"/>
    </xf>
    <xf numFmtId="0" fontId="31" fillId="34" borderId="73" xfId="0" applyFont="1" applyFill="1" applyBorder="1" applyAlignment="1">
      <alignment horizontal="center" vertical="center" wrapText="1"/>
    </xf>
    <xf numFmtId="0" fontId="33" fillId="43" borderId="73" xfId="0" applyFont="1" applyFill="1" applyBorder="1" applyAlignment="1">
      <alignment horizontal="center" wrapText="1"/>
    </xf>
    <xf numFmtId="0" fontId="44" fillId="55" borderId="85" xfId="0" applyFont="1" applyFill="1" applyBorder="1" applyAlignment="1">
      <alignment horizontal="center" vertical="center"/>
    </xf>
    <xf numFmtId="168" fontId="8" fillId="55" borderId="186" xfId="1" applyFont="1" applyFill="1" applyBorder="1" applyAlignment="1">
      <alignment horizontal="center" vertical="center"/>
    </xf>
    <xf numFmtId="168" fontId="8" fillId="55" borderId="187" xfId="1" applyFont="1" applyFill="1" applyBorder="1" applyAlignment="1">
      <alignment horizontal="center" vertical="center"/>
    </xf>
    <xf numFmtId="168" fontId="8" fillId="55" borderId="188" xfId="1" applyFont="1" applyFill="1" applyBorder="1" applyAlignment="1">
      <alignment horizontal="center" vertical="center"/>
    </xf>
    <xf numFmtId="168" fontId="62" fillId="73" borderId="86" xfId="1" applyFont="1" applyFill="1" applyBorder="1" applyAlignment="1">
      <alignment horizontal="center" vertical="center"/>
    </xf>
    <xf numFmtId="168" fontId="62" fillId="73" borderId="85" xfId="1" applyFont="1" applyFill="1" applyBorder="1" applyAlignment="1">
      <alignment horizontal="center" vertical="center"/>
    </xf>
    <xf numFmtId="168" fontId="62" fillId="73" borderId="146" xfId="1" applyFont="1" applyFill="1" applyBorder="1" applyAlignment="1">
      <alignment horizontal="center" vertical="center"/>
    </xf>
    <xf numFmtId="168" fontId="62" fillId="49" borderId="146" xfId="1" applyFont="1" applyFill="1" applyBorder="1" applyAlignment="1">
      <alignment horizontal="center" vertical="center"/>
    </xf>
    <xf numFmtId="4" fontId="30" fillId="57" borderId="77" xfId="0" applyNumberFormat="1" applyFont="1" applyFill="1" applyBorder="1"/>
    <xf numFmtId="4" fontId="30" fillId="63" borderId="77" xfId="0" applyNumberFormat="1" applyFont="1" applyFill="1" applyBorder="1"/>
    <xf numFmtId="4" fontId="30" fillId="65" borderId="77" xfId="0" applyNumberFormat="1" applyFont="1" applyFill="1" applyBorder="1"/>
    <xf numFmtId="4" fontId="30" fillId="66" borderId="77" xfId="0" applyNumberFormat="1" applyFont="1" applyFill="1" applyBorder="1"/>
    <xf numFmtId="168" fontId="14" fillId="0" borderId="189" xfId="1" applyFont="1" applyBorder="1" applyAlignment="1">
      <alignment horizontal="center" vertical="center"/>
    </xf>
    <xf numFmtId="168" fontId="21" fillId="0" borderId="189" xfId="1" applyFont="1" applyBorder="1" applyAlignment="1">
      <alignment horizontal="center" vertical="center"/>
    </xf>
    <xf numFmtId="168" fontId="61" fillId="73" borderId="189" xfId="1" applyFont="1" applyFill="1" applyBorder="1" applyAlignment="1">
      <alignment horizontal="center" vertical="center"/>
    </xf>
    <xf numFmtId="168" fontId="61" fillId="74" borderId="189" xfId="1" applyFont="1" applyFill="1" applyBorder="1" applyAlignment="1">
      <alignment horizontal="center" vertical="center"/>
    </xf>
    <xf numFmtId="2" fontId="14" fillId="63" borderId="189" xfId="0" applyNumberFormat="1" applyFont="1" applyFill="1" applyBorder="1"/>
    <xf numFmtId="4" fontId="14" fillId="51" borderId="189" xfId="0" applyNumberFormat="1" applyFont="1" applyFill="1" applyBorder="1"/>
    <xf numFmtId="0" fontId="14" fillId="64" borderId="189" xfId="0" applyFont="1" applyFill="1" applyBorder="1"/>
    <xf numFmtId="0" fontId="48" fillId="52" borderId="113" xfId="0" applyFont="1" applyFill="1" applyBorder="1"/>
    <xf numFmtId="0" fontId="14" fillId="52" borderId="114" xfId="0" applyFont="1" applyFill="1" applyBorder="1"/>
    <xf numFmtId="168" fontId="14" fillId="0" borderId="74" xfId="1" applyFont="1" applyBorder="1" applyAlignment="1">
      <alignment horizontal="center" vertical="center"/>
    </xf>
    <xf numFmtId="168" fontId="21" fillId="0" borderId="74" xfId="1" applyFont="1" applyBorder="1" applyAlignment="1">
      <alignment horizontal="center" vertical="center"/>
    </xf>
    <xf numFmtId="168" fontId="61" fillId="73" borderId="74" xfId="1" applyFont="1" applyFill="1" applyBorder="1" applyAlignment="1">
      <alignment horizontal="center" vertical="center"/>
    </xf>
    <xf numFmtId="168" fontId="61" fillId="74" borderId="74" xfId="1" applyFont="1" applyFill="1" applyBorder="1" applyAlignment="1">
      <alignment horizontal="center" vertical="center"/>
    </xf>
    <xf numFmtId="2" fontId="14" fillId="63" borderId="74" xfId="0" applyNumberFormat="1" applyFont="1" applyFill="1" applyBorder="1"/>
    <xf numFmtId="4" fontId="14" fillId="51" borderId="74" xfId="0" applyNumberFormat="1" applyFont="1" applyFill="1" applyBorder="1"/>
    <xf numFmtId="0" fontId="14" fillId="64" borderId="74" xfId="0" applyFont="1" applyFill="1" applyBorder="1"/>
    <xf numFmtId="0" fontId="14" fillId="52" borderId="115" xfId="0" applyFont="1" applyFill="1" applyBorder="1"/>
    <xf numFmtId="10" fontId="24" fillId="46" borderId="61" xfId="2" applyNumberFormat="1" applyFont="1" applyFill="1" applyBorder="1" applyAlignment="1" applyProtection="1">
      <alignment horizontal="right" vertical="center" wrapText="1"/>
    </xf>
    <xf numFmtId="0" fontId="59" fillId="73" borderId="81" xfId="0" applyFont="1" applyFill="1" applyBorder="1" applyAlignment="1">
      <alignment horizontal="center" vertical="center" wrapText="1"/>
    </xf>
    <xf numFmtId="183" fontId="14" fillId="0" borderId="0" xfId="0" applyNumberFormat="1" applyFont="1" applyAlignment="1">
      <alignment horizontal="center" vertical="center"/>
    </xf>
    <xf numFmtId="169" fontId="63" fillId="9" borderId="62" xfId="0" applyNumberFormat="1" applyFont="1" applyFill="1" applyBorder="1" applyAlignment="1">
      <alignment vertical="center"/>
    </xf>
    <xf numFmtId="168" fontId="21" fillId="36" borderId="70" xfId="1" applyFont="1" applyFill="1" applyBorder="1" applyAlignment="1">
      <alignment horizontal="center" vertical="center"/>
    </xf>
    <xf numFmtId="172" fontId="21" fillId="35" borderId="71" xfId="1" applyNumberFormat="1" applyFont="1" applyFill="1" applyBorder="1" applyAlignment="1">
      <alignment horizontal="center" vertical="center"/>
    </xf>
    <xf numFmtId="172" fontId="35" fillId="29" borderId="185" xfId="1" applyNumberFormat="1" applyFont="1" applyFill="1" applyBorder="1" applyAlignment="1">
      <alignment horizontal="center" vertical="center"/>
    </xf>
    <xf numFmtId="0" fontId="58" fillId="39" borderId="190" xfId="0" applyFont="1" applyFill="1" applyBorder="1" applyAlignment="1" applyProtection="1">
      <alignment horizontal="left" vertical="center" wrapText="1"/>
      <protection locked="0"/>
    </xf>
    <xf numFmtId="0" fontId="58" fillId="39" borderId="191" xfId="0" applyFont="1" applyFill="1" applyBorder="1" applyAlignment="1" applyProtection="1">
      <alignment horizontal="left" vertical="center" wrapText="1"/>
      <protection locked="0"/>
    </xf>
    <xf numFmtId="10" fontId="21" fillId="39" borderId="19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89" xfId="1" applyNumberFormat="1" applyFont="1" applyBorder="1" applyAlignment="1">
      <alignment horizontal="center" vertical="center"/>
    </xf>
    <xf numFmtId="172" fontId="14" fillId="0" borderId="189" xfId="0" applyNumberFormat="1" applyFont="1" applyBorder="1" applyAlignment="1">
      <alignment horizontal="center" vertical="center"/>
    </xf>
    <xf numFmtId="172" fontId="14" fillId="0" borderId="192" xfId="0" applyNumberFormat="1" applyFont="1" applyBorder="1" applyAlignment="1">
      <alignment horizontal="center" vertical="center"/>
    </xf>
    <xf numFmtId="176" fontId="14" fillId="0" borderId="189" xfId="0" applyNumberFormat="1" applyFont="1" applyBorder="1" applyAlignment="1">
      <alignment horizontal="center" vertical="center"/>
    </xf>
    <xf numFmtId="172" fontId="32" fillId="30" borderId="191" xfId="0" applyNumberFormat="1" applyFont="1" applyFill="1" applyBorder="1" applyAlignment="1">
      <alignment horizontal="center" vertical="center" wrapText="1"/>
    </xf>
    <xf numFmtId="172" fontId="21" fillId="35" borderId="192" xfId="1" applyNumberFormat="1" applyFont="1" applyFill="1" applyBorder="1" applyAlignment="1">
      <alignment horizontal="center" vertical="center"/>
    </xf>
    <xf numFmtId="168" fontId="21" fillId="36" borderId="189" xfId="1" applyFont="1" applyFill="1" applyBorder="1" applyAlignment="1">
      <alignment horizontal="center" vertical="center"/>
    </xf>
    <xf numFmtId="172" fontId="21" fillId="38" borderId="89" xfId="1" applyNumberFormat="1" applyFont="1" applyFill="1" applyBorder="1" applyAlignment="1">
      <alignment horizontal="center" vertical="center"/>
    </xf>
    <xf numFmtId="0" fontId="58" fillId="40" borderId="180" xfId="0" applyFont="1" applyFill="1" applyBorder="1" applyAlignment="1" applyProtection="1">
      <alignment horizontal="left" vertical="center"/>
      <protection locked="0"/>
    </xf>
    <xf numFmtId="172" fontId="21" fillId="38" borderId="91" xfId="1" applyNumberFormat="1" applyFont="1" applyFill="1" applyBorder="1" applyAlignment="1">
      <alignment horizontal="center" vertical="center"/>
    </xf>
    <xf numFmtId="172" fontId="35" fillId="29" borderId="193" xfId="1" applyNumberFormat="1" applyFont="1" applyFill="1" applyBorder="1" applyAlignment="1">
      <alignment horizontal="center" vertical="center"/>
    </xf>
    <xf numFmtId="0" fontId="8" fillId="0" borderId="194" xfId="0" applyFont="1" applyBorder="1" applyAlignment="1" applyProtection="1">
      <alignment horizontal="left" vertical="center"/>
      <protection locked="0"/>
    </xf>
    <xf numFmtId="0" fontId="14" fillId="0" borderId="180" xfId="0" applyFont="1" applyBorder="1" applyAlignment="1" applyProtection="1">
      <alignment horizontal="left" vertical="center"/>
      <protection locked="0"/>
    </xf>
    <xf numFmtId="0" fontId="14" fillId="0" borderId="132" xfId="0" applyFont="1" applyBorder="1" applyAlignment="1" applyProtection="1">
      <alignment horizontal="left" vertical="center"/>
      <protection locked="0"/>
    </xf>
    <xf numFmtId="168" fontId="14" fillId="0" borderId="161" xfId="1" applyFont="1" applyBorder="1" applyAlignment="1">
      <alignment horizontal="center" vertical="center"/>
    </xf>
    <xf numFmtId="168" fontId="14" fillId="0" borderId="7" xfId="1" applyFont="1" applyBorder="1" applyAlignment="1">
      <alignment horizontal="center" vertical="center"/>
    </xf>
    <xf numFmtId="168" fontId="14" fillId="0" borderId="90" xfId="1" applyFont="1" applyBorder="1" applyAlignment="1">
      <alignment horizontal="center" vertical="center"/>
    </xf>
    <xf numFmtId="168" fontId="14" fillId="0" borderId="3" xfId="1" applyFont="1" applyBorder="1" applyAlignment="1">
      <alignment horizontal="center" vertical="center"/>
    </xf>
    <xf numFmtId="168" fontId="14" fillId="0" borderId="141" xfId="1" applyFont="1" applyBorder="1" applyAlignment="1">
      <alignment horizontal="center" vertical="center"/>
    </xf>
    <xf numFmtId="168" fontId="14" fillId="0" borderId="11" xfId="1" applyFont="1" applyBorder="1" applyAlignment="1">
      <alignment horizontal="center" vertical="center"/>
    </xf>
    <xf numFmtId="168" fontId="61" fillId="73" borderId="77" xfId="1" applyFont="1" applyFill="1" applyBorder="1" applyAlignment="1">
      <alignment horizontal="center" vertical="center"/>
    </xf>
    <xf numFmtId="0" fontId="14" fillId="0" borderId="70" xfId="0" applyFont="1" applyBorder="1" applyAlignment="1" applyProtection="1">
      <alignment horizontal="left" vertical="center"/>
      <protection locked="0"/>
    </xf>
    <xf numFmtId="169" fontId="51" fillId="0" borderId="70" xfId="1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/>
    </xf>
    <xf numFmtId="0" fontId="0" fillId="0" borderId="70" xfId="0" applyBorder="1"/>
    <xf numFmtId="184" fontId="3" fillId="0" borderId="70" xfId="1" applyNumberFormat="1" applyFont="1" applyBorder="1" applyAlignment="1">
      <alignment horizontal="center" vertical="center"/>
    </xf>
    <xf numFmtId="0" fontId="6" fillId="6" borderId="70" xfId="0" applyFont="1" applyFill="1" applyBorder="1" applyAlignment="1">
      <alignment horizontal="center"/>
    </xf>
    <xf numFmtId="0" fontId="0" fillId="6" borderId="70" xfId="0" applyFill="1" applyBorder="1"/>
    <xf numFmtId="185" fontId="3" fillId="6" borderId="70" xfId="1" applyNumberFormat="1" applyFont="1" applyFill="1" applyBorder="1" applyAlignment="1">
      <alignment horizontal="center" vertical="center"/>
    </xf>
    <xf numFmtId="0" fontId="8" fillId="5" borderId="70" xfId="0" applyFont="1" applyFill="1" applyBorder="1" applyAlignment="1" applyProtection="1">
      <alignment horizontal="center" vertical="center"/>
      <protection locked="0"/>
    </xf>
    <xf numFmtId="0" fontId="9" fillId="4" borderId="70" xfId="0" applyFont="1" applyFill="1" applyBorder="1" applyAlignment="1">
      <alignment horizontal="center" vertical="center" wrapText="1"/>
    </xf>
    <xf numFmtId="169" fontId="60" fillId="0" borderId="70" xfId="1" applyNumberFormat="1" applyFont="1" applyBorder="1" applyAlignment="1">
      <alignment horizontal="center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51" fillId="0" borderId="70" xfId="0" applyFont="1" applyBorder="1"/>
    <xf numFmtId="185" fontId="3" fillId="0" borderId="70" xfId="1" applyNumberFormat="1" applyFont="1" applyBorder="1" applyAlignment="1">
      <alignment horizontal="center" vertical="center"/>
    </xf>
    <xf numFmtId="170" fontId="3" fillId="6" borderId="70" xfId="1" applyNumberFormat="1" applyFont="1" applyFill="1" applyBorder="1" applyAlignment="1">
      <alignment horizontal="center" vertical="center"/>
    </xf>
    <xf numFmtId="168" fontId="35" fillId="29" borderId="198" xfId="1" applyFont="1" applyFill="1" applyBorder="1" applyAlignment="1">
      <alignment horizontal="center" vertical="center"/>
    </xf>
    <xf numFmtId="165" fontId="35" fillId="29" borderId="198" xfId="1" applyNumberFormat="1" applyFont="1" applyFill="1" applyBorder="1" applyAlignment="1">
      <alignment horizontal="center" vertical="center"/>
    </xf>
    <xf numFmtId="168" fontId="35" fillId="29" borderId="169" xfId="1" applyFont="1" applyFill="1" applyBorder="1" applyAlignment="1">
      <alignment horizontal="center" vertical="center"/>
    </xf>
    <xf numFmtId="172" fontId="35" fillId="29" borderId="170" xfId="1" applyNumberFormat="1" applyFont="1" applyFill="1" applyBorder="1" applyAlignment="1">
      <alignment horizontal="center" vertical="center"/>
    </xf>
    <xf numFmtId="4" fontId="35" fillId="29" borderId="169" xfId="1" applyNumberFormat="1" applyFont="1" applyFill="1" applyBorder="1" applyAlignment="1">
      <alignment horizontal="center" vertical="center"/>
    </xf>
    <xf numFmtId="4" fontId="35" fillId="29" borderId="170" xfId="1" applyNumberFormat="1" applyFont="1" applyFill="1" applyBorder="1" applyAlignment="1">
      <alignment horizontal="center" vertical="center"/>
    </xf>
    <xf numFmtId="168" fontId="35" fillId="29" borderId="199" xfId="1" applyFont="1" applyFill="1" applyBorder="1" applyAlignment="1">
      <alignment horizontal="center" vertical="center"/>
    </xf>
    <xf numFmtId="172" fontId="35" fillId="29" borderId="199" xfId="1" applyNumberFormat="1" applyFont="1" applyFill="1" applyBorder="1" applyAlignment="1">
      <alignment horizontal="center" vertical="center"/>
    </xf>
    <xf numFmtId="172" fontId="35" fillId="29" borderId="172" xfId="1" applyNumberFormat="1" applyFont="1" applyFill="1" applyBorder="1" applyAlignment="1">
      <alignment horizontal="center" vertical="center"/>
    </xf>
    <xf numFmtId="0" fontId="58" fillId="40" borderId="132" xfId="0" applyFont="1" applyFill="1" applyBorder="1" applyAlignment="1" applyProtection="1">
      <alignment horizontal="left" vertical="center"/>
      <protection locked="0"/>
    </xf>
    <xf numFmtId="0" fontId="58" fillId="40" borderId="4" xfId="0" applyFont="1" applyFill="1" applyBorder="1" applyAlignment="1" applyProtection="1">
      <alignment horizontal="left" vertical="center"/>
      <protection locked="0"/>
    </xf>
    <xf numFmtId="10" fontId="21" fillId="40" borderId="4" xfId="0" applyNumberFormat="1" applyFont="1" applyFill="1" applyBorder="1" applyAlignment="1" applyProtection="1">
      <alignment horizontal="center" vertical="center"/>
      <protection locked="0"/>
    </xf>
    <xf numFmtId="165" fontId="14" fillId="0" borderId="73" xfId="1" applyNumberFormat="1" applyFont="1" applyBorder="1" applyAlignment="1">
      <alignment horizontal="center" vertical="center"/>
    </xf>
    <xf numFmtId="172" fontId="14" fillId="0" borderId="73" xfId="0" applyNumberFormat="1" applyFont="1" applyBorder="1" applyAlignment="1">
      <alignment horizontal="center" vertical="center"/>
    </xf>
    <xf numFmtId="172" fontId="14" fillId="0" borderId="98" xfId="0" applyNumberFormat="1" applyFont="1" applyBorder="1" applyAlignment="1">
      <alignment horizontal="center" vertical="center"/>
    </xf>
    <xf numFmtId="176" fontId="14" fillId="0" borderId="73" xfId="0" applyNumberFormat="1" applyFont="1" applyBorder="1" applyAlignment="1">
      <alignment horizontal="center" vertical="center"/>
    </xf>
    <xf numFmtId="172" fontId="32" fillId="30" borderId="4" xfId="0" applyNumberFormat="1" applyFont="1" applyFill="1" applyBorder="1" applyAlignment="1">
      <alignment horizontal="center" vertical="center" wrapText="1"/>
    </xf>
    <xf numFmtId="172" fontId="21" fillId="35" borderId="98" xfId="1" applyNumberFormat="1" applyFont="1" applyFill="1" applyBorder="1" applyAlignment="1">
      <alignment horizontal="center" vertical="center"/>
    </xf>
    <xf numFmtId="168" fontId="21" fillId="36" borderId="73" xfId="1" applyFont="1" applyFill="1" applyBorder="1" applyAlignment="1">
      <alignment horizontal="center" vertical="center"/>
    </xf>
    <xf numFmtId="172" fontId="21" fillId="38" borderId="133" xfId="1" applyNumberFormat="1" applyFont="1" applyFill="1" applyBorder="1" applyAlignment="1">
      <alignment horizontal="center" vertical="center"/>
    </xf>
    <xf numFmtId="0" fontId="58" fillId="39" borderId="194" xfId="0" applyFont="1" applyFill="1" applyBorder="1" applyAlignment="1" applyProtection="1">
      <alignment horizontal="left" vertical="center" wrapText="1"/>
      <protection locked="0"/>
    </xf>
    <xf numFmtId="165" fontId="14" fillId="0" borderId="77" xfId="1" applyNumberFormat="1" applyFont="1" applyBorder="1" applyAlignment="1">
      <alignment horizontal="center" vertical="center"/>
    </xf>
    <xf numFmtId="172" fontId="14" fillId="0" borderId="77" xfId="0" applyNumberFormat="1" applyFont="1" applyBorder="1" applyAlignment="1">
      <alignment horizontal="center" vertical="center"/>
    </xf>
    <xf numFmtId="168" fontId="21" fillId="36" borderId="77" xfId="1" applyFont="1" applyFill="1" applyBorder="1" applyAlignment="1">
      <alignment horizontal="center" vertical="center"/>
    </xf>
    <xf numFmtId="4" fontId="14" fillId="51" borderId="77" xfId="0" applyNumberFormat="1" applyFont="1" applyFill="1" applyBorder="1"/>
    <xf numFmtId="172" fontId="21" fillId="38" borderId="200" xfId="1" applyNumberFormat="1" applyFont="1" applyFill="1" applyBorder="1" applyAlignment="1">
      <alignment horizontal="center" vertical="center"/>
    </xf>
    <xf numFmtId="0" fontId="15" fillId="9" borderId="147" xfId="0" applyFont="1" applyFill="1" applyBorder="1" applyAlignment="1">
      <alignment vertical="center"/>
    </xf>
    <xf numFmtId="171" fontId="16" fillId="3" borderId="39" xfId="0" applyNumberFormat="1" applyFont="1" applyFill="1" applyBorder="1" applyAlignment="1">
      <alignment horizontal="right" vertical="center"/>
    </xf>
    <xf numFmtId="0" fontId="15" fillId="0" borderId="48" xfId="0" applyFont="1" applyBorder="1" applyAlignment="1">
      <alignment vertical="center"/>
    </xf>
    <xf numFmtId="0" fontId="66" fillId="75" borderId="196" xfId="0" applyFont="1" applyFill="1" applyBorder="1"/>
    <xf numFmtId="14" fontId="66" fillId="75" borderId="196" xfId="0" applyNumberFormat="1" applyFont="1" applyFill="1" applyBorder="1"/>
    <xf numFmtId="0" fontId="65" fillId="78" borderId="70" xfId="0" applyFont="1" applyFill="1" applyBorder="1"/>
    <xf numFmtId="0" fontId="65" fillId="62" borderId="70" xfId="0" applyFont="1" applyFill="1" applyBorder="1"/>
    <xf numFmtId="4" fontId="65" fillId="62" borderId="70" xfId="0" applyNumberFormat="1" applyFont="1" applyFill="1" applyBorder="1"/>
    <xf numFmtId="4" fontId="65" fillId="62" borderId="71" xfId="0" applyNumberFormat="1" applyFont="1" applyFill="1" applyBorder="1"/>
    <xf numFmtId="10" fontId="67" fillId="62" borderId="70" xfId="0" applyNumberFormat="1" applyFont="1" applyFill="1" applyBorder="1"/>
    <xf numFmtId="0" fontId="65" fillId="62" borderId="70" xfId="0" quotePrefix="1" applyFont="1" applyFill="1" applyBorder="1"/>
    <xf numFmtId="0" fontId="55" fillId="62" borderId="71" xfId="0" applyFont="1" applyFill="1" applyBorder="1"/>
    <xf numFmtId="0" fontId="55" fillId="62" borderId="201" xfId="0" applyFont="1" applyFill="1" applyBorder="1"/>
    <xf numFmtId="0" fontId="55" fillId="79" borderId="70" xfId="0" applyFont="1" applyFill="1" applyBorder="1"/>
    <xf numFmtId="0" fontId="68" fillId="79" borderId="70" xfId="0" applyFont="1" applyFill="1" applyBorder="1"/>
    <xf numFmtId="0" fontId="65" fillId="80" borderId="70" xfId="0" applyFont="1" applyFill="1" applyBorder="1"/>
    <xf numFmtId="8" fontId="67" fillId="62" borderId="70" xfId="0" applyNumberFormat="1" applyFont="1" applyFill="1" applyBorder="1"/>
    <xf numFmtId="0" fontId="55" fillId="0" borderId="70" xfId="0" applyFont="1" applyBorder="1"/>
    <xf numFmtId="0" fontId="55" fillId="81" borderId="70" xfId="0" applyFont="1" applyFill="1" applyBorder="1"/>
    <xf numFmtId="0" fontId="55" fillId="77" borderId="96" xfId="0" applyFont="1" applyFill="1" applyBorder="1"/>
    <xf numFmtId="8" fontId="65" fillId="62" borderId="70" xfId="0" applyNumberFormat="1" applyFont="1" applyFill="1" applyBorder="1"/>
    <xf numFmtId="2" fontId="65" fillId="81" borderId="70" xfId="0" applyNumberFormat="1" applyFont="1" applyFill="1" applyBorder="1"/>
    <xf numFmtId="175" fontId="22" fillId="30" borderId="0" xfId="0" applyNumberFormat="1" applyFont="1" applyFill="1" applyAlignment="1">
      <alignment horizontal="right" vertical="center" wrapText="1"/>
    </xf>
    <xf numFmtId="0" fontId="22" fillId="30" borderId="80" xfId="0" applyFont="1" applyFill="1" applyBorder="1" applyAlignment="1">
      <alignment vertical="center" wrapText="1"/>
    </xf>
    <xf numFmtId="0" fontId="22" fillId="30" borderId="81" xfId="0" applyFont="1" applyFill="1" applyBorder="1" applyAlignment="1">
      <alignment vertical="center" wrapText="1"/>
    </xf>
    <xf numFmtId="175" fontId="30" fillId="30" borderId="81" xfId="0" applyNumberFormat="1" applyFont="1" applyFill="1" applyBorder="1" applyAlignment="1">
      <alignment horizontal="right" vertical="center" wrapText="1"/>
    </xf>
    <xf numFmtId="175" fontId="22" fillId="30" borderId="82" xfId="0" applyNumberFormat="1" applyFont="1" applyFill="1" applyBorder="1" applyAlignment="1">
      <alignment horizontal="right" vertical="center" wrapText="1"/>
    </xf>
    <xf numFmtId="175" fontId="22" fillId="30" borderId="84" xfId="0" applyNumberFormat="1" applyFont="1" applyFill="1" applyBorder="1" applyAlignment="1">
      <alignment horizontal="right" vertical="center" wrapText="1"/>
    </xf>
    <xf numFmtId="175" fontId="22" fillId="30" borderId="87" xfId="0" applyNumberFormat="1" applyFont="1" applyFill="1" applyBorder="1" applyAlignment="1">
      <alignment horizontal="right" vertical="center" wrapText="1"/>
    </xf>
    <xf numFmtId="4" fontId="68" fillId="79" borderId="70" xfId="0" applyNumberFormat="1" applyFont="1" applyFill="1" applyBorder="1"/>
    <xf numFmtId="0" fontId="22" fillId="26" borderId="80" xfId="0" applyFont="1" applyFill="1" applyBorder="1" applyAlignment="1">
      <alignment vertical="center" wrapText="1"/>
    </xf>
    <xf numFmtId="0" fontId="22" fillId="26" borderId="81" xfId="0" applyFont="1" applyFill="1" applyBorder="1" applyAlignment="1">
      <alignment vertical="center" wrapText="1"/>
    </xf>
    <xf numFmtId="175" fontId="22" fillId="26" borderId="81" xfId="0" applyNumberFormat="1" applyFont="1" applyFill="1" applyBorder="1" applyAlignment="1">
      <alignment horizontal="right" vertical="center" wrapText="1"/>
    </xf>
    <xf numFmtId="175" fontId="22" fillId="26" borderId="82" xfId="0" applyNumberFormat="1" applyFont="1" applyFill="1" applyBorder="1" applyAlignment="1">
      <alignment horizontal="right" vertical="center" wrapText="1"/>
    </xf>
    <xf numFmtId="0" fontId="22" fillId="26" borderId="85" xfId="0" applyFont="1" applyFill="1" applyBorder="1" applyAlignment="1">
      <alignment vertical="center" wrapText="1"/>
    </xf>
    <xf numFmtId="0" fontId="22" fillId="26" borderId="86" xfId="0" applyFont="1" applyFill="1" applyBorder="1" applyAlignment="1">
      <alignment vertical="center" wrapText="1"/>
    </xf>
    <xf numFmtId="175" fontId="22" fillId="26" borderId="86" xfId="0" applyNumberFormat="1" applyFont="1" applyFill="1" applyBorder="1" applyAlignment="1">
      <alignment horizontal="right" vertical="center" wrapText="1"/>
    </xf>
    <xf numFmtId="175" fontId="22" fillId="26" borderId="87" xfId="0" applyNumberFormat="1" applyFont="1" applyFill="1" applyBorder="1" applyAlignment="1">
      <alignment horizontal="right" vertical="center" wrapText="1"/>
    </xf>
    <xf numFmtId="175" fontId="22" fillId="30" borderId="81" xfId="0" applyNumberFormat="1" applyFont="1" applyFill="1" applyBorder="1" applyAlignment="1">
      <alignment horizontal="right" vertical="center" wrapText="1"/>
    </xf>
    <xf numFmtId="175" fontId="22" fillId="30" borderId="86" xfId="0" applyNumberFormat="1" applyFont="1" applyFill="1" applyBorder="1" applyAlignment="1">
      <alignment horizontal="right" vertical="center" wrapText="1"/>
    </xf>
    <xf numFmtId="10" fontId="21" fillId="0" borderId="70" xfId="0" applyNumberFormat="1" applyFont="1" applyBorder="1" applyAlignment="1">
      <alignment wrapText="1"/>
    </xf>
    <xf numFmtId="10" fontId="21" fillId="82" borderId="70" xfId="0" applyNumberFormat="1" applyFont="1" applyFill="1" applyBorder="1" applyAlignment="1">
      <alignment wrapText="1"/>
    </xf>
    <xf numFmtId="10" fontId="21" fillId="69" borderId="70" xfId="0" applyNumberFormat="1" applyFont="1" applyFill="1" applyBorder="1" applyAlignment="1">
      <alignment wrapText="1"/>
    </xf>
    <xf numFmtId="0" fontId="14" fillId="4" borderId="42" xfId="0" applyFont="1" applyFill="1" applyBorder="1" applyAlignment="1">
      <alignment wrapText="1"/>
    </xf>
    <xf numFmtId="0" fontId="14" fillId="4" borderId="202" xfId="0" applyFont="1" applyFill="1" applyBorder="1" applyAlignment="1">
      <alignment wrapText="1"/>
    </xf>
    <xf numFmtId="0" fontId="14" fillId="31" borderId="202" xfId="0" applyFont="1" applyFill="1" applyBorder="1" applyAlignment="1">
      <alignment wrapText="1"/>
    </xf>
    <xf numFmtId="3" fontId="14" fillId="31" borderId="202" xfId="0" applyNumberFormat="1" applyFont="1" applyFill="1" applyBorder="1" applyAlignment="1">
      <alignment wrapText="1"/>
    </xf>
    <xf numFmtId="0" fontId="21" fillId="17" borderId="202" xfId="0" applyFont="1" applyFill="1" applyBorder="1" applyAlignment="1">
      <alignment wrapText="1"/>
    </xf>
    <xf numFmtId="0" fontId="14" fillId="17" borderId="203" xfId="0" applyFont="1" applyFill="1" applyBorder="1" applyAlignment="1">
      <alignment wrapText="1"/>
    </xf>
    <xf numFmtId="0" fontId="14" fillId="4" borderId="42" xfId="0" applyFont="1" applyFill="1" applyBorder="1" applyAlignment="1">
      <alignment horizontal="center" wrapText="1"/>
    </xf>
    <xf numFmtId="0" fontId="14" fillId="4" borderId="202" xfId="0" applyFont="1" applyFill="1" applyBorder="1" applyAlignment="1">
      <alignment horizontal="center" wrapText="1"/>
    </xf>
    <xf numFmtId="0" fontId="14" fillId="31" borderId="202" xfId="0" applyFont="1" applyFill="1" applyBorder="1" applyAlignment="1">
      <alignment horizontal="center" wrapText="1"/>
    </xf>
    <xf numFmtId="3" fontId="14" fillId="31" borderId="202" xfId="0" applyNumberFormat="1" applyFont="1" applyFill="1" applyBorder="1" applyAlignment="1">
      <alignment horizontal="center" wrapText="1"/>
    </xf>
    <xf numFmtId="0" fontId="21" fillId="17" borderId="202" xfId="0" applyFont="1" applyFill="1" applyBorder="1" applyAlignment="1">
      <alignment horizontal="center" wrapText="1"/>
    </xf>
    <xf numFmtId="0" fontId="14" fillId="17" borderId="203" xfId="0" applyFont="1" applyFill="1" applyBorder="1" applyAlignment="1">
      <alignment horizontal="center" wrapText="1"/>
    </xf>
    <xf numFmtId="2" fontId="55" fillId="67" borderId="70" xfId="0" applyNumberFormat="1" applyFont="1" applyFill="1" applyBorder="1"/>
    <xf numFmtId="2" fontId="57" fillId="67" borderId="70" xfId="0" applyNumberFormat="1" applyFont="1" applyFill="1" applyBorder="1"/>
    <xf numFmtId="2" fontId="55" fillId="67" borderId="73" xfId="0" applyNumberFormat="1" applyFont="1" applyFill="1" applyBorder="1"/>
    <xf numFmtId="0" fontId="41" fillId="0" borderId="0" xfId="0" quotePrefix="1" applyFont="1"/>
    <xf numFmtId="8" fontId="15" fillId="0" borderId="74" xfId="0" applyNumberFormat="1" applyFont="1" applyBorder="1"/>
    <xf numFmtId="168" fontId="8" fillId="0" borderId="189" xfId="1" applyFont="1" applyBorder="1" applyAlignment="1">
      <alignment horizontal="center" vertical="center"/>
    </xf>
    <xf numFmtId="168" fontId="8" fillId="0" borderId="70" xfId="1" applyFont="1" applyBorder="1" applyAlignment="1">
      <alignment horizontal="center" vertical="center"/>
    </xf>
    <xf numFmtId="168" fontId="8" fillId="0" borderId="73" xfId="1" applyFont="1" applyBorder="1" applyAlignment="1">
      <alignment horizontal="center" vertical="center"/>
    </xf>
    <xf numFmtId="168" fontId="8" fillId="0" borderId="189" xfId="1" applyFont="1" applyBorder="1" applyAlignment="1">
      <alignment horizontal="right" vertical="center"/>
    </xf>
    <xf numFmtId="168" fontId="8" fillId="0" borderId="70" xfId="1" applyFont="1" applyBorder="1" applyAlignment="1">
      <alignment horizontal="right" vertical="center"/>
    </xf>
    <xf numFmtId="168" fontId="8" fillId="0" borderId="73" xfId="1" applyFont="1" applyBorder="1" applyAlignment="1">
      <alignment horizontal="right" vertical="center"/>
    </xf>
    <xf numFmtId="168" fontId="8" fillId="0" borderId="77" xfId="1" applyFont="1" applyBorder="1" applyAlignment="1">
      <alignment horizontal="center" vertical="center"/>
    </xf>
    <xf numFmtId="168" fontId="8" fillId="0" borderId="77" xfId="1" applyFont="1" applyBorder="1" applyAlignment="1">
      <alignment horizontal="right" vertical="center"/>
    </xf>
    <xf numFmtId="2" fontId="8" fillId="0" borderId="7" xfId="0" applyNumberFormat="1" applyFont="1" applyBorder="1"/>
    <xf numFmtId="2" fontId="8" fillId="0" borderId="8" xfId="0" applyNumberFormat="1" applyFont="1" applyBorder="1"/>
    <xf numFmtId="2" fontId="14" fillId="0" borderId="20" xfId="0" applyNumberFormat="1" applyFont="1" applyBorder="1"/>
    <xf numFmtId="2" fontId="14" fillId="0" borderId="6" xfId="0" applyNumberFormat="1" applyFont="1" applyBorder="1"/>
    <xf numFmtId="2" fontId="14" fillId="0" borderId="47" xfId="0" applyNumberFormat="1" applyFont="1" applyBorder="1"/>
    <xf numFmtId="2" fontId="14" fillId="0" borderId="7" xfId="0" applyNumberFormat="1" applyFont="1" applyBorder="1"/>
    <xf numFmtId="2" fontId="14" fillId="0" borderId="3" xfId="0" applyNumberFormat="1" applyFont="1" applyBorder="1"/>
    <xf numFmtId="2" fontId="14" fillId="0" borderId="3" xfId="0" quotePrefix="1" applyNumberFormat="1" applyFont="1" applyBorder="1"/>
    <xf numFmtId="2" fontId="14" fillId="0" borderId="11" xfId="0" quotePrefix="1" applyNumberFormat="1" applyFont="1" applyBorder="1"/>
    <xf numFmtId="2" fontId="14" fillId="0" borderId="11" xfId="0" applyNumberFormat="1" applyFont="1" applyBorder="1"/>
    <xf numFmtId="175" fontId="9" fillId="0" borderId="0" xfId="0" applyNumberFormat="1" applyFont="1"/>
    <xf numFmtId="43" fontId="2" fillId="0" borderId="0" xfId="0" applyNumberFormat="1" applyFont="1"/>
    <xf numFmtId="2" fontId="57" fillId="68" borderId="195" xfId="0" applyNumberFormat="1" applyFont="1" applyFill="1" applyBorder="1"/>
    <xf numFmtId="2" fontId="55" fillId="74" borderId="195" xfId="0" applyNumberFormat="1" applyFont="1" applyFill="1" applyBorder="1"/>
    <xf numFmtId="2" fontId="57" fillId="68" borderId="197" xfId="0" applyNumberFormat="1" applyFont="1" applyFill="1" applyBorder="1"/>
    <xf numFmtId="2" fontId="55" fillId="74" borderId="197" xfId="0" applyNumberFormat="1" applyFont="1" applyFill="1" applyBorder="1"/>
    <xf numFmtId="2" fontId="57" fillId="74" borderId="197" xfId="0" applyNumberFormat="1" applyFont="1" applyFill="1" applyBorder="1"/>
    <xf numFmtId="10" fontId="8" fillId="0" borderId="70" xfId="0" applyNumberFormat="1" applyFont="1" applyBorder="1" applyAlignment="1" applyProtection="1">
      <alignment horizontal="left" vertical="center"/>
      <protection locked="0"/>
    </xf>
    <xf numFmtId="0" fontId="8" fillId="0" borderId="154" xfId="0" applyFont="1" applyBorder="1" applyAlignment="1" applyProtection="1">
      <alignment horizontal="left" vertical="center"/>
      <protection locked="0"/>
    </xf>
    <xf numFmtId="0" fontId="14" fillId="0" borderId="213" xfId="0" applyFont="1" applyBorder="1" applyAlignment="1" applyProtection="1">
      <alignment horizontal="left" vertical="center"/>
      <protection locked="0"/>
    </xf>
    <xf numFmtId="168" fontId="14" fillId="0" borderId="211" xfId="1" applyFont="1" applyBorder="1" applyAlignment="1">
      <alignment horizontal="center" vertical="center"/>
    </xf>
    <xf numFmtId="168" fontId="14" fillId="0" borderId="72" xfId="1" applyFont="1" applyBorder="1" applyAlignment="1">
      <alignment horizontal="center" vertical="center"/>
    </xf>
    <xf numFmtId="168" fontId="14" fillId="0" borderId="212" xfId="1" applyFont="1" applyBorder="1" applyAlignment="1">
      <alignment horizontal="center" vertical="center"/>
    </xf>
    <xf numFmtId="0" fontId="44" fillId="55" borderId="105" xfId="0" applyFont="1" applyFill="1" applyBorder="1" applyAlignment="1">
      <alignment horizontal="center" vertical="center"/>
    </xf>
    <xf numFmtId="0" fontId="44" fillId="55" borderId="147" xfId="0" applyFont="1" applyFill="1" applyBorder="1" applyAlignment="1">
      <alignment horizontal="center" vertical="center"/>
    </xf>
    <xf numFmtId="168" fontId="8" fillId="55" borderId="214" xfId="1" applyFont="1" applyFill="1" applyBorder="1" applyAlignment="1">
      <alignment horizontal="center" vertical="center"/>
    </xf>
    <xf numFmtId="0" fontId="14" fillId="0" borderId="215" xfId="0" applyFont="1" applyBorder="1" applyAlignment="1" applyProtection="1">
      <alignment horizontal="left" vertical="center"/>
      <protection locked="0"/>
    </xf>
    <xf numFmtId="10" fontId="8" fillId="0" borderId="73" xfId="0" applyNumberFormat="1" applyFont="1" applyBorder="1" applyAlignment="1" applyProtection="1">
      <alignment horizontal="left" vertical="center"/>
      <protection locked="0"/>
    </xf>
    <xf numFmtId="10" fontId="8" fillId="0" borderId="194" xfId="0" applyNumberFormat="1" applyFont="1" applyBorder="1" applyAlignment="1" applyProtection="1">
      <alignment horizontal="left" vertical="center"/>
      <protection locked="0"/>
    </xf>
    <xf numFmtId="0" fontId="0" fillId="83" borderId="216" xfId="0" applyFill="1" applyBorder="1"/>
    <xf numFmtId="0" fontId="37" fillId="83" borderId="66" xfId="0" applyFont="1" applyFill="1" applyBorder="1"/>
    <xf numFmtId="4" fontId="37" fillId="83" borderId="66" xfId="0" applyNumberFormat="1" applyFont="1" applyFill="1" applyBorder="1"/>
    <xf numFmtId="0" fontId="36" fillId="83" borderId="66" xfId="0" applyFont="1" applyFill="1" applyBorder="1"/>
    <xf numFmtId="0" fontId="35" fillId="83" borderId="66" xfId="0" applyFont="1" applyFill="1" applyBorder="1"/>
    <xf numFmtId="0" fontId="38" fillId="83" borderId="67" xfId="0" applyFont="1" applyFill="1" applyBorder="1"/>
    <xf numFmtId="0" fontId="39" fillId="83" borderId="67" xfId="0" applyFont="1" applyFill="1" applyBorder="1"/>
    <xf numFmtId="0" fontId="0" fillId="83" borderId="0" xfId="0" applyFill="1"/>
    <xf numFmtId="0" fontId="37" fillId="83" borderId="0" xfId="0" applyFont="1" applyFill="1"/>
    <xf numFmtId="4" fontId="38" fillId="83" borderId="67" xfId="0" applyNumberFormat="1" applyFont="1" applyFill="1" applyBorder="1"/>
    <xf numFmtId="0" fontId="0" fillId="83" borderId="69" xfId="0" applyFill="1" applyBorder="1"/>
    <xf numFmtId="0" fontId="37" fillId="83" borderId="69" xfId="0" applyFont="1" applyFill="1" applyBorder="1"/>
    <xf numFmtId="4" fontId="38" fillId="83" borderId="69" xfId="0" applyNumberFormat="1" applyFont="1" applyFill="1" applyBorder="1"/>
    <xf numFmtId="172" fontId="19" fillId="0" borderId="0" xfId="0" applyNumberFormat="1" applyFont="1"/>
    <xf numFmtId="166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/>
    </xf>
    <xf numFmtId="0" fontId="20" fillId="4" borderId="71" xfId="0" applyFont="1" applyFill="1" applyBorder="1" applyAlignment="1">
      <alignment horizontal="center" vertical="center" wrapText="1"/>
    </xf>
    <xf numFmtId="0" fontId="20" fillId="4" borderId="116" xfId="0" applyFont="1" applyFill="1" applyBorder="1" applyAlignment="1">
      <alignment horizontal="center" vertical="center" wrapText="1"/>
    </xf>
    <xf numFmtId="0" fontId="20" fillId="17" borderId="71" xfId="0" applyFont="1" applyFill="1" applyBorder="1" applyAlignment="1">
      <alignment horizontal="center" vertical="center" wrapText="1"/>
    </xf>
    <xf numFmtId="0" fontId="20" fillId="31" borderId="71" xfId="0" applyFont="1" applyFill="1" applyBorder="1" applyAlignment="1">
      <alignment horizontal="center" vertical="center" wrapText="1"/>
    </xf>
    <xf numFmtId="0" fontId="55" fillId="62" borderId="83" xfId="0" applyFont="1" applyFill="1" applyBorder="1"/>
    <xf numFmtId="0" fontId="55" fillId="62" borderId="0" xfId="0" applyFont="1" applyFill="1"/>
    <xf numFmtId="0" fontId="65" fillId="62" borderId="0" xfId="0" applyFont="1" applyFill="1"/>
    <xf numFmtId="4" fontId="66" fillId="75" borderId="219" xfId="0" applyNumberFormat="1" applyFont="1" applyFill="1" applyBorder="1"/>
    <xf numFmtId="14" fontId="66" fillId="75" borderId="219" xfId="0" applyNumberFormat="1" applyFont="1" applyFill="1" applyBorder="1"/>
    <xf numFmtId="0" fontId="66" fillId="75" borderId="219" xfId="0" applyFont="1" applyFill="1" applyBorder="1"/>
    <xf numFmtId="0" fontId="65" fillId="78" borderId="100" xfId="0" applyFont="1" applyFill="1" applyBorder="1"/>
    <xf numFmtId="0" fontId="65" fillId="78" borderId="114" xfId="0" applyFont="1" applyFill="1" applyBorder="1"/>
    <xf numFmtId="0" fontId="66" fillId="62" borderId="100" xfId="0" applyFont="1" applyFill="1" applyBorder="1"/>
    <xf numFmtId="4" fontId="65" fillId="62" borderId="114" xfId="0" applyNumberFormat="1" applyFont="1" applyFill="1" applyBorder="1"/>
    <xf numFmtId="0" fontId="65" fillId="62" borderId="114" xfId="0" quotePrefix="1" applyFont="1" applyFill="1" applyBorder="1"/>
    <xf numFmtId="0" fontId="55" fillId="62" borderId="114" xfId="0" applyFont="1" applyFill="1" applyBorder="1"/>
    <xf numFmtId="0" fontId="68" fillId="79" borderId="100" xfId="0" applyFont="1" applyFill="1" applyBorder="1"/>
    <xf numFmtId="4" fontId="68" fillId="79" borderId="114" xfId="0" applyNumberFormat="1" applyFont="1" applyFill="1" applyBorder="1"/>
    <xf numFmtId="0" fontId="68" fillId="67" borderId="100" xfId="0" applyFont="1" applyFill="1" applyBorder="1"/>
    <xf numFmtId="0" fontId="65" fillId="80" borderId="114" xfId="0" applyFont="1" applyFill="1" applyBorder="1"/>
    <xf numFmtId="0" fontId="57" fillId="0" borderId="100" xfId="0" applyFont="1" applyBorder="1"/>
    <xf numFmtId="0" fontId="55" fillId="67" borderId="114" xfId="0" applyFont="1" applyFill="1" applyBorder="1"/>
    <xf numFmtId="0" fontId="65" fillId="62" borderId="114" xfId="0" applyFont="1" applyFill="1" applyBorder="1"/>
    <xf numFmtId="0" fontId="68" fillId="79" borderId="114" xfId="0" applyFont="1" applyFill="1" applyBorder="1"/>
    <xf numFmtId="0" fontId="55" fillId="0" borderId="114" xfId="0" applyFont="1" applyBorder="1"/>
    <xf numFmtId="0" fontId="55" fillId="62" borderId="100" xfId="0" applyFont="1" applyFill="1" applyBorder="1"/>
    <xf numFmtId="0" fontId="65" fillId="77" borderId="215" xfId="0" applyFont="1" applyFill="1" applyBorder="1"/>
    <xf numFmtId="0" fontId="55" fillId="77" borderId="221" xfId="0" applyFont="1" applyFill="1" applyBorder="1"/>
    <xf numFmtId="0" fontId="65" fillId="81" borderId="100" xfId="0" applyFont="1" applyFill="1" applyBorder="1"/>
    <xf numFmtId="2" fontId="65" fillId="81" borderId="114" xfId="0" applyNumberFormat="1" applyFont="1" applyFill="1" applyBorder="1"/>
    <xf numFmtId="0" fontId="55" fillId="62" borderId="222" xfId="0" applyFont="1" applyFill="1" applyBorder="1"/>
    <xf numFmtId="0" fontId="65" fillId="75" borderId="110" xfId="0" applyFont="1" applyFill="1" applyBorder="1"/>
    <xf numFmtId="0" fontId="65" fillId="75" borderId="223" xfId="0" applyFont="1" applyFill="1" applyBorder="1"/>
    <xf numFmtId="0" fontId="65" fillId="75" borderId="224" xfId="0" applyFont="1" applyFill="1" applyBorder="1"/>
    <xf numFmtId="4" fontId="66" fillId="75" borderId="100" xfId="0" applyNumberFormat="1" applyFont="1" applyFill="1" applyBorder="1"/>
    <xf numFmtId="14" fontId="66" fillId="75" borderId="100" xfId="0" applyNumberFormat="1" applyFont="1" applyFill="1" applyBorder="1"/>
    <xf numFmtId="0" fontId="66" fillId="75" borderId="100" xfId="0" applyFont="1" applyFill="1" applyBorder="1"/>
    <xf numFmtId="0" fontId="66" fillId="75" borderId="225" xfId="0" applyFont="1" applyFill="1" applyBorder="1"/>
    <xf numFmtId="0" fontId="66" fillId="75" borderId="226" xfId="0" applyFont="1" applyFill="1" applyBorder="1"/>
    <xf numFmtId="0" fontId="66" fillId="75" borderId="227" xfId="0" applyFont="1" applyFill="1" applyBorder="1"/>
    <xf numFmtId="0" fontId="65" fillId="77" borderId="228" xfId="0" applyFont="1" applyFill="1" applyBorder="1"/>
    <xf numFmtId="0" fontId="65" fillId="62" borderId="105" xfId="0" applyFont="1" applyFill="1" applyBorder="1"/>
    <xf numFmtId="0" fontId="55" fillId="77" borderId="229" xfId="0" applyFont="1" applyFill="1" applyBorder="1"/>
    <xf numFmtId="0" fontId="55" fillId="77" borderId="230" xfId="0" applyFont="1" applyFill="1" applyBorder="1"/>
    <xf numFmtId="0" fontId="55" fillId="78" borderId="114" xfId="0" applyFont="1" applyFill="1" applyBorder="1"/>
    <xf numFmtId="0" fontId="65" fillId="76" borderId="105" xfId="0" applyFont="1" applyFill="1" applyBorder="1" applyAlignment="1">
      <alignment horizontal="center" vertical="center" wrapText="1"/>
    </xf>
    <xf numFmtId="0" fontId="65" fillId="76" borderId="147" xfId="0" applyFont="1" applyFill="1" applyBorder="1" applyAlignment="1">
      <alignment horizontal="center" vertical="center" wrapText="1"/>
    </xf>
    <xf numFmtId="8" fontId="65" fillId="62" borderId="114" xfId="0" applyNumberFormat="1" applyFont="1" applyFill="1" applyBorder="1"/>
    <xf numFmtId="0" fontId="70" fillId="0" borderId="3" xfId="0" applyFont="1" applyBorder="1"/>
    <xf numFmtId="0" fontId="69" fillId="0" borderId="3" xfId="0" applyFont="1" applyBorder="1" applyAlignment="1">
      <alignment horizontal="center" wrapText="1"/>
    </xf>
    <xf numFmtId="0" fontId="71" fillId="0" borderId="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175" fontId="71" fillId="0" borderId="3" xfId="0" applyNumberFormat="1" applyFont="1" applyBorder="1" applyAlignment="1">
      <alignment horizontal="center" vertical="center"/>
    </xf>
    <xf numFmtId="0" fontId="71" fillId="0" borderId="3" xfId="0" applyFont="1" applyBorder="1" applyAlignment="1">
      <alignment vertical="center" wrapText="1"/>
    </xf>
    <xf numFmtId="0" fontId="69" fillId="0" borderId="6" xfId="0" applyFont="1" applyBorder="1" applyAlignment="1">
      <alignment vertical="center"/>
    </xf>
    <xf numFmtId="0" fontId="69" fillId="0" borderId="60" xfId="0" applyFont="1" applyBorder="1" applyAlignment="1">
      <alignment vertical="center"/>
    </xf>
    <xf numFmtId="175" fontId="69" fillId="0" borderId="3" xfId="0" applyNumberFormat="1" applyFont="1" applyBorder="1" applyAlignment="1">
      <alignment vertical="center"/>
    </xf>
    <xf numFmtId="175" fontId="70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69" fillId="0" borderId="0" xfId="0" applyFont="1" applyBorder="1" applyAlignment="1">
      <alignment horizontal="left" vertical="center"/>
    </xf>
    <xf numFmtId="175" fontId="69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15" fillId="9" borderId="0" xfId="0" applyFont="1" applyFill="1" applyBorder="1" applyAlignment="1">
      <alignment vertical="center"/>
    </xf>
    <xf numFmtId="165" fontId="16" fillId="9" borderId="0" xfId="0" applyNumberFormat="1" applyFont="1" applyFill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0" fontId="0" fillId="0" borderId="0" xfId="0" applyBorder="1"/>
    <xf numFmtId="165" fontId="16" fillId="16" borderId="13" xfId="0" applyNumberFormat="1" applyFont="1" applyFill="1" applyBorder="1" applyAlignment="1">
      <alignment vertical="center"/>
    </xf>
    <xf numFmtId="0" fontId="16" fillId="7" borderId="12" xfId="0" applyFont="1" applyFill="1" applyBorder="1" applyAlignment="1">
      <alignment vertical="center"/>
    </xf>
    <xf numFmtId="2" fontId="55" fillId="62" borderId="70" xfId="0" applyNumberFormat="1" applyFont="1" applyFill="1" applyBorder="1"/>
    <xf numFmtId="2" fontId="65" fillId="62" borderId="70" xfId="0" applyNumberFormat="1" applyFont="1" applyFill="1" applyBorder="1"/>
    <xf numFmtId="2" fontId="65" fillId="62" borderId="114" xfId="0" applyNumberFormat="1" applyFont="1" applyFill="1" applyBorder="1"/>
    <xf numFmtId="0" fontId="0" fillId="0" borderId="4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70" fillId="0" borderId="62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49" xfId="0" applyFont="1" applyBorder="1" applyAlignment="1">
      <alignment horizontal="left" vertical="center"/>
    </xf>
    <xf numFmtId="0" fontId="6" fillId="0" borderId="150" xfId="0" applyFont="1" applyBorder="1" applyAlignment="1">
      <alignment horizontal="left" vertical="center"/>
    </xf>
    <xf numFmtId="0" fontId="6" fillId="0" borderId="15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2" borderId="88" xfId="0" applyFont="1" applyFill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95" xfId="0" applyFont="1" applyBorder="1" applyAlignment="1">
      <alignment horizontal="left" vertical="center"/>
    </xf>
    <xf numFmtId="0" fontId="7" fillId="0" borderId="79" xfId="0" applyFont="1" applyBorder="1" applyAlignment="1">
      <alignment horizontal="left" vertical="center"/>
    </xf>
    <xf numFmtId="0" fontId="16" fillId="10" borderId="167" xfId="0" applyFont="1" applyFill="1" applyBorder="1" applyAlignment="1">
      <alignment horizontal="right" vertical="center"/>
    </xf>
    <xf numFmtId="0" fontId="16" fillId="10" borderId="39" xfId="0" applyFont="1" applyFill="1" applyBorder="1" applyAlignment="1">
      <alignment horizontal="right" vertical="center"/>
    </xf>
    <xf numFmtId="0" fontId="16" fillId="3" borderId="39" xfId="0" applyFont="1" applyFill="1" applyBorder="1" applyAlignment="1">
      <alignment horizontal="center" vertical="center"/>
    </xf>
    <xf numFmtId="0" fontId="16" fillId="3" borderId="5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10" borderId="163" xfId="0" applyFont="1" applyFill="1" applyBorder="1" applyAlignment="1">
      <alignment horizontal="center" vertical="center"/>
    </xf>
    <xf numFmtId="0" fontId="16" fillId="10" borderId="164" xfId="0" applyFont="1" applyFill="1" applyBorder="1" applyAlignment="1">
      <alignment horizontal="center" vertical="center"/>
    </xf>
    <xf numFmtId="0" fontId="16" fillId="14" borderId="80" xfId="0" applyFont="1" applyFill="1" applyBorder="1" applyAlignment="1">
      <alignment horizontal="center" vertical="center"/>
    </xf>
    <xf numFmtId="0" fontId="16" fillId="14" borderId="81" xfId="0" applyFont="1" applyFill="1" applyBorder="1" applyAlignment="1">
      <alignment horizontal="center" vertical="center"/>
    </xf>
    <xf numFmtId="0" fontId="16" fillId="14" borderId="82" xfId="0" applyFont="1" applyFill="1" applyBorder="1" applyAlignment="1">
      <alignment horizontal="center" vertical="center"/>
    </xf>
    <xf numFmtId="0" fontId="16" fillId="11" borderId="204" xfId="0" applyFont="1" applyFill="1" applyBorder="1" applyAlignment="1">
      <alignment horizontal="center" vertical="center"/>
    </xf>
    <xf numFmtId="0" fontId="16" fillId="11" borderId="205" xfId="0" applyFont="1" applyFill="1" applyBorder="1" applyAlignment="1">
      <alignment horizontal="center" vertical="center"/>
    </xf>
    <xf numFmtId="0" fontId="16" fillId="11" borderId="206" xfId="0" applyFont="1" applyFill="1" applyBorder="1" applyAlignment="1">
      <alignment horizontal="center" vertical="center"/>
    </xf>
    <xf numFmtId="0" fontId="16" fillId="13" borderId="167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36" xfId="0" applyFont="1" applyFill="1" applyBorder="1" applyAlignment="1">
      <alignment horizontal="center" vertical="center"/>
    </xf>
    <xf numFmtId="0" fontId="16" fillId="13" borderId="207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6" fillId="12" borderId="167" xfId="0" applyFont="1" applyFill="1" applyBorder="1" applyAlignment="1">
      <alignment horizontal="center" vertical="center"/>
    </xf>
    <xf numFmtId="0" fontId="16" fillId="12" borderId="56" xfId="0" applyFont="1" applyFill="1" applyBorder="1" applyAlignment="1">
      <alignment horizontal="center" vertical="center"/>
    </xf>
    <xf numFmtId="0" fontId="16" fillId="12" borderId="36" xfId="0" applyFont="1" applyFill="1" applyBorder="1" applyAlignment="1">
      <alignment horizontal="center" vertical="center"/>
    </xf>
    <xf numFmtId="0" fontId="16" fillId="12" borderId="208" xfId="0" applyFont="1" applyFill="1" applyBorder="1" applyAlignment="1">
      <alignment horizontal="center" vertical="center"/>
    </xf>
    <xf numFmtId="0" fontId="16" fillId="12" borderId="209" xfId="0" applyFont="1" applyFill="1" applyBorder="1" applyAlignment="1">
      <alignment horizontal="center" vertical="center"/>
    </xf>
    <xf numFmtId="0" fontId="16" fillId="12" borderId="210" xfId="0" applyFont="1" applyFill="1" applyBorder="1" applyAlignment="1">
      <alignment horizontal="center" vertical="center"/>
    </xf>
    <xf numFmtId="0" fontId="16" fillId="7" borderId="3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16" fillId="38" borderId="39" xfId="0" applyFont="1" applyFill="1" applyBorder="1" applyAlignment="1">
      <alignment horizontal="center" vertical="center"/>
    </xf>
    <xf numFmtId="0" fontId="16" fillId="38" borderId="56" xfId="0" applyFont="1" applyFill="1" applyBorder="1" applyAlignment="1">
      <alignment horizontal="center" vertical="center"/>
    </xf>
    <xf numFmtId="0" fontId="16" fillId="38" borderId="36" xfId="0" applyFont="1" applyFill="1" applyBorder="1" applyAlignment="1">
      <alignment horizontal="center" vertical="center"/>
    </xf>
    <xf numFmtId="0" fontId="16" fillId="10" borderId="135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/>
    </xf>
    <xf numFmtId="0" fontId="16" fillId="10" borderId="39" xfId="0" applyFont="1" applyFill="1" applyBorder="1" applyAlignment="1">
      <alignment horizontal="center" vertical="center"/>
    </xf>
    <xf numFmtId="171" fontId="15" fillId="0" borderId="37" xfId="0" applyNumberFormat="1" applyFont="1" applyBorder="1" applyAlignment="1">
      <alignment horizontal="center" vertical="center"/>
    </xf>
    <xf numFmtId="171" fontId="15" fillId="0" borderId="56" xfId="0" applyNumberFormat="1" applyFont="1" applyBorder="1" applyAlignment="1">
      <alignment horizontal="center" vertical="center"/>
    </xf>
    <xf numFmtId="171" fontId="15" fillId="0" borderId="36" xfId="0" applyNumberFormat="1" applyFont="1" applyBorder="1" applyAlignment="1">
      <alignment horizontal="center" vertical="center"/>
    </xf>
    <xf numFmtId="0" fontId="21" fillId="9" borderId="3" xfId="0" applyFont="1" applyFill="1" applyBorder="1" applyAlignment="1">
      <alignment horizontal="left" vertical="center" wrapText="1"/>
    </xf>
    <xf numFmtId="0" fontId="16" fillId="14" borderId="105" xfId="0" applyFont="1" applyFill="1" applyBorder="1" applyAlignment="1">
      <alignment horizontal="center" vertical="center"/>
    </xf>
    <xf numFmtId="0" fontId="16" fillId="14" borderId="153" xfId="0" applyFont="1" applyFill="1" applyBorder="1" applyAlignment="1">
      <alignment horizontal="center" vertical="center"/>
    </xf>
    <xf numFmtId="0" fontId="16" fillId="14" borderId="171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left" vertical="top"/>
    </xf>
    <xf numFmtId="0" fontId="16" fillId="16" borderId="12" xfId="0" applyFont="1" applyFill="1" applyBorder="1" applyAlignment="1">
      <alignment horizontal="center" vertical="center"/>
    </xf>
    <xf numFmtId="0" fontId="16" fillId="14" borderId="53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54" xfId="0" applyFont="1" applyFill="1" applyBorder="1" applyAlignment="1">
      <alignment horizontal="center" vertical="center" wrapText="1"/>
    </xf>
    <xf numFmtId="0" fontId="8" fillId="4" borderId="5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42" xfId="0" applyFont="1" applyFill="1" applyBorder="1" applyAlignment="1">
      <alignment horizontal="center" vertical="center" wrapText="1"/>
    </xf>
    <xf numFmtId="0" fontId="8" fillId="4" borderId="207" xfId="0" applyFont="1" applyFill="1" applyBorder="1" applyAlignment="1">
      <alignment horizontal="center" vertical="center" wrapText="1"/>
    </xf>
    <xf numFmtId="0" fontId="20" fillId="17" borderId="38" xfId="0" applyFont="1" applyFill="1" applyBorder="1" applyAlignment="1">
      <alignment horizontal="center" vertical="center" wrapText="1"/>
    </xf>
    <xf numFmtId="0" fontId="20" fillId="17" borderId="54" xfId="0" applyFont="1" applyFill="1" applyBorder="1" applyAlignment="1">
      <alignment horizontal="center" vertical="center" wrapText="1"/>
    </xf>
    <xf numFmtId="0" fontId="20" fillId="17" borderId="53" xfId="0" applyFont="1" applyFill="1" applyBorder="1" applyAlignment="1">
      <alignment horizontal="center" vertical="center" wrapText="1"/>
    </xf>
    <xf numFmtId="0" fontId="20" fillId="17" borderId="17" xfId="0" applyFont="1" applyFill="1" applyBorder="1" applyAlignment="1">
      <alignment horizontal="center" vertical="center" wrapText="1"/>
    </xf>
    <xf numFmtId="0" fontId="8" fillId="31" borderId="38" xfId="0" applyFont="1" applyFill="1" applyBorder="1" applyAlignment="1">
      <alignment horizontal="center" vertical="center" wrapText="1"/>
    </xf>
    <xf numFmtId="0" fontId="8" fillId="31" borderId="54" xfId="0" applyFont="1" applyFill="1" applyBorder="1" applyAlignment="1">
      <alignment horizontal="center" vertical="center" wrapText="1"/>
    </xf>
    <xf numFmtId="0" fontId="8" fillId="31" borderId="53" xfId="0" applyFont="1" applyFill="1" applyBorder="1" applyAlignment="1">
      <alignment horizontal="center" vertical="center" wrapText="1"/>
    </xf>
    <xf numFmtId="0" fontId="8" fillId="31" borderId="17" xfId="0" applyFont="1" applyFill="1" applyBorder="1" applyAlignment="1">
      <alignment horizontal="center" vertical="center" wrapText="1"/>
    </xf>
    <xf numFmtId="0" fontId="14" fillId="31" borderId="38" xfId="0" applyFont="1" applyFill="1" applyBorder="1" applyAlignment="1">
      <alignment horizontal="center" vertical="center" wrapText="1"/>
    </xf>
    <xf numFmtId="0" fontId="14" fillId="31" borderId="54" xfId="0" applyFont="1" applyFill="1" applyBorder="1" applyAlignment="1">
      <alignment horizontal="center" vertical="center" wrapText="1"/>
    </xf>
    <xf numFmtId="0" fontId="14" fillId="31" borderId="53" xfId="0" applyFont="1" applyFill="1" applyBorder="1" applyAlignment="1">
      <alignment horizontal="center" vertical="center" wrapText="1"/>
    </xf>
    <xf numFmtId="0" fontId="14" fillId="31" borderId="17" xfId="0" applyFont="1" applyFill="1" applyBorder="1" applyAlignment="1">
      <alignment horizontal="center" vertical="center" wrapText="1"/>
    </xf>
    <xf numFmtId="0" fontId="30" fillId="44" borderId="13" xfId="0" applyFont="1" applyFill="1" applyBorder="1" applyAlignment="1">
      <alignment horizontal="center" vertical="center" wrapText="1"/>
    </xf>
    <xf numFmtId="0" fontId="30" fillId="44" borderId="25" xfId="0" applyFont="1" applyFill="1" applyBorder="1" applyAlignment="1">
      <alignment horizontal="center" vertical="center" wrapText="1"/>
    </xf>
    <xf numFmtId="0" fontId="30" fillId="14" borderId="13" xfId="0" applyFont="1" applyFill="1" applyBorder="1" applyAlignment="1">
      <alignment horizontal="center" vertical="center" wrapText="1"/>
    </xf>
    <xf numFmtId="0" fontId="30" fillId="14" borderId="25" xfId="0" applyFont="1" applyFill="1" applyBorder="1" applyAlignment="1">
      <alignment horizontal="center" vertical="center" wrapText="1"/>
    </xf>
    <xf numFmtId="0" fontId="30" fillId="32" borderId="13" xfId="0" applyFont="1" applyFill="1" applyBorder="1" applyAlignment="1">
      <alignment horizontal="center" vertical="center" wrapText="1"/>
    </xf>
    <xf numFmtId="0" fontId="30" fillId="32" borderId="25" xfId="0" applyFont="1" applyFill="1" applyBorder="1" applyAlignment="1">
      <alignment horizontal="center" vertical="center" wrapText="1"/>
    </xf>
    <xf numFmtId="0" fontId="8" fillId="17" borderId="38" xfId="0" applyFont="1" applyFill="1" applyBorder="1" applyAlignment="1">
      <alignment horizontal="center" vertical="center" wrapText="1"/>
    </xf>
    <xf numFmtId="0" fontId="8" fillId="17" borderId="54" xfId="0" applyFont="1" applyFill="1" applyBorder="1" applyAlignment="1">
      <alignment horizontal="center" vertical="center" wrapText="1"/>
    </xf>
    <xf numFmtId="0" fontId="8" fillId="17" borderId="53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4" fontId="35" fillId="2" borderId="68" xfId="0" applyNumberFormat="1" applyFont="1" applyFill="1" applyBorder="1" applyAlignment="1">
      <alignment horizontal="center" vertical="center"/>
    </xf>
    <xf numFmtId="0" fontId="36" fillId="2" borderId="65" xfId="0" applyFont="1" applyFill="1" applyBorder="1" applyAlignment="1">
      <alignment horizontal="center" vertical="center"/>
    </xf>
    <xf numFmtId="0" fontId="34" fillId="29" borderId="105" xfId="0" applyFont="1" applyFill="1" applyBorder="1" applyAlignment="1">
      <alignment horizontal="center" vertical="center"/>
    </xf>
    <xf numFmtId="0" fontId="34" fillId="29" borderId="153" xfId="0" applyFont="1" applyFill="1" applyBorder="1" applyAlignment="1">
      <alignment horizontal="center" vertical="center"/>
    </xf>
    <xf numFmtId="0" fontId="34" fillId="29" borderId="10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0" fillId="27" borderId="56" xfId="0" applyFont="1" applyFill="1" applyBorder="1" applyAlignment="1">
      <alignment horizontal="center" vertical="center"/>
    </xf>
    <xf numFmtId="0" fontId="20" fillId="28" borderId="56" xfId="0" applyFont="1" applyFill="1" applyBorder="1" applyAlignment="1">
      <alignment horizontal="center" vertical="center"/>
    </xf>
    <xf numFmtId="0" fontId="20" fillId="29" borderId="56" xfId="0" applyFont="1" applyFill="1" applyBorder="1" applyAlignment="1">
      <alignment horizontal="center" vertical="center"/>
    </xf>
    <xf numFmtId="0" fontId="31" fillId="34" borderId="13" xfId="0" applyFont="1" applyFill="1" applyBorder="1" applyAlignment="1">
      <alignment horizontal="center" vertical="center" wrapText="1"/>
    </xf>
    <xf numFmtId="0" fontId="31" fillId="34" borderId="25" xfId="0" applyFont="1" applyFill="1" applyBorder="1" applyAlignment="1">
      <alignment horizontal="center" vertical="center" wrapText="1"/>
    </xf>
    <xf numFmtId="0" fontId="20" fillId="30" borderId="82" xfId="0" applyFont="1" applyFill="1" applyBorder="1" applyAlignment="1" applyProtection="1">
      <alignment horizontal="center" vertical="center"/>
      <protection locked="0"/>
    </xf>
    <xf numFmtId="0" fontId="20" fillId="30" borderId="84" xfId="0" applyFont="1" applyFill="1" applyBorder="1" applyAlignment="1" applyProtection="1">
      <alignment horizontal="center" vertical="center"/>
      <protection locked="0"/>
    </xf>
    <xf numFmtId="0" fontId="20" fillId="30" borderId="87" xfId="0" applyFont="1" applyFill="1" applyBorder="1" applyAlignment="1" applyProtection="1">
      <alignment horizontal="center" vertical="center"/>
      <protection locked="0"/>
    </xf>
    <xf numFmtId="0" fontId="20" fillId="30" borderId="81" xfId="0" applyFont="1" applyFill="1" applyBorder="1" applyAlignment="1" applyProtection="1">
      <alignment horizontal="center" vertical="center"/>
      <protection locked="0"/>
    </xf>
    <xf numFmtId="0" fontId="20" fillId="30" borderId="0" xfId="0" applyFont="1" applyFill="1" applyAlignment="1" applyProtection="1">
      <alignment horizontal="center" vertical="center"/>
      <protection locked="0"/>
    </xf>
    <xf numFmtId="0" fontId="20" fillId="30" borderId="86" xfId="0" applyFont="1" applyFill="1" applyBorder="1" applyAlignment="1" applyProtection="1">
      <alignment horizontal="center" vertical="center"/>
      <protection locked="0"/>
    </xf>
    <xf numFmtId="0" fontId="30" fillId="33" borderId="13" xfId="0" applyFont="1" applyFill="1" applyBorder="1" applyAlignment="1">
      <alignment horizontal="center" vertical="center" wrapText="1"/>
    </xf>
    <xf numFmtId="0" fontId="30" fillId="33" borderId="218" xfId="0" applyFont="1" applyFill="1" applyBorder="1" applyAlignment="1">
      <alignment horizontal="center" vertical="center" wrapText="1"/>
    </xf>
    <xf numFmtId="0" fontId="36" fillId="83" borderId="65" xfId="0" applyFont="1" applyFill="1" applyBorder="1" applyAlignment="1"/>
    <xf numFmtId="0" fontId="35" fillId="83" borderId="0" xfId="0" applyFont="1" applyFill="1" applyAlignment="1"/>
    <xf numFmtId="0" fontId="35" fillId="83" borderId="69" xfId="0" applyFont="1" applyFill="1" applyBorder="1" applyAlignment="1"/>
    <xf numFmtId="0" fontId="34" fillId="29" borderId="217" xfId="0" applyFont="1" applyFill="1" applyBorder="1" applyAlignment="1">
      <alignment horizontal="center" vertical="center"/>
    </xf>
    <xf numFmtId="0" fontId="34" fillId="29" borderId="93" xfId="0" applyFont="1" applyFill="1" applyBorder="1" applyAlignment="1">
      <alignment horizontal="center" vertical="center"/>
    </xf>
    <xf numFmtId="0" fontId="20" fillId="41" borderId="70" xfId="0" applyFont="1" applyFill="1" applyBorder="1" applyAlignment="1" applyProtection="1">
      <alignment horizontal="center" vertical="center"/>
      <protection locked="0"/>
    </xf>
    <xf numFmtId="0" fontId="8" fillId="4" borderId="70" xfId="0" applyFont="1" applyFill="1" applyBorder="1" applyAlignment="1">
      <alignment horizontal="center" vertical="center" wrapText="1"/>
    </xf>
    <xf numFmtId="0" fontId="20" fillId="41" borderId="73" xfId="0" applyFont="1" applyFill="1" applyBorder="1" applyAlignment="1" applyProtection="1">
      <alignment horizontal="center" vertical="center"/>
      <protection locked="0"/>
    </xf>
    <xf numFmtId="0" fontId="20" fillId="41" borderId="77" xfId="0" applyFont="1" applyFill="1" applyBorder="1" applyAlignment="1" applyProtection="1">
      <alignment horizontal="center" vertical="center"/>
      <protection locked="0"/>
    </xf>
    <xf numFmtId="0" fontId="20" fillId="0" borderId="73" xfId="0" applyFont="1" applyBorder="1" applyAlignment="1">
      <alignment horizontal="center" vertical="center"/>
    </xf>
    <xf numFmtId="0" fontId="32" fillId="42" borderId="70" xfId="0" applyFont="1" applyFill="1" applyBorder="1" applyAlignment="1">
      <alignment horizontal="center" vertical="center" wrapText="1"/>
    </xf>
    <xf numFmtId="0" fontId="32" fillId="33" borderId="70" xfId="0" applyFont="1" applyFill="1" applyBorder="1" applyAlignment="1">
      <alignment horizontal="center" vertical="center" wrapText="1"/>
    </xf>
    <xf numFmtId="0" fontId="20" fillId="27" borderId="73" xfId="0" applyFont="1" applyFill="1" applyBorder="1" applyAlignment="1">
      <alignment horizontal="center" vertical="center"/>
    </xf>
    <xf numFmtId="0" fontId="20" fillId="28" borderId="73" xfId="0" applyFont="1" applyFill="1" applyBorder="1" applyAlignment="1">
      <alignment horizontal="center" vertical="center"/>
    </xf>
    <xf numFmtId="0" fontId="20" fillId="29" borderId="73" xfId="0" applyFont="1" applyFill="1" applyBorder="1" applyAlignment="1">
      <alignment horizontal="center" vertical="center"/>
    </xf>
    <xf numFmtId="0" fontId="8" fillId="31" borderId="70" xfId="0" applyFont="1" applyFill="1" applyBorder="1" applyAlignment="1">
      <alignment horizontal="center" vertical="center" wrapText="1"/>
    </xf>
    <xf numFmtId="0" fontId="14" fillId="31" borderId="70" xfId="0" applyFont="1" applyFill="1" applyBorder="1" applyAlignment="1">
      <alignment horizontal="center" wrapText="1"/>
    </xf>
    <xf numFmtId="0" fontId="20" fillId="17" borderId="70" xfId="0" applyFont="1" applyFill="1" applyBorder="1" applyAlignment="1">
      <alignment horizontal="center" vertical="center" wrapText="1"/>
    </xf>
    <xf numFmtId="0" fontId="8" fillId="17" borderId="70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22" fillId="20" borderId="32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0" fontId="9" fillId="9" borderId="18" xfId="0" applyFont="1" applyFill="1" applyBorder="1" applyAlignment="1">
      <alignment horizontal="center" vertical="center"/>
    </xf>
    <xf numFmtId="0" fontId="22" fillId="24" borderId="44" xfId="0" applyFont="1" applyFill="1" applyBorder="1" applyAlignment="1">
      <alignment horizontal="center" vertical="center" wrapText="1"/>
    </xf>
    <xf numFmtId="0" fontId="22" fillId="25" borderId="41" xfId="0" applyFont="1" applyFill="1" applyBorder="1" applyAlignment="1">
      <alignment horizontal="left" vertical="center" wrapText="1"/>
    </xf>
    <xf numFmtId="0" fontId="22" fillId="9" borderId="44" xfId="0" applyFont="1" applyFill="1" applyBorder="1" applyAlignment="1">
      <alignment horizontal="left" vertical="center" wrapText="1"/>
    </xf>
    <xf numFmtId="0" fontId="22" fillId="9" borderId="23" xfId="0" applyFont="1" applyFill="1" applyBorder="1" applyAlignment="1">
      <alignment horizontal="left" vertical="center" wrapText="1"/>
    </xf>
    <xf numFmtId="0" fontId="22" fillId="9" borderId="26" xfId="0" applyFont="1" applyFill="1" applyBorder="1" applyAlignment="1">
      <alignment horizontal="left" vertical="center" wrapText="1"/>
    </xf>
    <xf numFmtId="0" fontId="20" fillId="4" borderId="73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70" xfId="0" applyFont="1" applyFill="1" applyBorder="1" applyAlignment="1">
      <alignment horizontal="center" vertical="center" wrapText="1"/>
    </xf>
    <xf numFmtId="0" fontId="20" fillId="4" borderId="71" xfId="0" applyFont="1" applyFill="1" applyBorder="1" applyAlignment="1">
      <alignment horizontal="center" vertical="center" wrapText="1"/>
    </xf>
    <xf numFmtId="0" fontId="20" fillId="4" borderId="72" xfId="0" applyFont="1" applyFill="1" applyBorder="1" applyAlignment="1">
      <alignment horizontal="center" vertical="center" wrapText="1"/>
    </xf>
    <xf numFmtId="0" fontId="20" fillId="4" borderId="116" xfId="0" applyFont="1" applyFill="1" applyBorder="1" applyAlignment="1">
      <alignment horizontal="center" vertical="center" wrapText="1"/>
    </xf>
    <xf numFmtId="0" fontId="20" fillId="4" borderId="117" xfId="0" applyFont="1" applyFill="1" applyBorder="1" applyAlignment="1">
      <alignment horizontal="center" vertical="center" wrapText="1"/>
    </xf>
    <xf numFmtId="0" fontId="20" fillId="31" borderId="70" xfId="0" applyFont="1" applyFill="1" applyBorder="1" applyAlignment="1">
      <alignment horizontal="center" vertical="center" wrapText="1"/>
    </xf>
    <xf numFmtId="0" fontId="20" fillId="17" borderId="71" xfId="0" applyFont="1" applyFill="1" applyBorder="1" applyAlignment="1">
      <alignment horizontal="center" vertical="center" wrapText="1"/>
    </xf>
    <xf numFmtId="0" fontId="20" fillId="17" borderId="72" xfId="0" applyFont="1" applyFill="1" applyBorder="1" applyAlignment="1">
      <alignment horizontal="center" vertical="center" wrapText="1"/>
    </xf>
    <xf numFmtId="0" fontId="20" fillId="31" borderId="71" xfId="0" applyFont="1" applyFill="1" applyBorder="1" applyAlignment="1">
      <alignment horizontal="center" vertical="center" wrapText="1"/>
    </xf>
    <xf numFmtId="0" fontId="20" fillId="31" borderId="72" xfId="0" applyFont="1" applyFill="1" applyBorder="1" applyAlignment="1">
      <alignment horizontal="center" vertical="center" wrapText="1"/>
    </xf>
    <xf numFmtId="0" fontId="9" fillId="0" borderId="10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2" fillId="20" borderId="130" xfId="0" applyFont="1" applyFill="1" applyBorder="1" applyAlignment="1">
      <alignment horizontal="left" vertical="center" wrapText="1"/>
    </xf>
    <xf numFmtId="0" fontId="22" fillId="20" borderId="124" xfId="0" applyFont="1" applyFill="1" applyBorder="1" applyAlignment="1">
      <alignment horizontal="left" vertical="center" wrapText="1"/>
    </xf>
    <xf numFmtId="0" fontId="23" fillId="0" borderId="118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3" fillId="0" borderId="120" xfId="0" applyFont="1" applyBorder="1" applyAlignment="1">
      <alignment horizontal="center" vertical="center"/>
    </xf>
    <xf numFmtId="0" fontId="23" fillId="9" borderId="121" xfId="0" applyFont="1" applyFill="1" applyBorder="1" applyAlignment="1">
      <alignment horizontal="center" vertical="center"/>
    </xf>
    <xf numFmtId="0" fontId="23" fillId="9" borderId="122" xfId="0" applyFont="1" applyFill="1" applyBorder="1" applyAlignment="1">
      <alignment horizontal="center" vertical="center"/>
    </xf>
    <xf numFmtId="0" fontId="9" fillId="9" borderId="126" xfId="0" applyFont="1" applyFill="1" applyBorder="1" applyAlignment="1">
      <alignment horizontal="center" vertical="center"/>
    </xf>
    <xf numFmtId="0" fontId="9" fillId="9" borderId="127" xfId="0" applyFont="1" applyFill="1" applyBorder="1" applyAlignment="1">
      <alignment horizontal="center" vertical="center"/>
    </xf>
    <xf numFmtId="0" fontId="9" fillId="9" borderId="90" xfId="0" applyFont="1" applyFill="1" applyBorder="1" applyAlignment="1">
      <alignment horizontal="center" vertical="center"/>
    </xf>
    <xf numFmtId="0" fontId="22" fillId="9" borderId="90" xfId="0" applyFont="1" applyFill="1" applyBorder="1" applyAlignment="1">
      <alignment horizontal="left" vertical="center" wrapText="1"/>
    </xf>
    <xf numFmtId="0" fontId="20" fillId="7" borderId="135" xfId="0" applyFont="1" applyFill="1" applyBorder="1" applyAlignment="1">
      <alignment horizontal="center" vertical="center"/>
    </xf>
    <xf numFmtId="0" fontId="9" fillId="9" borderId="139" xfId="0" applyFont="1" applyFill="1" applyBorder="1" applyAlignment="1">
      <alignment horizontal="center" vertical="center"/>
    </xf>
    <xf numFmtId="0" fontId="9" fillId="9" borderId="140" xfId="0" applyFont="1" applyFill="1" applyBorder="1" applyAlignment="1">
      <alignment horizontal="center" vertical="center"/>
    </xf>
    <xf numFmtId="0" fontId="9" fillId="9" borderId="121" xfId="0" applyFont="1" applyFill="1" applyBorder="1" applyAlignment="1">
      <alignment horizontal="center" vertical="center"/>
    </xf>
    <xf numFmtId="0" fontId="9" fillId="9" borderId="122" xfId="0" applyFont="1" applyFill="1" applyBorder="1" applyAlignment="1">
      <alignment horizontal="center" vertical="center"/>
    </xf>
    <xf numFmtId="0" fontId="22" fillId="24" borderId="128" xfId="0" applyFont="1" applyFill="1" applyBorder="1" applyAlignment="1">
      <alignment horizontal="center" vertical="center" wrapText="1"/>
    </xf>
    <xf numFmtId="0" fontId="22" fillId="25" borderId="138" xfId="0" applyFont="1" applyFill="1" applyBorder="1" applyAlignment="1">
      <alignment horizontal="left" vertical="center" wrapText="1"/>
    </xf>
    <xf numFmtId="0" fontId="22" fillId="9" borderId="128" xfId="0" applyFont="1" applyFill="1" applyBorder="1" applyAlignment="1">
      <alignment horizontal="left" vertical="center" wrapText="1"/>
    </xf>
    <xf numFmtId="0" fontId="22" fillId="9" borderId="141" xfId="0" applyFont="1" applyFill="1" applyBorder="1" applyAlignment="1">
      <alignment horizontal="left" vertical="center" wrapText="1"/>
    </xf>
    <xf numFmtId="0" fontId="22" fillId="9" borderId="90" xfId="0" applyFont="1" applyFill="1" applyBorder="1" applyAlignment="1">
      <alignment horizontal="center" vertical="center" wrapText="1"/>
    </xf>
    <xf numFmtId="0" fontId="59" fillId="49" borderId="81" xfId="0" applyFont="1" applyFill="1" applyBorder="1" applyAlignment="1">
      <alignment horizontal="center" vertical="center" wrapText="1"/>
    </xf>
    <xf numFmtId="0" fontId="8" fillId="59" borderId="80" xfId="0" applyFont="1" applyFill="1" applyBorder="1" applyAlignment="1">
      <alignment horizontal="center" vertical="center" wrapText="1"/>
    </xf>
    <xf numFmtId="0" fontId="8" fillId="59" borderId="83" xfId="0" applyFont="1" applyFill="1" applyBorder="1" applyAlignment="1">
      <alignment horizontal="center" vertical="center" wrapText="1"/>
    </xf>
    <xf numFmtId="0" fontId="8" fillId="59" borderId="179" xfId="0" applyFont="1" applyFill="1" applyBorder="1" applyAlignment="1">
      <alignment horizontal="center" vertical="center" wrapText="1"/>
    </xf>
    <xf numFmtId="0" fontId="8" fillId="59" borderId="103" xfId="0" applyFont="1" applyFill="1" applyBorder="1" applyAlignment="1">
      <alignment horizontal="center" vertical="center" wrapText="1"/>
    </xf>
    <xf numFmtId="0" fontId="8" fillId="59" borderId="81" xfId="0" applyFont="1" applyFill="1" applyBorder="1" applyAlignment="1">
      <alignment horizontal="center" vertical="center" wrapText="1"/>
    </xf>
    <xf numFmtId="0" fontId="8" fillId="59" borderId="0" xfId="0" applyFont="1" applyFill="1" applyAlignment="1">
      <alignment horizontal="center" vertical="center" wrapText="1"/>
    </xf>
    <xf numFmtId="0" fontId="20" fillId="60" borderId="80" xfId="0" applyFont="1" applyFill="1" applyBorder="1" applyAlignment="1">
      <alignment horizontal="center" vertical="center" wrapText="1"/>
    </xf>
    <xf numFmtId="0" fontId="20" fillId="60" borderId="83" xfId="0" applyFont="1" applyFill="1" applyBorder="1" applyAlignment="1">
      <alignment horizontal="center" vertical="center" wrapText="1"/>
    </xf>
    <xf numFmtId="0" fontId="8" fillId="71" borderId="177" xfId="0" applyFont="1" applyFill="1" applyBorder="1" applyAlignment="1">
      <alignment horizontal="center" vertical="center"/>
    </xf>
    <xf numFmtId="0" fontId="8" fillId="71" borderId="178" xfId="0" applyFont="1" applyFill="1" applyBorder="1" applyAlignment="1">
      <alignment horizontal="center" vertical="center"/>
    </xf>
    <xf numFmtId="0" fontId="20" fillId="60" borderId="179" xfId="0" applyFont="1" applyFill="1" applyBorder="1" applyAlignment="1">
      <alignment horizontal="center" vertical="center" wrapText="1"/>
    </xf>
    <xf numFmtId="0" fontId="20" fillId="60" borderId="103" xfId="0" applyFont="1" applyFill="1" applyBorder="1" applyAlignment="1">
      <alignment horizontal="center" vertical="center" wrapText="1"/>
    </xf>
    <xf numFmtId="0" fontId="59" fillId="73" borderId="80" xfId="0" applyFont="1" applyFill="1" applyBorder="1" applyAlignment="1">
      <alignment horizontal="center" vertical="center" wrapText="1"/>
    </xf>
    <xf numFmtId="0" fontId="59" fillId="73" borderId="82" xfId="0" applyFont="1" applyFill="1" applyBorder="1" applyAlignment="1">
      <alignment horizontal="center" vertical="center" wrapText="1"/>
    </xf>
    <xf numFmtId="0" fontId="20" fillId="41" borderId="80" xfId="0" applyFont="1" applyFill="1" applyBorder="1" applyAlignment="1" applyProtection="1">
      <alignment horizontal="center" vertical="center"/>
      <protection locked="0"/>
    </xf>
    <xf numFmtId="0" fontId="20" fillId="41" borderId="83" xfId="0" applyFont="1" applyFill="1" applyBorder="1" applyAlignment="1" applyProtection="1">
      <alignment horizontal="center" vertical="center"/>
      <protection locked="0"/>
    </xf>
    <xf numFmtId="0" fontId="8" fillId="58" borderId="80" xfId="0" applyFont="1" applyFill="1" applyBorder="1" applyAlignment="1">
      <alignment horizontal="center" vertical="center" wrapText="1"/>
    </xf>
    <xf numFmtId="0" fontId="8" fillId="58" borderId="83" xfId="0" applyFont="1" applyFill="1" applyBorder="1" applyAlignment="1">
      <alignment horizontal="center" vertical="center" wrapText="1"/>
    </xf>
    <xf numFmtId="0" fontId="8" fillId="58" borderId="179" xfId="0" applyFont="1" applyFill="1" applyBorder="1" applyAlignment="1">
      <alignment horizontal="center" vertical="center" wrapText="1"/>
    </xf>
    <xf numFmtId="0" fontId="8" fillId="58" borderId="103" xfId="0" applyFont="1" applyFill="1" applyBorder="1" applyAlignment="1">
      <alignment horizontal="center" vertical="center" wrapText="1"/>
    </xf>
    <xf numFmtId="0" fontId="8" fillId="58" borderId="82" xfId="0" applyFont="1" applyFill="1" applyBorder="1" applyAlignment="1">
      <alignment horizontal="center" vertical="center" wrapText="1"/>
    </xf>
    <xf numFmtId="0" fontId="8" fillId="58" borderId="84" xfId="0" applyFont="1" applyFill="1" applyBorder="1" applyAlignment="1">
      <alignment horizontal="center" vertical="center" wrapText="1"/>
    </xf>
    <xf numFmtId="0" fontId="8" fillId="58" borderId="81" xfId="0" applyFont="1" applyFill="1" applyBorder="1" applyAlignment="1">
      <alignment horizontal="center" vertical="center" wrapText="1"/>
    </xf>
    <xf numFmtId="0" fontId="8" fillId="58" borderId="0" xfId="0" applyFont="1" applyFill="1" applyAlignment="1">
      <alignment horizontal="center" vertical="center" wrapText="1"/>
    </xf>
    <xf numFmtId="0" fontId="8" fillId="72" borderId="178" xfId="0" applyFont="1" applyFill="1" applyBorder="1" applyAlignment="1">
      <alignment horizontal="center" vertical="center"/>
    </xf>
    <xf numFmtId="0" fontId="8" fillId="55" borderId="81" xfId="0" applyFont="1" applyFill="1" applyBorder="1" applyAlignment="1">
      <alignment horizontal="center" vertical="center"/>
    </xf>
    <xf numFmtId="0" fontId="8" fillId="55" borderId="82" xfId="0" applyFont="1" applyFill="1" applyBorder="1" applyAlignment="1">
      <alignment horizontal="center" vertical="center"/>
    </xf>
    <xf numFmtId="0" fontId="8" fillId="60" borderId="82" xfId="0" applyFont="1" applyFill="1" applyBorder="1" applyAlignment="1">
      <alignment horizontal="center" vertical="center" wrapText="1"/>
    </xf>
    <xf numFmtId="0" fontId="8" fillId="60" borderId="84" xfId="0" applyFont="1" applyFill="1" applyBorder="1" applyAlignment="1">
      <alignment horizontal="center" vertical="center" wrapText="1"/>
    </xf>
    <xf numFmtId="0" fontId="59" fillId="73" borderId="81" xfId="0" applyFont="1" applyFill="1" applyBorder="1" applyAlignment="1">
      <alignment horizontal="center" vertical="center" wrapText="1"/>
    </xf>
    <xf numFmtId="0" fontId="59" fillId="73" borderId="0" xfId="0" applyFont="1" applyFill="1" applyAlignment="1">
      <alignment horizontal="center" vertical="center" wrapText="1"/>
    </xf>
    <xf numFmtId="0" fontId="20" fillId="41" borderId="179" xfId="0" applyFont="1" applyFill="1" applyBorder="1" applyAlignment="1" applyProtection="1">
      <alignment horizontal="center" vertical="center"/>
      <protection locked="0"/>
    </xf>
    <xf numFmtId="0" fontId="20" fillId="41" borderId="103" xfId="0" applyFont="1" applyFill="1" applyBorder="1" applyAlignment="1" applyProtection="1">
      <alignment horizontal="center" vertical="center"/>
      <protection locked="0"/>
    </xf>
    <xf numFmtId="0" fontId="60" fillId="9" borderId="90" xfId="0" applyFont="1" applyFill="1" applyBorder="1" applyAlignment="1">
      <alignment horizontal="left" vertical="center" wrapText="1"/>
    </xf>
    <xf numFmtId="0" fontId="60" fillId="9" borderId="23" xfId="0" applyFont="1" applyFill="1" applyBorder="1" applyAlignment="1">
      <alignment horizontal="left" vertical="center" wrapText="1"/>
    </xf>
    <xf numFmtId="0" fontId="8" fillId="59" borderId="86" xfId="0" applyFont="1" applyFill="1" applyBorder="1" applyAlignment="1">
      <alignment horizontal="center" vertical="center" wrapText="1"/>
    </xf>
    <xf numFmtId="0" fontId="20" fillId="60" borderId="146" xfId="0" applyFont="1" applyFill="1" applyBorder="1" applyAlignment="1">
      <alignment horizontal="center" vertical="center" wrapText="1"/>
    </xf>
    <xf numFmtId="0" fontId="8" fillId="60" borderId="81" xfId="0" applyFont="1" applyFill="1" applyBorder="1" applyAlignment="1">
      <alignment horizontal="center" vertical="center" wrapText="1"/>
    </xf>
    <xf numFmtId="0" fontId="8" fillId="60" borderId="86" xfId="0" applyFont="1" applyFill="1" applyBorder="1" applyAlignment="1">
      <alignment horizontal="center" vertical="center" wrapText="1"/>
    </xf>
    <xf numFmtId="0" fontId="59" fillId="73" borderId="179" xfId="0" applyFont="1" applyFill="1" applyBorder="1" applyAlignment="1">
      <alignment horizontal="center" vertical="center" wrapText="1"/>
    </xf>
    <xf numFmtId="0" fontId="59" fillId="73" borderId="146" xfId="0" applyFont="1" applyFill="1" applyBorder="1" applyAlignment="1">
      <alignment horizontal="center" vertical="center" wrapText="1"/>
    </xf>
    <xf numFmtId="0" fontId="20" fillId="41" borderId="85" xfId="0" applyFont="1" applyFill="1" applyBorder="1" applyAlignment="1" applyProtection="1">
      <alignment horizontal="center" vertical="center"/>
      <protection locked="0"/>
    </xf>
    <xf numFmtId="0" fontId="8" fillId="58" borderId="85" xfId="0" applyFont="1" applyFill="1" applyBorder="1" applyAlignment="1">
      <alignment horizontal="center" vertical="center" wrapText="1"/>
    </xf>
    <xf numFmtId="0" fontId="8" fillId="58" borderId="146" xfId="0" applyFont="1" applyFill="1" applyBorder="1" applyAlignment="1">
      <alignment horizontal="center" vertical="center" wrapText="1"/>
    </xf>
    <xf numFmtId="0" fontId="8" fillId="58" borderId="87" xfId="0" applyFont="1" applyFill="1" applyBorder="1" applyAlignment="1">
      <alignment horizontal="center" vertical="center" wrapText="1"/>
    </xf>
    <xf numFmtId="0" fontId="8" fillId="58" borderId="86" xfId="0" applyFont="1" applyFill="1" applyBorder="1" applyAlignment="1">
      <alignment horizontal="center" vertical="center" wrapText="1"/>
    </xf>
    <xf numFmtId="0" fontId="8" fillId="59" borderId="85" xfId="0" applyFont="1" applyFill="1" applyBorder="1" applyAlignment="1">
      <alignment horizontal="center" vertical="center" wrapText="1"/>
    </xf>
    <xf numFmtId="0" fontId="8" fillId="59" borderId="146" xfId="0" applyFont="1" applyFill="1" applyBorder="1" applyAlignment="1">
      <alignment horizontal="center" vertical="center" wrapText="1"/>
    </xf>
    <xf numFmtId="0" fontId="20" fillId="41" borderId="146" xfId="0" applyFont="1" applyFill="1" applyBorder="1" applyAlignment="1" applyProtection="1">
      <alignment horizontal="center" vertical="center"/>
      <protection locked="0"/>
    </xf>
    <xf numFmtId="0" fontId="65" fillId="77" borderId="213" xfId="0" applyFont="1" applyFill="1" applyBorder="1" applyAlignment="1"/>
    <xf numFmtId="0" fontId="65" fillId="77" borderId="94" xfId="0" applyFont="1" applyFill="1" applyBorder="1" applyAlignment="1"/>
    <xf numFmtId="0" fontId="65" fillId="77" borderId="220" xfId="0" applyFont="1" applyFill="1" applyBorder="1" applyAlignment="1"/>
    <xf numFmtId="0" fontId="55" fillId="62" borderId="240" xfId="0" applyFont="1" applyFill="1" applyBorder="1" applyAlignment="1"/>
    <xf numFmtId="0" fontId="55" fillId="62" borderId="241" xfId="0" applyFont="1" applyFill="1" applyBorder="1" applyAlignment="1"/>
    <xf numFmtId="0" fontId="22" fillId="20" borderId="236" xfId="0" applyFont="1" applyFill="1" applyBorder="1" applyAlignment="1">
      <alignment horizontal="left" vertical="center" wrapText="1"/>
    </xf>
    <xf numFmtId="0" fontId="22" fillId="20" borderId="238" xfId="0" applyFont="1" applyFill="1" applyBorder="1" applyAlignment="1">
      <alignment horizontal="left" vertical="center" wrapText="1"/>
    </xf>
    <xf numFmtId="0" fontId="22" fillId="20" borderId="239" xfId="0" applyFont="1" applyFill="1" applyBorder="1" applyAlignment="1">
      <alignment horizontal="left" vertical="center" wrapText="1"/>
    </xf>
    <xf numFmtId="0" fontId="55" fillId="62" borderId="236" xfId="0" applyFont="1" applyFill="1" applyBorder="1" applyAlignment="1"/>
    <xf numFmtId="0" fontId="55" fillId="62" borderId="237" xfId="0" applyFont="1" applyFill="1" applyBorder="1" applyAlignment="1"/>
    <xf numFmtId="0" fontId="20" fillId="7" borderId="139" xfId="0" applyFont="1" applyFill="1" applyBorder="1" applyAlignment="1">
      <alignment horizontal="center" vertical="center"/>
    </xf>
    <xf numFmtId="0" fontId="20" fillId="7" borderId="121" xfId="0" applyFont="1" applyFill="1" applyBorder="1" applyAlignment="1">
      <alignment horizontal="center" vertical="center"/>
    </xf>
    <xf numFmtId="0" fontId="20" fillId="7" borderId="126" xfId="0" applyFont="1" applyFill="1" applyBorder="1" applyAlignment="1">
      <alignment horizontal="center" vertical="center"/>
    </xf>
    <xf numFmtId="0" fontId="9" fillId="9" borderId="142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143" xfId="0" applyFont="1" applyFill="1" applyBorder="1" applyAlignment="1">
      <alignment horizontal="center" vertical="center"/>
    </xf>
    <xf numFmtId="0" fontId="9" fillId="9" borderId="207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235" xfId="0" applyFont="1" applyFill="1" applyBorder="1" applyAlignment="1">
      <alignment horizontal="center" vertical="center"/>
    </xf>
    <xf numFmtId="0" fontId="22" fillId="24" borderId="232" xfId="0" applyFont="1" applyFill="1" applyBorder="1" applyAlignment="1">
      <alignment horizontal="center" vertical="center" wrapText="1"/>
    </xf>
    <xf numFmtId="0" fontId="22" fillId="24" borderId="233" xfId="0" applyFont="1" applyFill="1" applyBorder="1" applyAlignment="1">
      <alignment horizontal="center" vertical="center" wrapText="1"/>
    </xf>
    <xf numFmtId="0" fontId="22" fillId="25" borderId="234" xfId="0" applyFont="1" applyFill="1" applyBorder="1" applyAlignment="1">
      <alignment horizontal="left" vertical="center" wrapText="1"/>
    </xf>
    <xf numFmtId="0" fontId="22" fillId="25" borderId="202" xfId="0" applyFont="1" applyFill="1" applyBorder="1" applyAlignment="1">
      <alignment horizontal="left" vertical="center" wrapText="1"/>
    </xf>
    <xf numFmtId="0" fontId="22" fillId="9" borderId="232" xfId="0" applyFont="1" applyFill="1" applyBorder="1" applyAlignment="1">
      <alignment horizontal="left" vertical="center" wrapText="1"/>
    </xf>
    <xf numFmtId="0" fontId="22" fillId="9" borderId="233" xfId="0" applyFont="1" applyFill="1" applyBorder="1" applyAlignment="1">
      <alignment horizontal="left" vertical="center" wrapText="1"/>
    </xf>
    <xf numFmtId="0" fontId="22" fillId="9" borderId="180" xfId="0" applyFont="1" applyFill="1" applyBorder="1" applyAlignment="1">
      <alignment horizontal="left" vertical="center" wrapText="1"/>
    </xf>
    <xf numFmtId="0" fontId="22" fillId="9" borderId="5" xfId="0" applyFont="1" applyFill="1" applyBorder="1" applyAlignment="1">
      <alignment horizontal="left" vertical="center" wrapText="1"/>
    </xf>
    <xf numFmtId="0" fontId="64" fillId="0" borderId="80" xfId="0" applyFont="1" applyBorder="1" applyAlignment="1">
      <alignment horizontal="center"/>
    </xf>
    <xf numFmtId="0" fontId="64" fillId="0" borderId="81" xfId="0" applyFont="1" applyBorder="1" applyAlignment="1">
      <alignment horizontal="center"/>
    </xf>
    <xf numFmtId="0" fontId="64" fillId="0" borderId="82" xfId="0" applyFont="1" applyBorder="1" applyAlignment="1">
      <alignment horizontal="center"/>
    </xf>
    <xf numFmtId="0" fontId="64" fillId="62" borderId="83" xfId="0" applyFont="1" applyFill="1" applyBorder="1" applyAlignment="1">
      <alignment horizontal="center"/>
    </xf>
    <xf numFmtId="0" fontId="64" fillId="62" borderId="0" xfId="0" applyFont="1" applyFill="1" applyAlignment="1">
      <alignment horizontal="center"/>
    </xf>
    <xf numFmtId="0" fontId="64" fillId="62" borderId="84" xfId="0" applyFont="1" applyFill="1" applyBorder="1" applyAlignment="1">
      <alignment horizontal="center"/>
    </xf>
    <xf numFmtId="0" fontId="55" fillId="62" borderId="85" xfId="0" applyFont="1" applyFill="1" applyBorder="1" applyAlignment="1"/>
    <xf numFmtId="0" fontId="55" fillId="62" borderId="86" xfId="0" applyFont="1" applyFill="1" applyBorder="1" applyAlignment="1"/>
    <xf numFmtId="0" fontId="55" fillId="62" borderId="87" xfId="0" applyFont="1" applyFill="1" applyBorder="1" applyAlignment="1"/>
    <xf numFmtId="0" fontId="55" fillId="62" borderId="213" xfId="0" applyFont="1" applyFill="1" applyBorder="1" applyAlignment="1"/>
    <xf numFmtId="0" fontId="55" fillId="62" borderId="72" xfId="0" applyFont="1" applyFill="1" applyBorder="1" applyAlignment="1"/>
    <xf numFmtId="0" fontId="22" fillId="9" borderId="180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181" xfId="0" applyFont="1" applyFill="1" applyBorder="1" applyAlignment="1">
      <alignment horizontal="left" vertical="center" wrapText="1"/>
    </xf>
    <xf numFmtId="0" fontId="22" fillId="9" borderId="231" xfId="0" applyFont="1" applyFill="1" applyBorder="1" applyAlignment="1">
      <alignment horizontal="left" vertical="center" wrapText="1"/>
    </xf>
  </cellXfs>
  <cellStyles count="5">
    <cellStyle name="Hyperlink" xfId="4"/>
    <cellStyle name="Normal" xfId="0" builtinId="0"/>
    <cellStyle name="Porcentagem" xfId="2" builtinId="5"/>
    <cellStyle name="TableStyleLight1" xfId="3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DDDDDD"/>
      <rgbColor rgb="FFFFFF00"/>
      <rgbColor rgb="FFF4B183"/>
      <rgbColor rgb="FFA9D18E"/>
      <rgbColor rgb="FFD9D9D9"/>
      <rgbColor rgb="FF5EB91E"/>
      <rgbColor rgb="FFFFE699"/>
      <rgbColor rgb="FF70AD47"/>
      <rgbColor rgb="FFCCCCCC"/>
      <rgbColor rgb="FF8FAADC"/>
      <rgbColor rgb="FFC0C0C0"/>
      <rgbColor rgb="FF808080"/>
      <rgbColor rgb="FF8EA9DB"/>
      <rgbColor rgb="FFA1467E"/>
      <rgbColor rgb="FFFFFFCC"/>
      <rgbColor rgb="FFDEEBF7"/>
      <rgbColor rgb="FFFFCCCC"/>
      <rgbColor rgb="FFBF819E"/>
      <rgbColor rgb="FFB4C6E7"/>
      <rgbColor rgb="FFCCCCFF"/>
      <rgbColor rgb="FFFFF2CC"/>
      <rgbColor rgb="FFC1C1C1"/>
      <rgbColor rgb="FFFFD966"/>
      <rgbColor rgb="FFA9D08E"/>
      <rgbColor rgb="FFD0CECE"/>
      <rgbColor rgb="FFDBDBDB"/>
      <rgbColor rgb="FFADB9CA"/>
      <rgbColor rgb="FFFCE4D6"/>
      <rgbColor rgb="FF00CCFF"/>
      <rgbColor rgb="FFD9E1F2"/>
      <rgbColor rgb="FFC6E0B4"/>
      <rgbColor rgb="FFFFFF99"/>
      <rgbColor rgb="FF9BC2E6"/>
      <rgbColor rgb="FFFF9999"/>
      <rgbColor rgb="FFCC99FF"/>
      <rgbColor rgb="FFF8CBAD"/>
      <rgbColor rgb="FF729FCF"/>
      <rgbColor rgb="FF5B9BD5"/>
      <rgbColor rgb="FFBBE33D"/>
      <rgbColor rgb="FFFFCC00"/>
      <rgbColor rgb="FFFFC000"/>
      <rgbColor rgb="FFFD6802"/>
      <rgbColor rgb="FF5983B0"/>
      <rgbColor rgb="FF8497B0"/>
      <rgbColor rgb="FFB4C7DC"/>
      <rgbColor rgb="FF49873A"/>
      <rgbColor rgb="FFD6DCE4"/>
      <rgbColor rgb="FF3D4C2F"/>
      <rgbColor rgb="FF824802"/>
      <rgbColor rgb="FFA6A6A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7070"/>
      <color rgb="FFF7C8DA"/>
      <color rgb="FFFAC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88" zoomScaleNormal="88" workbookViewId="0">
      <selection sqref="A1:H1"/>
    </sheetView>
  </sheetViews>
  <sheetFormatPr defaultRowHeight="14.25" x14ac:dyDescent="0.2"/>
  <cols>
    <col min="2" max="2" width="15.125" customWidth="1"/>
    <col min="4" max="4" width="75.625" customWidth="1"/>
    <col min="5" max="5" width="12.375" customWidth="1"/>
    <col min="6" max="6" width="11.25" customWidth="1"/>
    <col min="7" max="7" width="13" bestFit="1" customWidth="1"/>
    <col min="8" max="8" width="18.875" customWidth="1"/>
    <col min="9" max="9" width="11.625" bestFit="1" customWidth="1"/>
  </cols>
  <sheetData>
    <row r="1" spans="1:9" ht="15" x14ac:dyDescent="0.2">
      <c r="A1" s="899" t="s">
        <v>665</v>
      </c>
      <c r="B1" s="899"/>
      <c r="C1" s="899"/>
      <c r="D1" s="899"/>
      <c r="E1" s="899"/>
      <c r="F1" s="899"/>
      <c r="G1" s="899"/>
      <c r="H1" s="899"/>
    </row>
    <row r="2" spans="1:9" ht="15" x14ac:dyDescent="0.2">
      <c r="A2" s="899" t="s">
        <v>631</v>
      </c>
      <c r="B2" s="899"/>
      <c r="C2" s="899"/>
      <c r="D2" s="899"/>
      <c r="E2" s="899"/>
      <c r="F2" s="899"/>
      <c r="G2" s="899"/>
      <c r="H2" s="899"/>
    </row>
    <row r="3" spans="1:9" ht="15" x14ac:dyDescent="0.2">
      <c r="A3" s="899" t="s">
        <v>632</v>
      </c>
      <c r="B3" s="899"/>
      <c r="C3" s="899"/>
      <c r="D3" s="899"/>
      <c r="E3" s="899"/>
      <c r="F3" s="899"/>
      <c r="G3" s="899"/>
      <c r="H3" s="899"/>
    </row>
    <row r="4" spans="1:9" ht="15" x14ac:dyDescent="0.2">
      <c r="A4" s="900" t="s">
        <v>633</v>
      </c>
      <c r="B4" s="900"/>
      <c r="C4" s="900"/>
      <c r="D4" s="900"/>
      <c r="E4" s="900"/>
      <c r="F4" s="900"/>
      <c r="G4" s="900"/>
      <c r="H4" s="900"/>
    </row>
    <row r="5" spans="1:9" ht="44.85" customHeight="1" x14ac:dyDescent="0.2">
      <c r="A5" s="901" t="s">
        <v>634</v>
      </c>
      <c r="B5" s="902"/>
      <c r="C5" s="902"/>
      <c r="D5" s="902"/>
      <c r="E5" s="902"/>
      <c r="F5" s="902"/>
      <c r="G5" s="902"/>
      <c r="H5" s="903"/>
    </row>
    <row r="7" spans="1:9" ht="30" x14ac:dyDescent="0.25">
      <c r="A7" s="874" t="s">
        <v>635</v>
      </c>
      <c r="B7" s="875" t="s">
        <v>636</v>
      </c>
      <c r="C7" s="875" t="s">
        <v>637</v>
      </c>
      <c r="D7" s="875" t="s">
        <v>638</v>
      </c>
      <c r="E7" s="875" t="s">
        <v>639</v>
      </c>
      <c r="F7" s="875" t="s">
        <v>640</v>
      </c>
      <c r="G7" s="875" t="s">
        <v>641</v>
      </c>
      <c r="H7" s="875" t="s">
        <v>642</v>
      </c>
    </row>
    <row r="8" spans="1:9" ht="73.5" customHeight="1" x14ac:dyDescent="0.2">
      <c r="A8" s="904">
        <v>3</v>
      </c>
      <c r="B8" s="876">
        <v>11</v>
      </c>
      <c r="C8" s="877">
        <v>24023</v>
      </c>
      <c r="D8" s="878" t="s">
        <v>643</v>
      </c>
      <c r="E8" s="876" t="s">
        <v>644</v>
      </c>
      <c r="F8" s="876" t="s">
        <v>645</v>
      </c>
      <c r="G8" s="879">
        <f>'Resumo Proposta'!Y50</f>
        <v>0</v>
      </c>
      <c r="H8" s="879">
        <f>G8*12</f>
        <v>0</v>
      </c>
    </row>
    <row r="9" spans="1:9" ht="73.5" customHeight="1" x14ac:dyDescent="0.2">
      <c r="A9" s="905"/>
      <c r="B9" s="876">
        <v>12</v>
      </c>
      <c r="C9" s="877">
        <v>25194</v>
      </c>
      <c r="D9" s="878" t="s">
        <v>646</v>
      </c>
      <c r="E9" s="876" t="s">
        <v>164</v>
      </c>
      <c r="F9" s="876" t="s">
        <v>645</v>
      </c>
      <c r="G9" s="879">
        <f>'Resumo Proposta'!Z50</f>
        <v>0</v>
      </c>
      <c r="H9" s="879">
        <f t="shared" ref="H9:H12" si="0">G9*12</f>
        <v>0</v>
      </c>
    </row>
    <row r="10" spans="1:9" ht="73.5" customHeight="1" x14ac:dyDescent="0.2">
      <c r="A10" s="905"/>
      <c r="B10" s="876">
        <v>13</v>
      </c>
      <c r="C10" s="877">
        <v>25194</v>
      </c>
      <c r="D10" s="880" t="s">
        <v>647</v>
      </c>
      <c r="E10" s="876" t="s">
        <v>164</v>
      </c>
      <c r="F10" s="876" t="s">
        <v>645</v>
      </c>
      <c r="G10" s="879">
        <f>'Resumo Proposta'!AA50</f>
        <v>0</v>
      </c>
      <c r="H10" s="879">
        <f t="shared" si="0"/>
        <v>0</v>
      </c>
    </row>
    <row r="11" spans="1:9" ht="73.5" customHeight="1" x14ac:dyDescent="0.2">
      <c r="A11" s="905"/>
      <c r="B11" s="876">
        <v>14</v>
      </c>
      <c r="C11" s="877">
        <v>25194</v>
      </c>
      <c r="D11" s="880" t="s">
        <v>648</v>
      </c>
      <c r="E11" s="876" t="s">
        <v>164</v>
      </c>
      <c r="F11" s="876" t="s">
        <v>645</v>
      </c>
      <c r="G11" s="879">
        <f>'Resumo Proposta'!AB50</f>
        <v>0</v>
      </c>
      <c r="H11" s="879">
        <f t="shared" si="0"/>
        <v>0</v>
      </c>
    </row>
    <row r="12" spans="1:9" ht="73.5" customHeight="1" x14ac:dyDescent="0.2">
      <c r="A12" s="905"/>
      <c r="B12" s="876">
        <v>15</v>
      </c>
      <c r="C12" s="877">
        <v>15890</v>
      </c>
      <c r="D12" s="880" t="s">
        <v>649</v>
      </c>
      <c r="E12" s="876" t="s">
        <v>164</v>
      </c>
      <c r="F12" s="876" t="s">
        <v>645</v>
      </c>
      <c r="G12" s="879">
        <f>'Resumo Proposta'!AC50</f>
        <v>0</v>
      </c>
      <c r="H12" s="879">
        <f t="shared" si="0"/>
        <v>0</v>
      </c>
    </row>
    <row r="13" spans="1:9" ht="17.25" customHeight="1" x14ac:dyDescent="0.2">
      <c r="A13" s="881" t="s">
        <v>650</v>
      </c>
      <c r="B13" s="882"/>
      <c r="C13" s="882"/>
      <c r="D13" s="882"/>
      <c r="E13" s="882"/>
      <c r="F13" s="882"/>
      <c r="G13" s="883">
        <f>SUM(G8:G12)</f>
        <v>0</v>
      </c>
      <c r="H13" s="884">
        <f>SUM(H8:H12)</f>
        <v>0</v>
      </c>
      <c r="I13" s="885"/>
    </row>
    <row r="14" spans="1:9" ht="15" x14ac:dyDescent="0.2">
      <c r="A14" s="886"/>
      <c r="B14" s="886"/>
      <c r="C14" s="886"/>
      <c r="D14" s="886"/>
      <c r="E14" s="886"/>
      <c r="F14" s="886"/>
      <c r="G14" s="886"/>
      <c r="H14" s="887"/>
    </row>
    <row r="15" spans="1:9" x14ac:dyDescent="0.2">
      <c r="A15" t="s">
        <v>651</v>
      </c>
    </row>
    <row r="16" spans="1:9" x14ac:dyDescent="0.2">
      <c r="A16" t="s">
        <v>652</v>
      </c>
    </row>
    <row r="17" spans="1:8" x14ac:dyDescent="0.2">
      <c r="A17" s="888" t="s">
        <v>653</v>
      </c>
    </row>
    <row r="18" spans="1:8" x14ac:dyDescent="0.2">
      <c r="A18" s="888" t="s">
        <v>654</v>
      </c>
    </row>
    <row r="19" spans="1:8" x14ac:dyDescent="0.2">
      <c r="A19" s="888" t="s">
        <v>655</v>
      </c>
    </row>
    <row r="20" spans="1:8" x14ac:dyDescent="0.2">
      <c r="A20" s="888" t="s">
        <v>656</v>
      </c>
    </row>
    <row r="21" spans="1:8" x14ac:dyDescent="0.2">
      <c r="A21" s="888" t="s">
        <v>657</v>
      </c>
    </row>
    <row r="22" spans="1:8" x14ac:dyDescent="0.2">
      <c r="A22" s="888" t="s">
        <v>658</v>
      </c>
    </row>
    <row r="23" spans="1:8" x14ac:dyDescent="0.2">
      <c r="A23" s="888" t="s">
        <v>659</v>
      </c>
    </row>
    <row r="24" spans="1:8" x14ac:dyDescent="0.2">
      <c r="A24" s="888" t="s">
        <v>660</v>
      </c>
    </row>
    <row r="25" spans="1:8" x14ac:dyDescent="0.2">
      <c r="A25" s="888" t="s">
        <v>661</v>
      </c>
    </row>
    <row r="26" spans="1:8" x14ac:dyDescent="0.2">
      <c r="A26" s="888" t="s">
        <v>662</v>
      </c>
    </row>
    <row r="27" spans="1:8" x14ac:dyDescent="0.2">
      <c r="A27" s="888" t="s">
        <v>663</v>
      </c>
    </row>
    <row r="28" spans="1:8" x14ac:dyDescent="0.2">
      <c r="A28" s="888"/>
      <c r="B28" s="888"/>
    </row>
    <row r="29" spans="1:8" x14ac:dyDescent="0.2">
      <c r="B29" s="898" t="s">
        <v>664</v>
      </c>
      <c r="C29" s="898"/>
      <c r="D29" s="898"/>
      <c r="E29" s="898"/>
      <c r="F29" s="898"/>
      <c r="G29" s="898"/>
      <c r="H29" s="898"/>
    </row>
  </sheetData>
  <mergeCells count="7">
    <mergeCell ref="B29:H29"/>
    <mergeCell ref="A1:H1"/>
    <mergeCell ref="A2:H2"/>
    <mergeCell ref="A3:H3"/>
    <mergeCell ref="A4:H4"/>
    <mergeCell ref="A5:H5"/>
    <mergeCell ref="A8:A12"/>
  </mergeCells>
  <pageMargins left="0.78749999999999998" right="0.78749999999999998" top="1.05277777777778" bottom="1.05277777777778" header="0.78749999999999998" footer="0.78749999999999998"/>
  <pageSetup paperSize="9" firstPageNumber="0" orientation="portrait" r:id="rId1"/>
  <headerFooter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8DA"/>
  </sheetPr>
  <dimension ref="A1:AME151"/>
  <sheetViews>
    <sheetView topLeftCell="A121" zoomScale="80" zoomScaleNormal="80" workbookViewId="0">
      <selection activeCell="C141" sqref="C141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72" t="s">
        <v>454</v>
      </c>
      <c r="B1" s="1073"/>
      <c r="C1" s="1073"/>
      <c r="D1" s="1074"/>
    </row>
    <row r="2" spans="1:4" ht="15.75" x14ac:dyDescent="0.2">
      <c r="A2" s="1075" t="s">
        <v>455</v>
      </c>
      <c r="B2" s="1043"/>
      <c r="C2" s="1043"/>
      <c r="D2" s="1076"/>
    </row>
    <row r="3" spans="1:4" ht="15.75" customHeight="1" x14ac:dyDescent="0.2">
      <c r="A3" s="1075" t="s">
        <v>456</v>
      </c>
      <c r="B3" s="1043"/>
      <c r="C3" s="1043"/>
      <c r="D3" s="1076"/>
    </row>
    <row r="4" spans="1:4" ht="15.75" x14ac:dyDescent="0.2">
      <c r="A4" s="351"/>
      <c r="B4" s="94"/>
      <c r="C4" s="95" t="s">
        <v>457</v>
      </c>
      <c r="D4" s="352" t="s">
        <v>458</v>
      </c>
    </row>
    <row r="5" spans="1:4" x14ac:dyDescent="0.2">
      <c r="A5" s="353"/>
      <c r="B5" s="97" t="s">
        <v>461</v>
      </c>
      <c r="C5" s="98">
        <f>MC!C11</f>
        <v>0</v>
      </c>
      <c r="D5" s="354">
        <f>MC!E11</f>
        <v>0</v>
      </c>
    </row>
    <row r="6" spans="1:4" x14ac:dyDescent="0.2">
      <c r="A6" s="353"/>
      <c r="B6" s="97" t="s">
        <v>462</v>
      </c>
      <c r="C6" s="99">
        <f>MC!D8</f>
        <v>0</v>
      </c>
      <c r="D6" s="355">
        <f>MC!D8</f>
        <v>0</v>
      </c>
    </row>
    <row r="7" spans="1:4" x14ac:dyDescent="0.2">
      <c r="A7" s="353"/>
      <c r="B7" s="97" t="s">
        <v>463</v>
      </c>
      <c r="C7" s="99">
        <f>MC!C8</f>
        <v>0</v>
      </c>
      <c r="D7" s="355">
        <f>MC!C8</f>
        <v>0</v>
      </c>
    </row>
    <row r="8" spans="1:4" x14ac:dyDescent="0.2">
      <c r="A8" s="353"/>
      <c r="B8" s="97" t="s">
        <v>464</v>
      </c>
      <c r="C8" s="100">
        <f>MC!E8</f>
        <v>0</v>
      </c>
      <c r="D8" s="356">
        <f>MC!E8</f>
        <v>0</v>
      </c>
    </row>
    <row r="9" spans="1:4" x14ac:dyDescent="0.2">
      <c r="A9" s="1077"/>
      <c r="B9" s="1044"/>
      <c r="C9" s="1044"/>
      <c r="D9" s="1078"/>
    </row>
    <row r="10" spans="1:4" ht="66.75" customHeight="1" x14ac:dyDescent="0.2">
      <c r="A10" s="357" t="s">
        <v>465</v>
      </c>
      <c r="B10" s="188" t="s">
        <v>466</v>
      </c>
      <c r="C10" s="188" t="s">
        <v>597</v>
      </c>
      <c r="D10" s="358" t="s">
        <v>598</v>
      </c>
    </row>
    <row r="11" spans="1:4" ht="14.25" customHeight="1" x14ac:dyDescent="0.2">
      <c r="A11" s="359" t="s">
        <v>469</v>
      </c>
      <c r="B11" s="321"/>
      <c r="C11" s="321"/>
      <c r="D11" s="360"/>
    </row>
    <row r="12" spans="1:4" ht="14.25" customHeight="1" x14ac:dyDescent="0.2">
      <c r="A12" s="361" t="s">
        <v>470</v>
      </c>
      <c r="B12" s="102" t="s">
        <v>471</v>
      </c>
      <c r="C12" s="102" t="s">
        <v>472</v>
      </c>
      <c r="D12" s="362" t="s">
        <v>472</v>
      </c>
    </row>
    <row r="13" spans="1:4" ht="14.25" customHeight="1" x14ac:dyDescent="0.2">
      <c r="A13" s="363" t="s">
        <v>473</v>
      </c>
      <c r="B13" s="105"/>
      <c r="C13" s="106">
        <f>C5</f>
        <v>0</v>
      </c>
      <c r="D13" s="364">
        <f>D5</f>
        <v>0</v>
      </c>
    </row>
    <row r="14" spans="1:4" ht="14.25" customHeight="1" x14ac:dyDescent="0.2">
      <c r="A14" s="363" t="s">
        <v>474</v>
      </c>
      <c r="B14" s="417">
        <v>0.2</v>
      </c>
      <c r="C14" s="106">
        <f>C13*$B$14</f>
        <v>0</v>
      </c>
      <c r="D14" s="364">
        <f>D13*$B$14</f>
        <v>0</v>
      </c>
    </row>
    <row r="15" spans="1:4" ht="14.25" customHeight="1" x14ac:dyDescent="0.2">
      <c r="A15" s="363" t="s">
        <v>475</v>
      </c>
      <c r="B15" s="109"/>
      <c r="C15" s="106"/>
      <c r="D15" s="364"/>
    </row>
    <row r="16" spans="1:4" ht="14.25" customHeight="1" x14ac:dyDescent="0.2">
      <c r="A16" s="363" t="s">
        <v>476</v>
      </c>
      <c r="B16" s="109"/>
      <c r="C16" s="106"/>
      <c r="D16" s="364"/>
    </row>
    <row r="17" spans="1:4" ht="14.25" customHeight="1" x14ac:dyDescent="0.2">
      <c r="A17" s="363" t="s">
        <v>477</v>
      </c>
      <c r="B17" s="109"/>
      <c r="C17" s="106"/>
      <c r="D17" s="364"/>
    </row>
    <row r="18" spans="1:4" ht="14.25" customHeight="1" x14ac:dyDescent="0.2">
      <c r="A18" s="363" t="s">
        <v>599</v>
      </c>
      <c r="B18" s="110"/>
      <c r="C18" s="106"/>
      <c r="D18" s="364"/>
    </row>
    <row r="19" spans="1:4" ht="14.25" customHeight="1" x14ac:dyDescent="0.2">
      <c r="A19" s="365" t="s">
        <v>479</v>
      </c>
      <c r="B19" s="112"/>
      <c r="C19" s="121">
        <f>SUM(C13:C18)</f>
        <v>0</v>
      </c>
      <c r="D19" s="366">
        <f>SUM(D13:D18)</f>
        <v>0</v>
      </c>
    </row>
    <row r="20" spans="1:4" ht="14.25" customHeight="1" x14ac:dyDescent="0.2">
      <c r="A20" s="1079"/>
      <c r="B20" s="1045"/>
      <c r="C20" s="114"/>
      <c r="D20" s="368"/>
    </row>
    <row r="21" spans="1:4" ht="14.25" customHeight="1" x14ac:dyDescent="0.2">
      <c r="A21" s="1070" t="s">
        <v>480</v>
      </c>
      <c r="B21" s="1046"/>
      <c r="C21" s="1046"/>
      <c r="D21" s="1071"/>
    </row>
    <row r="22" spans="1:4" ht="14.25" customHeight="1" x14ac:dyDescent="0.2">
      <c r="A22" s="369" t="s">
        <v>481</v>
      </c>
      <c r="B22" s="117" t="s">
        <v>471</v>
      </c>
      <c r="C22" s="117" t="s">
        <v>472</v>
      </c>
      <c r="D22" s="370" t="s">
        <v>472</v>
      </c>
    </row>
    <row r="23" spans="1:4" ht="14.25" customHeight="1" x14ac:dyDescent="0.2">
      <c r="A23" s="371" t="s">
        <v>482</v>
      </c>
      <c r="B23" s="108">
        <f>1/12</f>
        <v>8.3333333333333329E-2</v>
      </c>
      <c r="C23" s="106">
        <f>ROUND($B23*C$19,2)</f>
        <v>0</v>
      </c>
      <c r="D23" s="364">
        <f>ROUND($B23*D$19,2)</f>
        <v>0</v>
      </c>
    </row>
    <row r="24" spans="1:4" ht="14.25" customHeight="1" x14ac:dyDescent="0.2">
      <c r="A24" s="371" t="s">
        <v>483</v>
      </c>
      <c r="B24" s="108">
        <f>1/3*1/12</f>
        <v>2.7777777777777776E-2</v>
      </c>
      <c r="C24" s="106">
        <f>C$19*$B$24</f>
        <v>0</v>
      </c>
      <c r="D24" s="364">
        <f>D$19*$B$24</f>
        <v>0</v>
      </c>
    </row>
    <row r="25" spans="1:4" ht="14.25" customHeight="1" x14ac:dyDescent="0.2">
      <c r="A25" s="365" t="s">
        <v>479</v>
      </c>
      <c r="B25" s="120">
        <f>SUM(B23:B24)</f>
        <v>0.1111111111111111</v>
      </c>
      <c r="C25" s="121">
        <f>SUM(C23:C24)</f>
        <v>0</v>
      </c>
      <c r="D25" s="366">
        <f>SUM(D23:D24)</f>
        <v>0</v>
      </c>
    </row>
    <row r="26" spans="1:4" ht="14.25" customHeight="1" x14ac:dyDescent="0.2">
      <c r="A26" s="369" t="s">
        <v>484</v>
      </c>
      <c r="B26" s="117" t="s">
        <v>471</v>
      </c>
      <c r="C26" s="117" t="s">
        <v>472</v>
      </c>
      <c r="D26" s="370" t="s">
        <v>472</v>
      </c>
    </row>
    <row r="27" spans="1:4" ht="14.25" customHeight="1" x14ac:dyDescent="0.2">
      <c r="A27" s="369" t="s">
        <v>485</v>
      </c>
      <c r="B27" s="123"/>
      <c r="C27" s="123"/>
      <c r="D27" s="372"/>
    </row>
    <row r="28" spans="1:4" ht="14.25" customHeight="1" x14ac:dyDescent="0.2">
      <c r="A28" s="371" t="s">
        <v>486</v>
      </c>
      <c r="B28" s="108">
        <v>0.2</v>
      </c>
      <c r="C28" s="125">
        <f t="shared" ref="C28:C35" si="0">ROUND(($C$19+$C$25)*B28,2)</f>
        <v>0</v>
      </c>
      <c r="D28" s="373">
        <f t="shared" ref="D28:D35" si="1">ROUND(($D$19+$D$25)*B28,2)</f>
        <v>0</v>
      </c>
    </row>
    <row r="29" spans="1:4" ht="14.25" customHeight="1" x14ac:dyDescent="0.2">
      <c r="A29" s="371" t="s">
        <v>487</v>
      </c>
      <c r="B29" s="108">
        <v>2.5000000000000001E-2</v>
      </c>
      <c r="C29" s="125">
        <f t="shared" si="0"/>
        <v>0</v>
      </c>
      <c r="D29" s="373">
        <f t="shared" si="1"/>
        <v>0</v>
      </c>
    </row>
    <row r="30" spans="1:4" ht="14.25" customHeight="1" x14ac:dyDescent="0.2">
      <c r="A30" s="371" t="s">
        <v>488</v>
      </c>
      <c r="B30" s="108">
        <v>0.03</v>
      </c>
      <c r="C30" s="125">
        <f t="shared" si="0"/>
        <v>0</v>
      </c>
      <c r="D30" s="373">
        <f t="shared" si="1"/>
        <v>0</v>
      </c>
    </row>
    <row r="31" spans="1:4" ht="14.25" customHeight="1" x14ac:dyDescent="0.2">
      <c r="A31" s="371" t="s">
        <v>489</v>
      </c>
      <c r="B31" s="108">
        <v>1.4999999999999999E-2</v>
      </c>
      <c r="C31" s="125">
        <f t="shared" si="0"/>
        <v>0</v>
      </c>
      <c r="D31" s="373">
        <f t="shared" si="1"/>
        <v>0</v>
      </c>
    </row>
    <row r="32" spans="1:4" ht="14.25" customHeight="1" x14ac:dyDescent="0.2">
      <c r="A32" s="371" t="s">
        <v>490</v>
      </c>
      <c r="B32" s="108">
        <v>0.01</v>
      </c>
      <c r="C32" s="125">
        <f t="shared" si="0"/>
        <v>0</v>
      </c>
      <c r="D32" s="373">
        <f t="shared" si="1"/>
        <v>0</v>
      </c>
    </row>
    <row r="33" spans="1:4" ht="14.25" customHeight="1" x14ac:dyDescent="0.2">
      <c r="A33" s="371" t="s">
        <v>491</v>
      </c>
      <c r="B33" s="108">
        <v>6.0000000000000001E-3</v>
      </c>
      <c r="C33" s="125">
        <f t="shared" si="0"/>
        <v>0</v>
      </c>
      <c r="D33" s="373">
        <f t="shared" si="1"/>
        <v>0</v>
      </c>
    </row>
    <row r="34" spans="1:4" ht="14.25" customHeight="1" x14ac:dyDescent="0.2">
      <c r="A34" s="371" t="s">
        <v>492</v>
      </c>
      <c r="B34" s="108">
        <v>2E-3</v>
      </c>
      <c r="C34" s="125">
        <f t="shared" si="0"/>
        <v>0</v>
      </c>
      <c r="D34" s="373">
        <f t="shared" si="1"/>
        <v>0</v>
      </c>
    </row>
    <row r="35" spans="1:4" ht="14.25" customHeight="1" x14ac:dyDescent="0.2">
      <c r="A35" s="371" t="s">
        <v>493</v>
      </c>
      <c r="B35" s="108">
        <v>0.08</v>
      </c>
      <c r="C35" s="125">
        <f t="shared" si="0"/>
        <v>0</v>
      </c>
      <c r="D35" s="373">
        <f t="shared" si="1"/>
        <v>0</v>
      </c>
    </row>
    <row r="36" spans="1:4" ht="14.25" customHeight="1" x14ac:dyDescent="0.2">
      <c r="A36" s="365" t="s">
        <v>479</v>
      </c>
      <c r="B36" s="120">
        <f>SUM(B28:B35)</f>
        <v>0.36800000000000005</v>
      </c>
      <c r="C36" s="121">
        <f>SUM(C27:C35)</f>
        <v>0</v>
      </c>
      <c r="D36" s="366">
        <f>SUM(D27:D35)</f>
        <v>0</v>
      </c>
    </row>
    <row r="37" spans="1:4" ht="14.25" customHeight="1" x14ac:dyDescent="0.2">
      <c r="A37" s="369" t="s">
        <v>494</v>
      </c>
      <c r="B37" s="117" t="s">
        <v>495</v>
      </c>
      <c r="C37" s="117" t="s">
        <v>472</v>
      </c>
      <c r="D37" s="370" t="s">
        <v>472</v>
      </c>
    </row>
    <row r="38" spans="1:4" ht="14.25" customHeight="1" x14ac:dyDescent="0.2">
      <c r="A38" s="119" t="s">
        <v>496</v>
      </c>
      <c r="B38" s="127">
        <f>MC!J86</f>
        <v>0</v>
      </c>
      <c r="C38" s="106">
        <f>ROUND(((2*22*$B$38)-0.06*C$13),2)</f>
        <v>0</v>
      </c>
      <c r="D38" s="364">
        <f>ROUND(((2*22*$B$38)-0.06*D$13),2)</f>
        <v>0</v>
      </c>
    </row>
    <row r="39" spans="1:4" ht="14.25" customHeight="1" x14ac:dyDescent="0.2">
      <c r="A39" s="478" t="s">
        <v>497</v>
      </c>
      <c r="B39" s="128"/>
      <c r="C39" s="125">
        <f>MC!E21</f>
        <v>0</v>
      </c>
      <c r="D39" s="373">
        <f>MC!E22</f>
        <v>0</v>
      </c>
    </row>
    <row r="40" spans="1:4" ht="14.25" customHeight="1" x14ac:dyDescent="0.2">
      <c r="A40" s="119" t="s">
        <v>498</v>
      </c>
      <c r="B40" s="108">
        <f>MC!C26</f>
        <v>0</v>
      </c>
      <c r="C40" s="125"/>
      <c r="D40" s="373"/>
    </row>
    <row r="41" spans="1:4" ht="14.25" customHeight="1" x14ac:dyDescent="0.2">
      <c r="A41" s="119" t="s">
        <v>499</v>
      </c>
      <c r="B41" s="129">
        <f>MC!E25</f>
        <v>0</v>
      </c>
      <c r="C41" s="125">
        <f>B41</f>
        <v>0</v>
      </c>
      <c r="D41" s="373">
        <f>B41</f>
        <v>0</v>
      </c>
    </row>
    <row r="42" spans="1:4" ht="14.2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>$B$42*D19</f>
        <v>0</v>
      </c>
    </row>
    <row r="43" spans="1:4" ht="14.25" customHeight="1" x14ac:dyDescent="0.2">
      <c r="A43" s="119" t="s">
        <v>501</v>
      </c>
      <c r="B43" s="108"/>
      <c r="C43" s="125"/>
      <c r="D43" s="373"/>
    </row>
    <row r="44" spans="1:4" ht="14.25" customHeight="1" x14ac:dyDescent="0.2">
      <c r="A44" s="365" t="s">
        <v>479</v>
      </c>
      <c r="B44" s="112"/>
      <c r="C44" s="121">
        <f>SUM(C38:C43)</f>
        <v>0</v>
      </c>
      <c r="D44" s="366">
        <f>SUM(D38:D43)</f>
        <v>0</v>
      </c>
    </row>
    <row r="45" spans="1:4" ht="14.25" customHeight="1" x14ac:dyDescent="0.2">
      <c r="A45" s="361" t="s">
        <v>502</v>
      </c>
      <c r="B45" s="102" t="s">
        <v>471</v>
      </c>
      <c r="C45" s="102" t="s">
        <v>472</v>
      </c>
      <c r="D45" s="362" t="s">
        <v>472</v>
      </c>
    </row>
    <row r="46" spans="1:4" ht="14.25" customHeight="1" x14ac:dyDescent="0.2">
      <c r="A46" s="371" t="s">
        <v>481</v>
      </c>
      <c r="B46" s="130">
        <f>B25</f>
        <v>0.1111111111111111</v>
      </c>
      <c r="C46" s="131">
        <f>C25</f>
        <v>0</v>
      </c>
      <c r="D46" s="374">
        <f>D25</f>
        <v>0</v>
      </c>
    </row>
    <row r="47" spans="1:4" ht="14.25" customHeight="1" x14ac:dyDescent="0.2">
      <c r="A47" s="371" t="s">
        <v>503</v>
      </c>
      <c r="B47" s="130">
        <f>B36</f>
        <v>0.36800000000000005</v>
      </c>
      <c r="C47" s="131">
        <f>C36</f>
        <v>0</v>
      </c>
      <c r="D47" s="374">
        <f>D36</f>
        <v>0</v>
      </c>
    </row>
    <row r="48" spans="1:4" ht="14.25" customHeight="1" x14ac:dyDescent="0.2">
      <c r="A48" s="371" t="s">
        <v>494</v>
      </c>
      <c r="B48" s="130"/>
      <c r="C48" s="131">
        <f>C44</f>
        <v>0</v>
      </c>
      <c r="D48" s="374">
        <f>D44</f>
        <v>0</v>
      </c>
    </row>
    <row r="49" spans="1:4" ht="14.25" customHeight="1" x14ac:dyDescent="0.2">
      <c r="A49" s="365" t="s">
        <v>479</v>
      </c>
      <c r="B49" s="112"/>
      <c r="C49" s="121">
        <f>SUM(C46:C48)</f>
        <v>0</v>
      </c>
      <c r="D49" s="366">
        <f>SUM(D46:D48)</f>
        <v>0</v>
      </c>
    </row>
    <row r="50" spans="1:4" ht="14.25" customHeight="1" x14ac:dyDescent="0.2">
      <c r="A50" s="1079"/>
      <c r="B50" s="1045"/>
      <c r="C50" s="114"/>
      <c r="D50" s="368"/>
    </row>
    <row r="51" spans="1:4" s="133" customFormat="1" ht="14.25" customHeight="1" x14ac:dyDescent="0.2">
      <c r="A51" s="1070" t="s">
        <v>504</v>
      </c>
      <c r="B51" s="1046"/>
      <c r="C51" s="1046"/>
      <c r="D51" s="1071"/>
    </row>
    <row r="52" spans="1:4" ht="14.25" customHeight="1" x14ac:dyDescent="0.2">
      <c r="A52" s="361" t="s">
        <v>505</v>
      </c>
      <c r="B52" s="102" t="s">
        <v>471</v>
      </c>
      <c r="C52" s="102" t="s">
        <v>472</v>
      </c>
      <c r="D52" s="362" t="s">
        <v>472</v>
      </c>
    </row>
    <row r="53" spans="1:4" ht="14.25" customHeight="1" x14ac:dyDescent="0.2">
      <c r="A53" s="369" t="s">
        <v>506</v>
      </c>
      <c r="B53" s="134"/>
      <c r="C53" s="134"/>
      <c r="D53" s="375"/>
    </row>
    <row r="54" spans="1:4" ht="14.25" customHeight="1" x14ac:dyDescent="0.2">
      <c r="A54" s="371" t="s">
        <v>507</v>
      </c>
      <c r="B54" s="130">
        <f>1/12*0.05</f>
        <v>4.1666666666666666E-3</v>
      </c>
      <c r="C54" s="136">
        <f>C19*$B54</f>
        <v>0</v>
      </c>
      <c r="D54" s="376">
        <f t="shared" ref="D54" si="2">D19*$B54</f>
        <v>0</v>
      </c>
    </row>
    <row r="55" spans="1:4" ht="14.25" customHeight="1" x14ac:dyDescent="0.2">
      <c r="A55" s="371" t="s">
        <v>508</v>
      </c>
      <c r="B55" s="130">
        <f>B35*B54</f>
        <v>3.3333333333333332E-4</v>
      </c>
      <c r="C55" s="136">
        <f>$B$55*C19</f>
        <v>0</v>
      </c>
      <c r="D55" s="376">
        <f t="shared" ref="D55" si="3">$B$55*D19</f>
        <v>0</v>
      </c>
    </row>
    <row r="56" spans="1:4" ht="14.25" customHeight="1" x14ac:dyDescent="0.2">
      <c r="A56" s="371" t="s">
        <v>509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510</v>
      </c>
      <c r="B57" s="130">
        <f>1/12*1/30*7</f>
        <v>1.9444444444444441E-2</v>
      </c>
      <c r="C57" s="131">
        <f>C19*$B57</f>
        <v>0</v>
      </c>
      <c r="D57" s="374">
        <f t="shared" ref="D57" si="5">D19*$B57</f>
        <v>0</v>
      </c>
    </row>
    <row r="58" spans="1:4" ht="14.25" customHeight="1" x14ac:dyDescent="0.2">
      <c r="A58" s="371" t="s">
        <v>511</v>
      </c>
      <c r="B58" s="130">
        <f>B36*B57</f>
        <v>7.1555555555555556E-3</v>
      </c>
      <c r="C58" s="131">
        <f>$B58*C19</f>
        <v>0</v>
      </c>
      <c r="D58" s="374">
        <f t="shared" ref="D58" si="6">$B58*D19</f>
        <v>0</v>
      </c>
    </row>
    <row r="59" spans="1:4" ht="14.25" customHeight="1" x14ac:dyDescent="0.2">
      <c r="A59" s="371" t="s">
        <v>512</v>
      </c>
      <c r="B59" s="130">
        <f>B35*40/100*90/100*(1+1/12+1/12+1/3*1/12)</f>
        <v>3.4399999999999993E-2</v>
      </c>
      <c r="C59" s="131">
        <f>C19*$B59</f>
        <v>0</v>
      </c>
      <c r="D59" s="374">
        <f t="shared" ref="D59" si="7">D19*$B59</f>
        <v>0</v>
      </c>
    </row>
    <row r="60" spans="1:4" ht="14.25" customHeight="1" x14ac:dyDescent="0.2">
      <c r="A60" s="365" t="s">
        <v>479</v>
      </c>
      <c r="B60" s="120">
        <f>SUM(B54:B59)</f>
        <v>6.5499999999999989E-2</v>
      </c>
      <c r="C60" s="137">
        <f>SUM(C54:C59)</f>
        <v>0</v>
      </c>
      <c r="D60" s="377">
        <f>SUM(D54:D59)</f>
        <v>0</v>
      </c>
    </row>
    <row r="61" spans="1:4" ht="14.25" customHeight="1" x14ac:dyDescent="0.2">
      <c r="A61" s="1079"/>
      <c r="B61" s="1045"/>
      <c r="C61" s="322"/>
      <c r="D61" s="378"/>
    </row>
    <row r="62" spans="1:4" ht="14.25" customHeight="1" x14ac:dyDescent="0.2">
      <c r="A62" s="1070" t="s">
        <v>513</v>
      </c>
      <c r="B62" s="1046"/>
      <c r="C62" s="1046"/>
      <c r="D62" s="1071"/>
    </row>
    <row r="63" spans="1:4" ht="14.25" customHeight="1" x14ac:dyDescent="0.2">
      <c r="A63" s="369" t="s">
        <v>48</v>
      </c>
      <c r="B63" s="117"/>
      <c r="C63" s="117"/>
      <c r="D63" s="370"/>
    </row>
    <row r="64" spans="1:4" ht="14.25" customHeight="1" x14ac:dyDescent="0.2">
      <c r="A64" s="371" t="s">
        <v>49</v>
      </c>
      <c r="B64" s="108">
        <f>1/12</f>
        <v>8.3333333333333329E-2</v>
      </c>
      <c r="C64" s="125">
        <f>B64*($C$19+$C$49+$C$60)</f>
        <v>0</v>
      </c>
      <c r="D64" s="373">
        <f>B64*($D$19+$D$49+$D$60)</f>
        <v>0</v>
      </c>
    </row>
    <row r="65" spans="1:4" ht="14.25" customHeight="1" x14ac:dyDescent="0.2">
      <c r="A65" s="371" t="s">
        <v>514</v>
      </c>
      <c r="B65" s="108">
        <f>MC!E56/30/12</f>
        <v>1.3538888888888885E-2</v>
      </c>
      <c r="C65" s="125">
        <f>B65*($C$19+$C$49+$C$60)</f>
        <v>0</v>
      </c>
      <c r="D65" s="373">
        <f>B65*($D$19+$D$49+$D$60)</f>
        <v>0</v>
      </c>
    </row>
    <row r="66" spans="1:4" ht="14.25" customHeight="1" x14ac:dyDescent="0.2">
      <c r="A66" s="371" t="s">
        <v>515</v>
      </c>
      <c r="B66" s="139">
        <f>(5/30)/12*MC!F58*MC!C59</f>
        <v>1.0764583333333333E-4</v>
      </c>
      <c r="C66" s="125">
        <f>B66*($C$19+$C$49+$C$60)</f>
        <v>0</v>
      </c>
      <c r="D66" s="373">
        <f>B66*($D$19+$D$49+$D$60)</f>
        <v>0</v>
      </c>
    </row>
    <row r="67" spans="1:4" ht="14.25" customHeight="1" x14ac:dyDescent="0.2">
      <c r="A67" s="371" t="s">
        <v>516</v>
      </c>
      <c r="B67" s="139">
        <f>MC!C61/30/12</f>
        <v>2.6830555555555553E-3</v>
      </c>
      <c r="C67" s="125">
        <f>B67*($C$19+$C$49+$C$60)</f>
        <v>0</v>
      </c>
      <c r="D67" s="373">
        <f>B67*($D$19+$D$49+$D$60)</f>
        <v>0</v>
      </c>
    </row>
    <row r="68" spans="1:4" ht="14.25" customHeight="1" x14ac:dyDescent="0.2">
      <c r="A68" s="371" t="s">
        <v>517</v>
      </c>
      <c r="B68" s="108"/>
      <c r="C68" s="125"/>
      <c r="D68" s="373"/>
    </row>
    <row r="69" spans="1:4" ht="14.25" customHeight="1" x14ac:dyDescent="0.2">
      <c r="A69" s="379" t="s">
        <v>518</v>
      </c>
      <c r="B69" s="141">
        <f>SUM(B64:B68)</f>
        <v>9.9662923611111107E-2</v>
      </c>
      <c r="C69" s="142">
        <f>SUM(C64:C68)</f>
        <v>0</v>
      </c>
      <c r="D69" s="380">
        <f>SUM(D64:D68)</f>
        <v>0</v>
      </c>
    </row>
    <row r="70" spans="1:4" ht="14.25" customHeight="1" x14ac:dyDescent="0.2">
      <c r="A70" s="369" t="s">
        <v>519</v>
      </c>
      <c r="B70" s="117"/>
      <c r="C70" s="117"/>
      <c r="D70" s="370"/>
    </row>
    <row r="71" spans="1:4" ht="14.25" customHeight="1" x14ac:dyDescent="0.2">
      <c r="A71" s="371" t="s">
        <v>520</v>
      </c>
      <c r="B71" s="108"/>
      <c r="C71" s="125"/>
      <c r="D71" s="373"/>
    </row>
    <row r="72" spans="1:4" ht="14.25" customHeight="1" x14ac:dyDescent="0.2">
      <c r="A72" s="379" t="s">
        <v>518</v>
      </c>
      <c r="B72" s="141"/>
      <c r="C72" s="142">
        <f>C71</f>
        <v>0</v>
      </c>
      <c r="D72" s="380"/>
    </row>
    <row r="73" spans="1:4" ht="14.25" customHeight="1" x14ac:dyDescent="0.2">
      <c r="A73" s="369" t="s">
        <v>70</v>
      </c>
      <c r="B73" s="117"/>
      <c r="C73" s="117"/>
      <c r="D73" s="370"/>
    </row>
    <row r="74" spans="1:4" ht="14.25" customHeight="1" x14ac:dyDescent="0.2">
      <c r="A74" s="371" t="s">
        <v>71</v>
      </c>
      <c r="B74" s="108">
        <f>120/30*MC!C64*MC!C65</f>
        <v>6.18624E-3</v>
      </c>
      <c r="C74" s="125">
        <f>(((C19*2)+ (C19*1/3))+(C36)+(C44-C38-C39))*$B$74</f>
        <v>0</v>
      </c>
      <c r="D74" s="373">
        <f>(((D19*2)+ (D19*1/3))+(D36)+(D44-D38-D39))*$B$74</f>
        <v>0</v>
      </c>
    </row>
    <row r="75" spans="1:4" ht="14.25" customHeight="1" x14ac:dyDescent="0.2">
      <c r="A75" s="379" t="s">
        <v>479</v>
      </c>
      <c r="B75" s="141"/>
      <c r="C75" s="142"/>
      <c r="D75" s="380"/>
    </row>
    <row r="76" spans="1:4" ht="14.25" customHeight="1" x14ac:dyDescent="0.2">
      <c r="A76" s="361" t="s">
        <v>521</v>
      </c>
      <c r="B76" s="102"/>
      <c r="C76" s="102"/>
      <c r="D76" s="362"/>
    </row>
    <row r="77" spans="1:4" ht="14.25" customHeight="1" x14ac:dyDescent="0.2">
      <c r="A77" s="371" t="s">
        <v>48</v>
      </c>
      <c r="B77" s="130">
        <f>B69</f>
        <v>9.9662923611111107E-2</v>
      </c>
      <c r="C77" s="131">
        <f>C69</f>
        <v>0</v>
      </c>
      <c r="D77" s="374">
        <f>D69</f>
        <v>0</v>
      </c>
    </row>
    <row r="78" spans="1:4" ht="14.25" customHeight="1" x14ac:dyDescent="0.2">
      <c r="A78" s="371" t="s">
        <v>519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70</v>
      </c>
      <c r="B79" s="130">
        <f>B74</f>
        <v>6.18624E-3</v>
      </c>
      <c r="C79" s="131">
        <f>C74</f>
        <v>0</v>
      </c>
      <c r="D79" s="374">
        <f>D74</f>
        <v>0</v>
      </c>
    </row>
    <row r="80" spans="1:4" ht="14.25" customHeight="1" x14ac:dyDescent="0.2">
      <c r="A80" s="365" t="s">
        <v>479</v>
      </c>
      <c r="B80" s="112"/>
      <c r="C80" s="121">
        <f>SUM(C77:C79)</f>
        <v>0</v>
      </c>
      <c r="D80" s="366">
        <f>SUM(D77:D79)</f>
        <v>0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522</v>
      </c>
      <c r="B82" s="200"/>
      <c r="C82" s="200"/>
      <c r="D82" s="382"/>
    </row>
    <row r="83" spans="1:4" ht="14.25" customHeight="1" x14ac:dyDescent="0.2">
      <c r="A83" s="361" t="s">
        <v>523</v>
      </c>
      <c r="B83" s="102" t="s">
        <v>495</v>
      </c>
      <c r="C83" s="102" t="s">
        <v>472</v>
      </c>
      <c r="D83" s="362" t="s">
        <v>472</v>
      </c>
    </row>
    <row r="84" spans="1:4" ht="14.25" customHeight="1" x14ac:dyDescent="0.2">
      <c r="A84" s="371" t="s">
        <v>524</v>
      </c>
      <c r="B84" s="414">
        <f>Insumos!G117</f>
        <v>0</v>
      </c>
      <c r="C84" s="106">
        <f>B84</f>
        <v>0</v>
      </c>
      <c r="D84" s="364">
        <f>B84</f>
        <v>0</v>
      </c>
    </row>
    <row r="85" spans="1:4" ht="14.25" customHeight="1" x14ac:dyDescent="0.2">
      <c r="A85" s="383" t="s">
        <v>525</v>
      </c>
      <c r="B85" s="414">
        <f>Insumos!G69</f>
        <v>0</v>
      </c>
      <c r="C85" s="106">
        <f>B85</f>
        <v>0</v>
      </c>
      <c r="D85" s="364">
        <f>B85</f>
        <v>0</v>
      </c>
    </row>
    <row r="86" spans="1:4" ht="14.25" customHeight="1" x14ac:dyDescent="0.2">
      <c r="A86" s="383" t="s">
        <v>526</v>
      </c>
      <c r="B86" s="415">
        <v>0</v>
      </c>
      <c r="C86" s="106"/>
      <c r="D86" s="364"/>
    </row>
    <row r="87" spans="1:4" ht="14.25" customHeight="1" x14ac:dyDescent="0.2">
      <c r="A87" s="383" t="s">
        <v>527</v>
      </c>
      <c r="B87" s="416"/>
      <c r="C87" s="106">
        <f>Insumos!I122</f>
        <v>0</v>
      </c>
      <c r="D87" s="364">
        <f>Insumos!H122</f>
        <v>0</v>
      </c>
    </row>
    <row r="88" spans="1:4" ht="14.25" customHeight="1" x14ac:dyDescent="0.2">
      <c r="A88" s="383" t="s">
        <v>528</v>
      </c>
      <c r="B88" s="417">
        <v>0</v>
      </c>
      <c r="C88" s="106"/>
      <c r="D88" s="364"/>
    </row>
    <row r="89" spans="1:4" ht="14.25" customHeight="1" x14ac:dyDescent="0.2">
      <c r="A89" s="383" t="s">
        <v>600</v>
      </c>
      <c r="B89" s="414">
        <v>0</v>
      </c>
      <c r="C89" s="106"/>
      <c r="D89" s="364"/>
    </row>
    <row r="90" spans="1:4" ht="14.25" customHeight="1" x14ac:dyDescent="0.2">
      <c r="A90" s="383" t="s">
        <v>601</v>
      </c>
      <c r="B90" s="414">
        <v>0</v>
      </c>
      <c r="C90" s="106"/>
      <c r="D90" s="364"/>
    </row>
    <row r="91" spans="1:4" ht="14.25" customHeight="1" x14ac:dyDescent="0.2">
      <c r="A91" s="379" t="s">
        <v>479</v>
      </c>
      <c r="B91" s="147"/>
      <c r="C91" s="142">
        <f>SUM(C84:C90)</f>
        <v>0</v>
      </c>
      <c r="D91" s="380">
        <f t="shared" ref="D91" si="8">SUM(D84:D90)</f>
        <v>0</v>
      </c>
    </row>
    <row r="92" spans="1:4" ht="14.25" customHeight="1" x14ac:dyDescent="0.2">
      <c r="A92" s="1079"/>
      <c r="B92" s="1045"/>
      <c r="C92" s="148"/>
      <c r="D92" s="384"/>
    </row>
    <row r="93" spans="1:4" ht="14.25" customHeight="1" x14ac:dyDescent="0.2">
      <c r="A93" s="381" t="s">
        <v>531</v>
      </c>
      <c r="B93" s="200"/>
      <c r="C93" s="200"/>
      <c r="D93" s="382"/>
    </row>
    <row r="94" spans="1:4" ht="14.25" customHeight="1" x14ac:dyDescent="0.2">
      <c r="A94" s="361" t="s">
        <v>532</v>
      </c>
      <c r="B94" s="102" t="s">
        <v>471</v>
      </c>
      <c r="C94" s="102" t="s">
        <v>472</v>
      </c>
      <c r="D94" s="362" t="s">
        <v>472</v>
      </c>
    </row>
    <row r="95" spans="1:4" ht="14.25" customHeight="1" x14ac:dyDescent="0.2">
      <c r="A95" s="363" t="s">
        <v>76</v>
      </c>
      <c r="B95" s="108">
        <v>0.03</v>
      </c>
      <c r="C95" s="125">
        <f>($C$19+$C$49+$C$60+$C$80+$C$91)*$B$95</f>
        <v>0</v>
      </c>
      <c r="D95" s="373">
        <f>($D$19+$D$49+$D$60+$D$80+$D$91)*$B$95</f>
        <v>0</v>
      </c>
    </row>
    <row r="96" spans="1:4" ht="14.25" customHeight="1" x14ac:dyDescent="0.2">
      <c r="A96" s="363" t="s">
        <v>77</v>
      </c>
      <c r="B96" s="108">
        <v>6.7900000000000002E-2</v>
      </c>
      <c r="C96" s="125">
        <f>($C$19+$C$49+$C$60+$C$80+$C$91+C95)*B96</f>
        <v>0</v>
      </c>
      <c r="D96" s="373">
        <f>($D$19+$D$49+$D$60+$D$80+$D$91+$D$95)*$B$96</f>
        <v>0</v>
      </c>
    </row>
    <row r="97" spans="1:5" ht="14.25" customHeight="1" x14ac:dyDescent="0.2">
      <c r="A97" s="385" t="s">
        <v>533</v>
      </c>
      <c r="B97" s="204">
        <f>B98+B99</f>
        <v>0.1125</v>
      </c>
      <c r="C97" s="205">
        <f>((C19+C49+C60+C80+C91+C95+C96)/(1-($B$97)))*$B$97</f>
        <v>0</v>
      </c>
      <c r="D97" s="386">
        <f>((D19+D49+D60+D80+D91+D95+D96)/(1-($B$97)))*$B$97</f>
        <v>0</v>
      </c>
    </row>
    <row r="98" spans="1:5" ht="14.25" customHeight="1" x14ac:dyDescent="0.2">
      <c r="A98" s="363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387">
        <f t="shared" ref="D98" si="9">((D$19+D$49+D$60+D$80+D$91+D$95+D$96)/(1-($B$97)))*$B$98</f>
        <v>0</v>
      </c>
    </row>
    <row r="99" spans="1:5" ht="14.25" customHeight="1" x14ac:dyDescent="0.2">
      <c r="A99" s="363" t="s">
        <v>535</v>
      </c>
      <c r="B99" s="108">
        <v>0.02</v>
      </c>
      <c r="C99" s="207">
        <f>((C$19+C$49+C$60+C$80+C$91+C$95+C$96)/(1-($B$97)))*$B$99</f>
        <v>0</v>
      </c>
      <c r="D99" s="388">
        <f t="shared" ref="D99" si="10">((D$19+D$49+D$60+D$80+D$91+D$95+D$96)/(1-($B$97)))*$B$99</f>
        <v>0</v>
      </c>
    </row>
    <row r="100" spans="1:5" ht="14.25" customHeight="1" x14ac:dyDescent="0.2">
      <c r="A100" s="385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386">
        <f t="shared" ref="D100" si="11">((D19+D49+D60+D80+D91+D95+D96)/(1-($B$100)))*$B$100</f>
        <v>0</v>
      </c>
    </row>
    <row r="101" spans="1:5" ht="14.25" customHeight="1" x14ac:dyDescent="0.2">
      <c r="A101" s="363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387">
        <f t="shared" ref="D101" si="12">((D19+D49+D60+D80+D91+D95+D96)/(1-($B$100)))*$B$101</f>
        <v>0</v>
      </c>
    </row>
    <row r="102" spans="1:5" ht="14.25" customHeight="1" x14ac:dyDescent="0.2">
      <c r="A102" s="363" t="s">
        <v>535</v>
      </c>
      <c r="B102" s="108">
        <v>2.5000000000000001E-2</v>
      </c>
      <c r="C102" s="207">
        <f>((C$19+C$49+C$60+C$80+C$91+C$95+C$96)/(1-($B$100)))*$B$102</f>
        <v>0</v>
      </c>
      <c r="D102" s="388">
        <f t="shared" ref="D102" si="13">((D$19+D$49+D$60+D$80+D$91+D$95+D$96)/(1-($B$100)))*$B$102</f>
        <v>0</v>
      </c>
    </row>
    <row r="103" spans="1:5" ht="14.25" customHeight="1" x14ac:dyDescent="0.2">
      <c r="A103" s="385" t="s">
        <v>537</v>
      </c>
      <c r="B103" s="204">
        <f>B104+B105</f>
        <v>0.1225</v>
      </c>
      <c r="C103" s="205">
        <f>((C19+C49+C60+C80+C91+C95+C96)/(1-($B$103)))*$B$103</f>
        <v>0</v>
      </c>
      <c r="D103" s="386">
        <f t="shared" ref="D103" si="14">((D19+D49+D60+D80+D91+D95+D96)/(1-($B$103)))*$B$103</f>
        <v>0</v>
      </c>
    </row>
    <row r="104" spans="1:5" ht="14.25" customHeight="1" x14ac:dyDescent="0.2">
      <c r="A104" s="363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387">
        <f t="shared" ref="D104" si="15">((D19+D49+D60+D80+D91+D95+D96)/(1-($B$103)))*$B$104</f>
        <v>0</v>
      </c>
    </row>
    <row r="105" spans="1:5" ht="14.25" customHeight="1" x14ac:dyDescent="0.2">
      <c r="A105" s="363" t="s">
        <v>535</v>
      </c>
      <c r="B105" s="108">
        <v>0.03</v>
      </c>
      <c r="C105" s="207">
        <f>((C19+C49+C60+C80+C91+C95+C96)/(1-($B$103)))*$B$105</f>
        <v>0</v>
      </c>
      <c r="D105" s="388">
        <f t="shared" ref="D105" si="16">((D19+D49+D60+D80+D91+D95+D96)/(1-($B$103)))*$B$105</f>
        <v>0</v>
      </c>
      <c r="E105" s="208"/>
    </row>
    <row r="106" spans="1:5" ht="14.25" customHeight="1" x14ac:dyDescent="0.2">
      <c r="A106" s="385" t="s">
        <v>616</v>
      </c>
      <c r="B106" s="204">
        <f>B107+B108</f>
        <v>0.1275</v>
      </c>
      <c r="C106" s="205">
        <f>((C19+C49+C60+C80+C91+C95+C96)/(1-($B$106)))*$B$106</f>
        <v>0</v>
      </c>
      <c r="D106" s="205">
        <f>((D19+D49+D60+D80+D91+D95+D96)/(1-($B$106)))*$B$106</f>
        <v>0</v>
      </c>
      <c r="E106" s="208"/>
    </row>
    <row r="107" spans="1:5" ht="14.25" customHeight="1" x14ac:dyDescent="0.2">
      <c r="A107" s="363" t="s">
        <v>534</v>
      </c>
      <c r="B107" s="108">
        <f>0.0165+0.076</f>
        <v>9.2499999999999999E-2</v>
      </c>
      <c r="C107" s="206">
        <f>((C19+C49+C60+C80+C91+C95+C96)/(1-($B$106)))*$B$107</f>
        <v>0</v>
      </c>
      <c r="D107" s="206">
        <f>((D19+D49+D60+D80+D91+D95+D96)/(1-($B$106)))*$B$107</f>
        <v>0</v>
      </c>
      <c r="E107" s="208"/>
    </row>
    <row r="108" spans="1:5" ht="14.25" customHeight="1" x14ac:dyDescent="0.2">
      <c r="A108" s="363" t="s">
        <v>535</v>
      </c>
      <c r="B108" s="108">
        <v>3.5000000000000003E-2</v>
      </c>
      <c r="C108" s="207">
        <f>((C19+C49+C60+C80+C91+C95+C96)/(1-($B$106)))*$B$108</f>
        <v>0</v>
      </c>
      <c r="D108" s="207">
        <f>((D19+D49+D60+D80+D91+D95+D96)/(1-($B$106)))*$B$108</f>
        <v>0</v>
      </c>
      <c r="E108" s="208"/>
    </row>
    <row r="109" spans="1:5" ht="14.25" customHeight="1" x14ac:dyDescent="0.2">
      <c r="A109" s="385" t="s">
        <v>538</v>
      </c>
      <c r="B109" s="204">
        <f>B110+B111</f>
        <v>0.13250000000000001</v>
      </c>
      <c r="C109" s="205">
        <f>((C19+C49+C60+C80+C91+C95+C96)/(1-($B$109)))*$B$109</f>
        <v>0</v>
      </c>
      <c r="D109" s="386">
        <f t="shared" ref="D109" si="17">((D19+D49+D60+D80+D91+D95+D96)/(1-($B$109)))*$B$109</f>
        <v>0</v>
      </c>
    </row>
    <row r="110" spans="1:5" ht="14.25" customHeight="1" x14ac:dyDescent="0.2">
      <c r="A110" s="363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387">
        <f t="shared" ref="D110" si="18">((D19+D49+D60+D80+D91+D95+D96)/(1-($B$109)))*$B$110</f>
        <v>0</v>
      </c>
    </row>
    <row r="111" spans="1:5" ht="14.25" customHeight="1" x14ac:dyDescent="0.2">
      <c r="A111" s="363" t="s">
        <v>535</v>
      </c>
      <c r="B111" s="108">
        <v>0.04</v>
      </c>
      <c r="C111" s="207">
        <f>((C19+C49+C60+C80+C91+C95+C96)/(1-($B$109)))*$B$111</f>
        <v>0</v>
      </c>
      <c r="D111" s="388">
        <f t="shared" ref="D111" si="19">((D19+D49+D60+D80+D91+D95+D96)/(1-($B$109)))*$B$111</f>
        <v>0</v>
      </c>
    </row>
    <row r="112" spans="1:5" ht="14.25" customHeight="1" x14ac:dyDescent="0.2">
      <c r="A112" s="385" t="s">
        <v>539</v>
      </c>
      <c r="B112" s="204">
        <f>B113+B114</f>
        <v>0.14250000000000002</v>
      </c>
      <c r="C112" s="205">
        <f>((C19+C49+C60+C80+C91+C95+C96)/(1-($B$112)))*$B$112</f>
        <v>0</v>
      </c>
      <c r="D112" s="386">
        <f t="shared" ref="D112" si="20">((D19+D49+D60+D80+D91+D95+D96)/(1-($B$112)))*$B$112</f>
        <v>0</v>
      </c>
    </row>
    <row r="113" spans="1:5" ht="14.25" customHeight="1" x14ac:dyDescent="0.2">
      <c r="A113" s="363" t="s">
        <v>534</v>
      </c>
      <c r="B113" s="108">
        <f>0.0165+0.076</f>
        <v>9.2499999999999999E-2</v>
      </c>
      <c r="C113" s="206">
        <f>((C19+C49+C60+C80+C91+C95+C96)/(1-($B$112)))*$B$113</f>
        <v>0</v>
      </c>
      <c r="D113" s="387">
        <f t="shared" ref="D113" si="21">((D19+D49+D60+D80+D91+D95+D96)/(1-($B$112)))*$B$113</f>
        <v>0</v>
      </c>
    </row>
    <row r="114" spans="1:5" ht="14.25" customHeight="1" x14ac:dyDescent="0.2">
      <c r="A114" s="363" t="s">
        <v>535</v>
      </c>
      <c r="B114" s="209">
        <v>0.05</v>
      </c>
      <c r="C114" s="207">
        <f>((C19+C49+C60+C80+C91+C95+C96)/(1-($B$112)))*$B$114</f>
        <v>0</v>
      </c>
      <c r="D114" s="388">
        <f t="shared" ref="D114" si="22">((D19+D49+D60+D80+D91+D95+D96)/(1-($B$112)))*$B$114</f>
        <v>0</v>
      </c>
    </row>
    <row r="115" spans="1:5" ht="14.25" customHeight="1" x14ac:dyDescent="0.2">
      <c r="A115" s="1081" t="s">
        <v>540</v>
      </c>
      <c r="B115" s="210">
        <v>0.02</v>
      </c>
      <c r="C115" s="211">
        <f>C95+C96+C97</f>
        <v>0</v>
      </c>
      <c r="D115" s="389">
        <f>D95+D96+D97</f>
        <v>0</v>
      </c>
    </row>
    <row r="116" spans="1:5" ht="14.25" customHeight="1" x14ac:dyDescent="0.2">
      <c r="A116" s="1081"/>
      <c r="B116" s="212">
        <v>2.5000000000000001E-2</v>
      </c>
      <c r="C116" s="213">
        <f>C95+C96+C100</f>
        <v>0</v>
      </c>
      <c r="D116" s="390">
        <f>D95+D96+D100</f>
        <v>0</v>
      </c>
    </row>
    <row r="117" spans="1:5" ht="14.25" customHeight="1" x14ac:dyDescent="0.2">
      <c r="A117" s="1081"/>
      <c r="B117" s="212">
        <v>0.03</v>
      </c>
      <c r="C117" s="213">
        <f>C95+C96+C103</f>
        <v>0</v>
      </c>
      <c r="D117" s="390">
        <f>D95+D96+D103</f>
        <v>0</v>
      </c>
      <c r="E117" s="208"/>
    </row>
    <row r="118" spans="1:5" ht="14.25" customHeight="1" x14ac:dyDescent="0.2">
      <c r="A118" s="1081"/>
      <c r="B118" s="212">
        <v>3.5000000000000003E-2</v>
      </c>
      <c r="C118" s="213">
        <f>C95+C96+C106</f>
        <v>0</v>
      </c>
      <c r="D118" s="213">
        <f>D95+D96+D106</f>
        <v>0</v>
      </c>
      <c r="E118" s="208"/>
    </row>
    <row r="119" spans="1:5" ht="14.25" customHeight="1" x14ac:dyDescent="0.2">
      <c r="A119" s="1081"/>
      <c r="B119" s="212">
        <v>0.04</v>
      </c>
      <c r="C119" s="213">
        <f>C95+C96+C109</f>
        <v>0</v>
      </c>
      <c r="D119" s="390">
        <f>D95+D96+D109</f>
        <v>0</v>
      </c>
    </row>
    <row r="120" spans="1:5" ht="14.25" customHeight="1" x14ac:dyDescent="0.2">
      <c r="A120" s="1081"/>
      <c r="B120" s="214">
        <v>0.05</v>
      </c>
      <c r="C120" s="215">
        <f>C95+C96+C112</f>
        <v>0</v>
      </c>
      <c r="D120" s="391">
        <f>D95+D96+D112</f>
        <v>0</v>
      </c>
    </row>
    <row r="121" spans="1:5" ht="14.25" customHeight="1" x14ac:dyDescent="0.2">
      <c r="A121" s="363" t="s">
        <v>541</v>
      </c>
      <c r="B121" s="216"/>
      <c r="C121" s="217"/>
      <c r="D121" s="392"/>
    </row>
    <row r="122" spans="1:5" ht="14.25" customHeight="1" x14ac:dyDescent="0.2">
      <c r="A122" s="393"/>
      <c r="B122" s="220"/>
      <c r="C122" s="221"/>
      <c r="D122" s="394"/>
    </row>
    <row r="123" spans="1:5" ht="7.5" customHeight="1" x14ac:dyDescent="0.2">
      <c r="A123" s="1082"/>
      <c r="B123" s="1048"/>
      <c r="C123" s="1048"/>
      <c r="D123" s="1083"/>
    </row>
    <row r="124" spans="1:5" ht="7.5" customHeight="1" x14ac:dyDescent="0.2">
      <c r="A124" s="1084"/>
      <c r="B124" s="1049"/>
      <c r="C124" s="1049"/>
      <c r="D124" s="1085"/>
    </row>
    <row r="125" spans="1:5" ht="54.75" customHeight="1" x14ac:dyDescent="0.2">
      <c r="A125" s="1086" t="s">
        <v>542</v>
      </c>
      <c r="B125" s="1050"/>
      <c r="C125" s="224" t="str">
        <f>C10</f>
        <v>Servente 44h COVID</v>
      </c>
      <c r="D125" s="395" t="str">
        <f>D10</f>
        <v>Servente 30h COVID</v>
      </c>
    </row>
    <row r="126" spans="1:5" ht="15.75" customHeight="1" x14ac:dyDescent="0.2">
      <c r="A126" s="1087" t="s">
        <v>543</v>
      </c>
      <c r="B126" s="1051"/>
      <c r="C126" s="227" t="s">
        <v>472</v>
      </c>
      <c r="D126" s="396" t="s">
        <v>472</v>
      </c>
    </row>
    <row r="127" spans="1:5" ht="14.25" customHeight="1" x14ac:dyDescent="0.2">
      <c r="A127" s="1088" t="s">
        <v>544</v>
      </c>
      <c r="B127" s="1052"/>
      <c r="C127" s="229">
        <f>C19</f>
        <v>0</v>
      </c>
      <c r="D127" s="397">
        <f>D19</f>
        <v>0</v>
      </c>
    </row>
    <row r="128" spans="1:5" ht="14.25" customHeight="1" x14ac:dyDescent="0.2">
      <c r="A128" s="1080" t="s">
        <v>545</v>
      </c>
      <c r="B128" s="1053"/>
      <c r="C128" s="150">
        <f>C49</f>
        <v>0</v>
      </c>
      <c r="D128" s="398">
        <f>D49</f>
        <v>0</v>
      </c>
    </row>
    <row r="129" spans="1:4" ht="14.25" customHeight="1" x14ac:dyDescent="0.2">
      <c r="A129" s="1080" t="s">
        <v>546</v>
      </c>
      <c r="B129" s="1053"/>
      <c r="C129" s="150">
        <f>C60</f>
        <v>0</v>
      </c>
      <c r="D129" s="398">
        <f>D60</f>
        <v>0</v>
      </c>
    </row>
    <row r="130" spans="1:4" ht="14.25" customHeight="1" x14ac:dyDescent="0.2">
      <c r="A130" s="1080" t="s">
        <v>547</v>
      </c>
      <c r="B130" s="1053"/>
      <c r="C130" s="150">
        <f>C80</f>
        <v>0</v>
      </c>
      <c r="D130" s="398">
        <f>D80</f>
        <v>0</v>
      </c>
    </row>
    <row r="131" spans="1:4" ht="15.75" customHeight="1" x14ac:dyDescent="0.2">
      <c r="A131" s="1080" t="s">
        <v>548</v>
      </c>
      <c r="B131" s="1053"/>
      <c r="C131" s="150">
        <f>C91</f>
        <v>0</v>
      </c>
      <c r="D131" s="398">
        <f>D91</f>
        <v>0</v>
      </c>
    </row>
    <row r="132" spans="1:4" ht="15.75" customHeight="1" x14ac:dyDescent="0.2">
      <c r="A132" s="1090" t="s">
        <v>549</v>
      </c>
      <c r="B132" s="1056"/>
      <c r="C132" s="152">
        <f>SUM(C127:C131)</f>
        <v>0</v>
      </c>
      <c r="D132" s="399">
        <f>SUM(D127:D131)</f>
        <v>0</v>
      </c>
    </row>
    <row r="133" spans="1:4" ht="15.75" customHeight="1" x14ac:dyDescent="0.2">
      <c r="A133" s="1089" t="s">
        <v>550</v>
      </c>
      <c r="B133" s="1054"/>
      <c r="C133" s="232">
        <f t="shared" ref="C133:D138" si="23">C115</f>
        <v>0</v>
      </c>
      <c r="D133" s="400">
        <f t="shared" si="23"/>
        <v>0</v>
      </c>
    </row>
    <row r="134" spans="1:4" ht="15.75" customHeight="1" x14ac:dyDescent="0.2">
      <c r="A134" s="1080" t="s">
        <v>551</v>
      </c>
      <c r="B134" s="1053"/>
      <c r="C134" s="234">
        <f t="shared" si="23"/>
        <v>0</v>
      </c>
      <c r="D134" s="401">
        <f t="shared" si="23"/>
        <v>0</v>
      </c>
    </row>
    <row r="135" spans="1:4" ht="15.75" customHeight="1" x14ac:dyDescent="0.2">
      <c r="A135" s="1080" t="s">
        <v>552</v>
      </c>
      <c r="B135" s="1053"/>
      <c r="C135" s="234">
        <f t="shared" si="23"/>
        <v>0</v>
      </c>
      <c r="D135" s="644">
        <f t="shared" si="23"/>
        <v>0</v>
      </c>
    </row>
    <row r="136" spans="1:4" ht="15.75" customHeight="1" x14ac:dyDescent="0.2">
      <c r="A136" s="1125" t="s">
        <v>617</v>
      </c>
      <c r="B136" s="1126"/>
      <c r="C136" s="234">
        <f t="shared" si="23"/>
        <v>0</v>
      </c>
      <c r="D136" s="644">
        <f t="shared" si="23"/>
        <v>0</v>
      </c>
    </row>
    <row r="137" spans="1:4" ht="15.75" customHeight="1" x14ac:dyDescent="0.2">
      <c r="A137" s="1080" t="s">
        <v>553</v>
      </c>
      <c r="B137" s="1053"/>
      <c r="C137" s="234">
        <f t="shared" si="23"/>
        <v>0</v>
      </c>
      <c r="D137" s="401">
        <f t="shared" si="23"/>
        <v>0</v>
      </c>
    </row>
    <row r="138" spans="1:4" ht="15.75" customHeight="1" x14ac:dyDescent="0.2">
      <c r="A138" s="1089" t="s">
        <v>554</v>
      </c>
      <c r="B138" s="1054"/>
      <c r="C138" s="234">
        <f t="shared" si="23"/>
        <v>0</v>
      </c>
      <c r="D138" s="401">
        <f t="shared" si="23"/>
        <v>0</v>
      </c>
    </row>
    <row r="139" spans="1:4" ht="15.75" customHeight="1" x14ac:dyDescent="0.2">
      <c r="A139" s="402" t="s">
        <v>555</v>
      </c>
      <c r="B139" s="237"/>
      <c r="C139" s="238">
        <f>C132+C133</f>
        <v>0</v>
      </c>
      <c r="D139" s="403">
        <f>D132+D133</f>
        <v>0</v>
      </c>
    </row>
    <row r="140" spans="1:4" ht="15.75" customHeight="1" x14ac:dyDescent="0.2">
      <c r="A140" s="404" t="s">
        <v>556</v>
      </c>
      <c r="B140" s="241"/>
      <c r="C140" s="242">
        <f>C132+C134</f>
        <v>0</v>
      </c>
      <c r="D140" s="405">
        <f>D132+D134</f>
        <v>0</v>
      </c>
    </row>
    <row r="141" spans="1:4" ht="15.75" customHeight="1" x14ac:dyDescent="0.2">
      <c r="A141" s="404" t="s">
        <v>557</v>
      </c>
      <c r="B141" s="241"/>
      <c r="C141" s="242">
        <f>C132+C135</f>
        <v>0</v>
      </c>
      <c r="D141" s="405">
        <f>D132+D135</f>
        <v>0</v>
      </c>
    </row>
    <row r="142" spans="1:4" ht="15.75" customHeight="1" x14ac:dyDescent="0.2">
      <c r="A142" s="404" t="s">
        <v>618</v>
      </c>
      <c r="B142" s="241"/>
      <c r="C142" s="242">
        <f>C132+C136</f>
        <v>0</v>
      </c>
      <c r="D142" s="242">
        <f>D132+D136</f>
        <v>0</v>
      </c>
    </row>
    <row r="143" spans="1:4" ht="15.75" customHeight="1" x14ac:dyDescent="0.2">
      <c r="A143" s="404" t="s">
        <v>558</v>
      </c>
      <c r="B143" s="241"/>
      <c r="C143" s="242">
        <f>C132+C137</f>
        <v>0</v>
      </c>
      <c r="D143" s="405">
        <f>D132+D137</f>
        <v>0</v>
      </c>
    </row>
    <row r="144" spans="1:4" ht="15.75" customHeight="1" x14ac:dyDescent="0.2">
      <c r="A144" s="404" t="s">
        <v>559</v>
      </c>
      <c r="B144" s="241"/>
      <c r="C144" s="242">
        <f>C132+C138</f>
        <v>0</v>
      </c>
      <c r="D144" s="405">
        <f>D132+D138</f>
        <v>0</v>
      </c>
    </row>
    <row r="145" spans="1:4" ht="15.75" customHeight="1" x14ac:dyDescent="0.2">
      <c r="A145" s="406" t="s">
        <v>560</v>
      </c>
      <c r="B145" s="244"/>
      <c r="C145" s="245">
        <f t="shared" ref="C145:C150" si="24">C139/200</f>
        <v>0</v>
      </c>
      <c r="D145" s="407"/>
    </row>
    <row r="146" spans="1:4" ht="15.75" customHeight="1" x14ac:dyDescent="0.2">
      <c r="A146" s="408" t="s">
        <v>561</v>
      </c>
      <c r="B146" s="246"/>
      <c r="C146" s="247">
        <f t="shared" si="24"/>
        <v>0</v>
      </c>
      <c r="D146" s="409"/>
    </row>
    <row r="147" spans="1:4" ht="15.75" customHeight="1" x14ac:dyDescent="0.2">
      <c r="A147" s="408" t="s">
        <v>562</v>
      </c>
      <c r="B147" s="246"/>
      <c r="C147" s="247">
        <f t="shared" si="24"/>
        <v>0</v>
      </c>
      <c r="D147" s="409"/>
    </row>
    <row r="148" spans="1:4" ht="15.75" customHeight="1" x14ac:dyDescent="0.2">
      <c r="A148" s="408" t="s">
        <v>619</v>
      </c>
      <c r="B148" s="246"/>
      <c r="C148" s="247">
        <f t="shared" si="24"/>
        <v>0</v>
      </c>
      <c r="D148" s="409"/>
    </row>
    <row r="149" spans="1:4" ht="15.75" customHeight="1" x14ac:dyDescent="0.2">
      <c r="A149" s="408" t="s">
        <v>563</v>
      </c>
      <c r="B149" s="246"/>
      <c r="C149" s="247">
        <f t="shared" si="24"/>
        <v>0</v>
      </c>
      <c r="D149" s="409"/>
    </row>
    <row r="150" spans="1:4" ht="15.75" customHeight="1" x14ac:dyDescent="0.2">
      <c r="A150" s="410" t="s">
        <v>564</v>
      </c>
      <c r="B150" s="411"/>
      <c r="C150" s="412">
        <f t="shared" si="24"/>
        <v>0</v>
      </c>
      <c r="D150" s="413"/>
    </row>
    <row r="151" spans="1:4" x14ac:dyDescent="0.2">
      <c r="A151" s="248"/>
    </row>
  </sheetData>
  <mergeCells count="28">
    <mergeCell ref="A21:D21"/>
    <mergeCell ref="A1:D1"/>
    <mergeCell ref="A2:D2"/>
    <mergeCell ref="A3:D3"/>
    <mergeCell ref="A9:D9"/>
    <mergeCell ref="A20:B20"/>
    <mergeCell ref="A128:B128"/>
    <mergeCell ref="A50:B50"/>
    <mergeCell ref="A51:D51"/>
    <mergeCell ref="A61:B61"/>
    <mergeCell ref="A62:D62"/>
    <mergeCell ref="A92:B92"/>
    <mergeCell ref="A115:A120"/>
    <mergeCell ref="A123:D123"/>
    <mergeCell ref="A124:D124"/>
    <mergeCell ref="A125:B125"/>
    <mergeCell ref="A126:B126"/>
    <mergeCell ref="A127:B127"/>
    <mergeCell ref="A135:B135"/>
    <mergeCell ref="A137:B137"/>
    <mergeCell ref="A138:B138"/>
    <mergeCell ref="A129:B129"/>
    <mergeCell ref="A130:B130"/>
    <mergeCell ref="A131:B131"/>
    <mergeCell ref="A132:B132"/>
    <mergeCell ref="A133:B133"/>
    <mergeCell ref="A134:B134"/>
    <mergeCell ref="A136:B13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LX104857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H28" sqref="H28:K29"/>
    </sheetView>
  </sheetViews>
  <sheetFormatPr defaultRowHeight="15" x14ac:dyDescent="0.25"/>
  <cols>
    <col min="1" max="1" width="36" style="171" bestFit="1" customWidth="1"/>
    <col min="2" max="2" width="5.625" style="171" customWidth="1"/>
    <col min="3" max="16" width="9" style="171"/>
    <col min="17" max="17" width="8.75" style="171" customWidth="1"/>
    <col min="18" max="22" width="9" style="156" customWidth="1"/>
    <col min="23" max="23" width="9.625" style="156" bestFit="1" customWidth="1"/>
    <col min="24" max="24" width="12.25" style="156" customWidth="1"/>
    <col min="25" max="997" width="9" style="156"/>
    <col min="998" max="1012" width="9" style="171"/>
    <col min="16384" max="16384" width="8" customWidth="1"/>
  </cols>
  <sheetData>
    <row r="1" spans="1:999" x14ac:dyDescent="0.25">
      <c r="A1" s="156"/>
      <c r="B1" s="156"/>
      <c r="C1" s="1100" t="s">
        <v>331</v>
      </c>
      <c r="D1" s="1101"/>
      <c r="E1" s="1101"/>
      <c r="F1" s="1101"/>
      <c r="G1" s="1116" t="s">
        <v>332</v>
      </c>
      <c r="H1" s="1116"/>
      <c r="I1" s="1116"/>
      <c r="J1" s="1117" t="s">
        <v>333</v>
      </c>
      <c r="K1" s="1117"/>
      <c r="L1" s="1118"/>
      <c r="M1" s="156"/>
      <c r="N1" s="156"/>
      <c r="O1" s="156"/>
      <c r="P1" s="156"/>
      <c r="Q1" s="156"/>
      <c r="ALJ1"/>
      <c r="ALK1"/>
    </row>
    <row r="2" spans="1:999" ht="55.5" customHeight="1" x14ac:dyDescent="0.25">
      <c r="A2" s="1106" t="s">
        <v>85</v>
      </c>
      <c r="B2" s="1123" t="s">
        <v>80</v>
      </c>
      <c r="C2" s="1108" t="s">
        <v>602</v>
      </c>
      <c r="D2" s="1110" t="s">
        <v>603</v>
      </c>
      <c r="E2" s="1112" t="s">
        <v>604</v>
      </c>
      <c r="F2" s="1114" t="s">
        <v>605</v>
      </c>
      <c r="G2" s="1092" t="s">
        <v>606</v>
      </c>
      <c r="H2" s="1094" t="s">
        <v>621</v>
      </c>
      <c r="I2" s="1096" t="s">
        <v>608</v>
      </c>
      <c r="J2" s="1102" t="s">
        <v>609</v>
      </c>
      <c r="K2" s="1102" t="s">
        <v>610</v>
      </c>
      <c r="L2" s="1129" t="s">
        <v>611</v>
      </c>
      <c r="M2" s="1131" t="s">
        <v>431</v>
      </c>
      <c r="N2" s="1121" t="s">
        <v>432</v>
      </c>
      <c r="O2" s="1105"/>
      <c r="P2" s="1091" t="s">
        <v>433</v>
      </c>
      <c r="Q2" s="1091"/>
      <c r="R2" s="499" t="s">
        <v>434</v>
      </c>
      <c r="S2" s="500" t="s">
        <v>435</v>
      </c>
      <c r="T2" s="501" t="s">
        <v>436</v>
      </c>
      <c r="U2" s="502" t="s">
        <v>437</v>
      </c>
      <c r="ALJ2" s="156"/>
      <c r="ALK2" s="156"/>
    </row>
    <row r="3" spans="1:999" ht="23.25" customHeight="1" x14ac:dyDescent="0.25">
      <c r="A3" s="1133"/>
      <c r="B3" s="1140"/>
      <c r="C3" s="1134"/>
      <c r="D3" s="1135"/>
      <c r="E3" s="1136"/>
      <c r="F3" s="1137"/>
      <c r="G3" s="1138"/>
      <c r="H3" s="1139"/>
      <c r="I3" s="1127"/>
      <c r="J3" s="1128"/>
      <c r="K3" s="1128"/>
      <c r="L3" s="1130"/>
      <c r="M3" s="1132"/>
      <c r="N3" s="642" t="s">
        <v>358</v>
      </c>
      <c r="O3" s="572" t="s">
        <v>359</v>
      </c>
      <c r="P3" s="573" t="s">
        <v>358</v>
      </c>
      <c r="Q3" s="574" t="s">
        <v>359</v>
      </c>
      <c r="R3" s="608" t="s">
        <v>438</v>
      </c>
      <c r="S3" s="609" t="s">
        <v>438</v>
      </c>
      <c r="T3" s="610" t="s">
        <v>439</v>
      </c>
      <c r="U3" s="611" t="s">
        <v>359</v>
      </c>
      <c r="ALJ3" s="156"/>
      <c r="ALK3" s="156"/>
    </row>
    <row r="4" spans="1:999" ht="15" customHeight="1" x14ac:dyDescent="0.25">
      <c r="A4" s="662" t="s">
        <v>88</v>
      </c>
      <c r="B4" s="809">
        <f>'Resumo Proposta'!D38</f>
        <v>0</v>
      </c>
      <c r="C4" s="665">
        <v>1038</v>
      </c>
      <c r="D4" s="666">
        <v>395.4</v>
      </c>
      <c r="E4" s="666"/>
      <c r="F4" s="666">
        <v>81.400000000000006</v>
      </c>
      <c r="G4" s="666">
        <v>766.1</v>
      </c>
      <c r="H4" s="666"/>
      <c r="I4" s="666"/>
      <c r="J4" s="786">
        <v>166.24</v>
      </c>
      <c r="K4" s="786">
        <v>249.36</v>
      </c>
      <c r="L4" s="783">
        <v>415.6</v>
      </c>
      <c r="M4" s="671">
        <f>C4/$C$15+D4/$D$15+E4/$E$15+F4/$F$15+G4/$G$15+H4/$H$15+I4/$I$15+K4/$K$15*16*1/188.76+L4/$L$15*16*1/188.76</f>
        <v>2.5815927244472698</v>
      </c>
      <c r="N4" s="793"/>
      <c r="O4" s="793">
        <v>2</v>
      </c>
      <c r="P4" s="794"/>
      <c r="Q4" s="794"/>
      <c r="R4" s="628">
        <v>6</v>
      </c>
      <c r="S4" s="629">
        <v>6</v>
      </c>
      <c r="T4" s="630">
        <v>22</v>
      </c>
      <c r="U4" s="631">
        <v>1</v>
      </c>
    </row>
    <row r="5" spans="1:999" x14ac:dyDescent="0.25">
      <c r="A5" s="663" t="s">
        <v>91</v>
      </c>
      <c r="B5" s="809">
        <f>'Resumo Proposta'!D39</f>
        <v>0</v>
      </c>
      <c r="C5" s="667">
        <v>545</v>
      </c>
      <c r="D5" s="668">
        <v>1438</v>
      </c>
      <c r="E5" s="668">
        <v>40.4</v>
      </c>
      <c r="F5" s="668">
        <v>74.599999999999994</v>
      </c>
      <c r="G5" s="668">
        <v>483.2</v>
      </c>
      <c r="H5" s="668">
        <v>91</v>
      </c>
      <c r="I5" s="668">
        <v>149</v>
      </c>
      <c r="J5" s="787">
        <v>250</v>
      </c>
      <c r="K5" s="787">
        <v>273</v>
      </c>
      <c r="L5" s="784">
        <v>523</v>
      </c>
      <c r="M5" s="606">
        <f t="shared" ref="M5:M13" si="0">C5/$C$15+D5/$D$15+E5/$E$15+F5/$F$15+G5/$G$15+H5/$H$15+I5/$I$15+K5/$K$15*16*1/188.76+L5/$L$15*16*1/188.76</f>
        <v>2.5724108511690331</v>
      </c>
      <c r="N5" s="795"/>
      <c r="O5" s="795">
        <v>2</v>
      </c>
      <c r="P5" s="796">
        <v>1</v>
      </c>
      <c r="Q5" s="797"/>
      <c r="R5" s="533">
        <v>6</v>
      </c>
      <c r="S5" s="510">
        <v>6</v>
      </c>
      <c r="T5" s="511"/>
      <c r="U5" s="632"/>
    </row>
    <row r="6" spans="1:999" x14ac:dyDescent="0.25">
      <c r="A6" s="663" t="s">
        <v>94</v>
      </c>
      <c r="B6" s="809">
        <f>'Resumo Proposta'!D40</f>
        <v>0</v>
      </c>
      <c r="C6" s="667">
        <v>542</v>
      </c>
      <c r="D6" s="668">
        <v>680</v>
      </c>
      <c r="E6" s="668"/>
      <c r="F6" s="668">
        <v>42.6</v>
      </c>
      <c r="G6" s="668">
        <v>313.39999999999998</v>
      </c>
      <c r="H6" s="668">
        <v>2578.9</v>
      </c>
      <c r="I6" s="668">
        <v>104</v>
      </c>
      <c r="J6" s="787"/>
      <c r="K6" s="787">
        <v>274.5</v>
      </c>
      <c r="L6" s="784">
        <v>274.5</v>
      </c>
      <c r="M6" s="606">
        <f t="shared" si="0"/>
        <v>1.7161843874408422</v>
      </c>
      <c r="N6" s="795"/>
      <c r="O6" s="795">
        <v>2</v>
      </c>
      <c r="P6" s="796"/>
      <c r="Q6" s="797">
        <v>1</v>
      </c>
      <c r="R6" s="533">
        <v>6</v>
      </c>
      <c r="S6" s="510">
        <v>6</v>
      </c>
      <c r="T6" s="511"/>
      <c r="U6" s="632"/>
    </row>
    <row r="7" spans="1:999" x14ac:dyDescent="0.25">
      <c r="A7" s="663" t="s">
        <v>97</v>
      </c>
      <c r="B7" s="809">
        <f>'Resumo Proposta'!D41</f>
        <v>0</v>
      </c>
      <c r="C7" s="667">
        <v>1058</v>
      </c>
      <c r="D7" s="668">
        <v>432.5</v>
      </c>
      <c r="E7" s="668">
        <v>28.5</v>
      </c>
      <c r="F7" s="668">
        <v>57.2</v>
      </c>
      <c r="G7" s="668">
        <v>112.5</v>
      </c>
      <c r="H7" s="668">
        <v>52.5</v>
      </c>
      <c r="I7" s="668">
        <v>210.8</v>
      </c>
      <c r="J7" s="787"/>
      <c r="K7" s="787">
        <v>225</v>
      </c>
      <c r="L7" s="784">
        <v>225</v>
      </c>
      <c r="M7" s="606">
        <f t="shared" si="0"/>
        <v>2.150637248357703</v>
      </c>
      <c r="N7" s="795"/>
      <c r="O7" s="795">
        <v>2</v>
      </c>
      <c r="P7" s="796"/>
      <c r="Q7" s="797">
        <v>2</v>
      </c>
      <c r="R7" s="533">
        <v>6</v>
      </c>
      <c r="S7" s="510">
        <v>6</v>
      </c>
      <c r="T7" s="511"/>
      <c r="U7" s="632"/>
    </row>
    <row r="8" spans="1:999" x14ac:dyDescent="0.25">
      <c r="A8" s="663" t="s">
        <v>100</v>
      </c>
      <c r="B8" s="809">
        <f>'Resumo Proposta'!D42</f>
        <v>0</v>
      </c>
      <c r="C8" s="667">
        <v>790</v>
      </c>
      <c r="D8" s="668">
        <v>765</v>
      </c>
      <c r="E8" s="668">
        <v>24</v>
      </c>
      <c r="F8" s="668">
        <v>44.5</v>
      </c>
      <c r="G8" s="668">
        <v>69.2</v>
      </c>
      <c r="H8" s="668"/>
      <c r="I8" s="668">
        <v>27.5</v>
      </c>
      <c r="J8" s="787">
        <v>36.700000000000003</v>
      </c>
      <c r="K8" s="787">
        <v>173.3</v>
      </c>
      <c r="L8" s="784">
        <v>210</v>
      </c>
      <c r="M8" s="606">
        <f t="shared" si="0"/>
        <v>1.8953275588048317</v>
      </c>
      <c r="N8" s="795"/>
      <c r="O8" s="795">
        <v>2</v>
      </c>
      <c r="P8" s="797">
        <v>1</v>
      </c>
      <c r="Q8" s="796"/>
      <c r="R8" s="533">
        <v>6</v>
      </c>
      <c r="S8" s="510">
        <v>6</v>
      </c>
      <c r="T8" s="511"/>
      <c r="U8" s="632"/>
    </row>
    <row r="9" spans="1:999" x14ac:dyDescent="0.25">
      <c r="A9" s="663" t="s">
        <v>103</v>
      </c>
      <c r="B9" s="809">
        <f>'Resumo Proposta'!D43</f>
        <v>0</v>
      </c>
      <c r="C9" s="667">
        <v>529</v>
      </c>
      <c r="D9" s="668">
        <v>190</v>
      </c>
      <c r="E9" s="668">
        <v>12</v>
      </c>
      <c r="F9" s="668">
        <v>49.2</v>
      </c>
      <c r="G9" s="668">
        <v>21.6</v>
      </c>
      <c r="H9" s="668">
        <v>38.1</v>
      </c>
      <c r="I9" s="668">
        <v>40.1</v>
      </c>
      <c r="J9" s="787">
        <v>56</v>
      </c>
      <c r="K9" s="787">
        <v>56</v>
      </c>
      <c r="L9" s="784">
        <v>112</v>
      </c>
      <c r="M9" s="606">
        <f t="shared" si="0"/>
        <v>1.1124486838313203</v>
      </c>
      <c r="N9" s="795">
        <v>1</v>
      </c>
      <c r="O9" s="795">
        <v>1</v>
      </c>
      <c r="P9" s="797">
        <v>1</v>
      </c>
      <c r="Q9" s="796"/>
      <c r="R9" s="533">
        <v>6</v>
      </c>
      <c r="S9" s="510">
        <v>6</v>
      </c>
      <c r="T9" s="511"/>
      <c r="U9" s="632"/>
    </row>
    <row r="10" spans="1:999" x14ac:dyDescent="0.25">
      <c r="A10" s="663" t="s">
        <v>106</v>
      </c>
      <c r="B10" s="809">
        <f>'Resumo Proposta'!D44</f>
        <v>0</v>
      </c>
      <c r="C10" s="667">
        <v>318.3</v>
      </c>
      <c r="D10" s="668">
        <v>33.200000000000003</v>
      </c>
      <c r="E10" s="668">
        <v>11.7</v>
      </c>
      <c r="F10" s="668">
        <v>7.93</v>
      </c>
      <c r="G10" s="668"/>
      <c r="H10" s="668"/>
      <c r="I10" s="668"/>
      <c r="J10" s="787"/>
      <c r="K10" s="787">
        <v>127.7</v>
      </c>
      <c r="L10" s="784">
        <v>127.7</v>
      </c>
      <c r="M10" s="606">
        <f t="shared" si="0"/>
        <v>0.5435205145864237</v>
      </c>
      <c r="N10" s="795">
        <v>1</v>
      </c>
      <c r="O10" s="795"/>
      <c r="P10" s="796"/>
      <c r="Q10" s="796"/>
      <c r="R10" s="533">
        <v>6</v>
      </c>
      <c r="S10" s="510">
        <v>6</v>
      </c>
      <c r="T10" s="511"/>
      <c r="U10" s="632"/>
    </row>
    <row r="11" spans="1:999" x14ac:dyDescent="0.25">
      <c r="A11" s="663" t="s">
        <v>109</v>
      </c>
      <c r="B11" s="809">
        <f>'Resumo Proposta'!D45</f>
        <v>0</v>
      </c>
      <c r="C11" s="667"/>
      <c r="D11" s="668">
        <f>360+310</f>
        <v>670</v>
      </c>
      <c r="E11" s="668">
        <v>24.2</v>
      </c>
      <c r="F11" s="668">
        <v>62.5</v>
      </c>
      <c r="G11" s="668">
        <v>463</v>
      </c>
      <c r="H11" s="668">
        <v>62.7</v>
      </c>
      <c r="I11" s="668">
        <v>63.5</v>
      </c>
      <c r="J11" s="787"/>
      <c r="K11" s="787">
        <v>214.2</v>
      </c>
      <c r="L11" s="784">
        <v>214.2</v>
      </c>
      <c r="M11" s="606">
        <f t="shared" si="0"/>
        <v>1.1728418159920888</v>
      </c>
      <c r="N11" s="795"/>
      <c r="O11" s="795">
        <v>1</v>
      </c>
      <c r="P11" s="796"/>
      <c r="Q11" s="796"/>
      <c r="R11" s="533">
        <v>6</v>
      </c>
      <c r="S11" s="510">
        <v>6</v>
      </c>
      <c r="T11" s="511"/>
      <c r="U11" s="632"/>
    </row>
    <row r="12" spans="1:999" x14ac:dyDescent="0.25">
      <c r="A12" s="663" t="s">
        <v>112</v>
      </c>
      <c r="B12" s="809">
        <f>'Resumo Proposta'!D46</f>
        <v>0</v>
      </c>
      <c r="C12" s="667">
        <v>800</v>
      </c>
      <c r="D12" s="668"/>
      <c r="E12" s="668"/>
      <c r="F12" s="668"/>
      <c r="G12" s="668"/>
      <c r="H12" s="668"/>
      <c r="I12" s="668"/>
      <c r="J12" s="788"/>
      <c r="K12" s="787"/>
      <c r="L12" s="784"/>
      <c r="M12" s="606">
        <f t="shared" si="0"/>
        <v>1</v>
      </c>
      <c r="N12" s="795">
        <v>1</v>
      </c>
      <c r="O12" s="795"/>
      <c r="P12" s="796"/>
      <c r="Q12" s="796"/>
      <c r="R12" s="533">
        <v>6</v>
      </c>
      <c r="S12" s="510">
        <v>6</v>
      </c>
      <c r="T12" s="511"/>
      <c r="U12" s="632"/>
    </row>
    <row r="13" spans="1:999" x14ac:dyDescent="0.25">
      <c r="A13" s="664" t="s">
        <v>115</v>
      </c>
      <c r="B13" s="809">
        <f>'Resumo Proposta'!D47</f>
        <v>0</v>
      </c>
      <c r="C13" s="669">
        <v>234.1</v>
      </c>
      <c r="D13" s="670">
        <v>16.8</v>
      </c>
      <c r="E13" s="670">
        <v>9.35</v>
      </c>
      <c r="F13" s="670">
        <v>32.200000000000003</v>
      </c>
      <c r="G13" s="670">
        <v>392.4</v>
      </c>
      <c r="H13" s="670">
        <v>467.2</v>
      </c>
      <c r="I13" s="670">
        <v>203.4</v>
      </c>
      <c r="J13" s="789" t="s">
        <v>622</v>
      </c>
      <c r="K13" s="790">
        <v>75.36</v>
      </c>
      <c r="L13" s="785">
        <v>170.72</v>
      </c>
      <c r="M13" s="606">
        <f t="shared" si="0"/>
        <v>0.80027585498340048</v>
      </c>
      <c r="N13" s="795"/>
      <c r="O13" s="795">
        <v>1</v>
      </c>
      <c r="P13" s="796"/>
      <c r="Q13" s="796"/>
      <c r="R13" s="533">
        <v>6</v>
      </c>
      <c r="S13" s="510">
        <v>6</v>
      </c>
      <c r="T13" s="511"/>
      <c r="U13" s="632"/>
    </row>
    <row r="14" spans="1:999" x14ac:dyDescent="0.25">
      <c r="A14" s="612" t="s">
        <v>440</v>
      </c>
      <c r="B14" s="612"/>
      <c r="C14" s="613">
        <f t="shared" ref="C14:U14" si="1">SUM(C4:C13)</f>
        <v>5854.4000000000005</v>
      </c>
      <c r="D14" s="614">
        <f t="shared" si="1"/>
        <v>4620.9000000000005</v>
      </c>
      <c r="E14" s="614">
        <f t="shared" si="1"/>
        <v>150.15</v>
      </c>
      <c r="F14" s="614">
        <f t="shared" si="1"/>
        <v>452.13</v>
      </c>
      <c r="G14" s="614">
        <f t="shared" si="1"/>
        <v>2621.4</v>
      </c>
      <c r="H14" s="614">
        <f t="shared" si="1"/>
        <v>3290.3999999999996</v>
      </c>
      <c r="I14" s="614">
        <f t="shared" si="1"/>
        <v>798.3</v>
      </c>
      <c r="J14" s="614">
        <f t="shared" si="1"/>
        <v>508.94</v>
      </c>
      <c r="K14" s="614">
        <f t="shared" si="1"/>
        <v>1668.42</v>
      </c>
      <c r="L14" s="615">
        <f t="shared" si="1"/>
        <v>2272.7199999999998</v>
      </c>
      <c r="M14" s="616">
        <f t="shared" si="1"/>
        <v>15.545239639612914</v>
      </c>
      <c r="N14" s="617">
        <f t="shared" si="1"/>
        <v>3</v>
      </c>
      <c r="O14" s="618">
        <f t="shared" si="1"/>
        <v>13</v>
      </c>
      <c r="P14" s="619">
        <f t="shared" si="1"/>
        <v>3</v>
      </c>
      <c r="Q14" s="619">
        <f t="shared" si="1"/>
        <v>3</v>
      </c>
      <c r="R14" s="620">
        <f t="shared" si="1"/>
        <v>60</v>
      </c>
      <c r="S14" s="621">
        <f t="shared" si="1"/>
        <v>60</v>
      </c>
      <c r="T14" s="622">
        <f t="shared" si="1"/>
        <v>22</v>
      </c>
      <c r="U14" s="623">
        <f t="shared" si="1"/>
        <v>1</v>
      </c>
      <c r="W14" s="643"/>
      <c r="X14" s="643"/>
    </row>
    <row r="15" spans="1:999" x14ac:dyDescent="0.25">
      <c r="A15" s="575" t="s">
        <v>441</v>
      </c>
      <c r="B15" s="575"/>
      <c r="C15" s="576">
        <v>800</v>
      </c>
      <c r="D15" s="577">
        <v>1500</v>
      </c>
      <c r="E15" s="577">
        <v>1000</v>
      </c>
      <c r="F15" s="577">
        <v>200</v>
      </c>
      <c r="G15" s="577">
        <v>1800</v>
      </c>
      <c r="H15" s="577">
        <v>100000</v>
      </c>
      <c r="I15" s="577">
        <v>6000</v>
      </c>
      <c r="J15" s="577">
        <v>160</v>
      </c>
      <c r="K15" s="577">
        <v>300</v>
      </c>
      <c r="L15" s="578">
        <v>300</v>
      </c>
      <c r="M15" s="579"/>
      <c r="N15" s="185" t="s">
        <v>623</v>
      </c>
      <c r="O15" s="170">
        <f>N14+O14</f>
        <v>16</v>
      </c>
      <c r="P15" s="170"/>
      <c r="Q15" s="170"/>
    </row>
    <row r="16" spans="1:999" x14ac:dyDescent="0.25">
      <c r="A16" s="580" t="s">
        <v>443</v>
      </c>
      <c r="B16" s="580"/>
      <c r="C16" s="581">
        <f t="shared" ref="C16:I16" si="2">C14/C15</f>
        <v>7.3180000000000005</v>
      </c>
      <c r="D16" s="582">
        <f t="shared" si="2"/>
        <v>3.0806000000000004</v>
      </c>
      <c r="E16" s="582">
        <f t="shared" si="2"/>
        <v>0.15015000000000001</v>
      </c>
      <c r="F16" s="582">
        <f t="shared" si="2"/>
        <v>2.26065</v>
      </c>
      <c r="G16" s="582">
        <f t="shared" si="2"/>
        <v>1.4563333333333335</v>
      </c>
      <c r="H16" s="582">
        <f t="shared" si="2"/>
        <v>3.2903999999999996E-2</v>
      </c>
      <c r="I16" s="582">
        <f t="shared" si="2"/>
        <v>0.13305</v>
      </c>
      <c r="J16" s="582">
        <f>1/J15*8*1/1132.6*J14</f>
        <v>2.2467773265053861E-2</v>
      </c>
      <c r="K16" s="582">
        <f>1/K15*16*1/188.76*K14</f>
        <v>0.471404958677686</v>
      </c>
      <c r="L16" s="583">
        <f>1/L15*16*1/188.76*L14</f>
        <v>0.64214734760189307</v>
      </c>
      <c r="M16" s="579">
        <f>SUM(C16:L16)-J16</f>
        <v>15.545239639612916</v>
      </c>
      <c r="N16" s="170" t="s">
        <v>613</v>
      </c>
      <c r="O16" s="170">
        <f>O14+(N14*0.7)</f>
        <v>15.1</v>
      </c>
      <c r="P16" s="170"/>
      <c r="Q16" s="170"/>
    </row>
    <row r="17" spans="1:17" x14ac:dyDescent="0.25">
      <c r="A17" s="584" t="s">
        <v>445</v>
      </c>
      <c r="B17" s="584"/>
      <c r="C17" s="585">
        <f>C14/($M$14*C15)</f>
        <v>0.47075504589533773</v>
      </c>
      <c r="D17" s="585">
        <f t="shared" ref="D17:I17" si="3">D14/($M$14*D15)</f>
        <v>0.19816999103377664</v>
      </c>
      <c r="E17" s="585">
        <f t="shared" si="3"/>
        <v>9.6589054579372721E-3</v>
      </c>
      <c r="F17" s="585">
        <f t="shared" si="3"/>
        <v>0.14542394021635627</v>
      </c>
      <c r="G17" s="585">
        <f t="shared" si="3"/>
        <v>9.3683556323072348E-2</v>
      </c>
      <c r="H17" s="585">
        <f t="shared" si="3"/>
        <v>2.1166608404127071E-3</v>
      </c>
      <c r="I17" s="585">
        <f t="shared" si="3"/>
        <v>8.5588902509394198E-3</v>
      </c>
      <c r="J17" s="586">
        <f>J16/4</f>
        <v>5.6169433162634652E-3</v>
      </c>
      <c r="K17" s="586">
        <f>1/M14*1/K15*16*1/188.76*K14</f>
        <v>3.0324714806996965E-2</v>
      </c>
      <c r="L17" s="587">
        <f>1/M14*1/L15*16*1/188.76*L14</f>
        <v>4.1308295175170602E-2</v>
      </c>
      <c r="M17" s="588">
        <f>SUM(C17:L17)-J17</f>
        <v>0.99999999999999989</v>
      </c>
      <c r="N17" s="170"/>
      <c r="O17" s="170"/>
      <c r="P17" s="170"/>
      <c r="Q17" s="170"/>
    </row>
    <row r="18" spans="1:17" x14ac:dyDescent="0.25">
      <c r="C18" s="756" t="s">
        <v>446</v>
      </c>
      <c r="D18" s="757" t="s">
        <v>447</v>
      </c>
      <c r="E18" s="757" t="s">
        <v>448</v>
      </c>
      <c r="F18" s="757" t="s">
        <v>449</v>
      </c>
      <c r="G18" s="758" t="s">
        <v>450</v>
      </c>
      <c r="H18" s="759">
        <v>100000</v>
      </c>
      <c r="I18" s="758" t="s">
        <v>451</v>
      </c>
      <c r="J18" s="758" t="s">
        <v>452</v>
      </c>
      <c r="K18" s="760" t="s">
        <v>453</v>
      </c>
      <c r="L18" s="761" t="s">
        <v>453</v>
      </c>
    </row>
    <row r="19" spans="1:17" x14ac:dyDescent="0.25">
      <c r="O19" s="792"/>
    </row>
    <row r="20" spans="1:17" ht="13.9" customHeight="1" x14ac:dyDescent="0.25"/>
    <row r="21" spans="1:17" ht="13.9" customHeight="1" x14ac:dyDescent="0.25"/>
    <row r="22" spans="1:17" ht="13.9" customHeight="1" x14ac:dyDescent="0.25">
      <c r="I22" s="92"/>
      <c r="J22" s="92"/>
      <c r="K22" s="92"/>
      <c r="L22" s="92"/>
      <c r="M22" s="92"/>
      <c r="N22" s="92"/>
      <c r="O22" s="92"/>
      <c r="P22" s="92"/>
      <c r="Q22" s="92"/>
    </row>
    <row r="23" spans="1:17" ht="13.9" customHeight="1" x14ac:dyDescent="0.25">
      <c r="I23" s="92"/>
      <c r="J23" s="92"/>
      <c r="K23" s="92"/>
      <c r="L23" s="92"/>
      <c r="M23" s="92"/>
      <c r="N23" s="92"/>
      <c r="O23" s="92"/>
      <c r="P23" s="92"/>
      <c r="Q23" s="92"/>
    </row>
    <row r="24" spans="1:17" ht="13.9" customHeight="1" x14ac:dyDescent="0.25">
      <c r="I24" s="92"/>
      <c r="J24" s="92"/>
      <c r="K24" s="92"/>
      <c r="L24" s="92"/>
      <c r="M24" s="92"/>
      <c r="N24" s="92"/>
      <c r="O24" s="92"/>
      <c r="P24" s="92"/>
      <c r="Q24" s="92"/>
    </row>
    <row r="25" spans="1:17" ht="13.9" customHeight="1" x14ac:dyDescent="0.25">
      <c r="I25" s="92"/>
      <c r="J25" s="92"/>
      <c r="K25" s="92"/>
      <c r="L25" s="92"/>
      <c r="M25" s="92"/>
      <c r="N25" s="92"/>
      <c r="O25" s="92"/>
      <c r="P25" s="92"/>
      <c r="Q25" s="92"/>
    </row>
    <row r="26" spans="1:17" ht="13.9" customHeight="1" x14ac:dyDescent="0.25">
      <c r="I26" s="92"/>
      <c r="J26" s="92"/>
      <c r="K26" s="92"/>
      <c r="L26" s="92"/>
      <c r="M26" s="92"/>
      <c r="N26" s="92"/>
      <c r="O26" s="92"/>
      <c r="P26" s="92"/>
      <c r="Q26" s="92"/>
    </row>
    <row r="27" spans="1:17" ht="13.9" customHeight="1" x14ac:dyDescent="0.25">
      <c r="H27"/>
      <c r="I27"/>
      <c r="J27"/>
      <c r="K27"/>
      <c r="L27"/>
      <c r="M27"/>
      <c r="N27"/>
      <c r="O27"/>
      <c r="P27"/>
      <c r="Q27"/>
    </row>
    <row r="28" spans="1:17" ht="13.9" customHeight="1" x14ac:dyDescent="0.25"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3.9" customHeight="1" x14ac:dyDescent="0.25"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64" spans="5:5" x14ac:dyDescent="0.25">
      <c r="E64" s="171" t="s">
        <v>615</v>
      </c>
    </row>
    <row r="1048576" ht="15" customHeight="1" x14ac:dyDescent="0.25"/>
  </sheetData>
  <mergeCells count="18">
    <mergeCell ref="C1:F1"/>
    <mergeCell ref="G1:I1"/>
    <mergeCell ref="J1:L1"/>
    <mergeCell ref="A2:A3"/>
    <mergeCell ref="C2:C3"/>
    <mergeCell ref="D2:D3"/>
    <mergeCell ref="E2:E3"/>
    <mergeCell ref="F2:F3"/>
    <mergeCell ref="G2:G3"/>
    <mergeCell ref="H2:H3"/>
    <mergeCell ref="B2:B3"/>
    <mergeCell ref="P2:Q2"/>
    <mergeCell ref="I2:I3"/>
    <mergeCell ref="J2:J3"/>
    <mergeCell ref="K2:K3"/>
    <mergeCell ref="L2:L3"/>
    <mergeCell ref="M2:M3"/>
    <mergeCell ref="N2:O2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MI199"/>
  <sheetViews>
    <sheetView topLeftCell="A130" zoomScale="80" zoomScaleNormal="80" workbookViewId="0">
      <selection activeCell="H140" sqref="H140:H141"/>
    </sheetView>
  </sheetViews>
  <sheetFormatPr defaultRowHeight="14.25" x14ac:dyDescent="0.2"/>
  <cols>
    <col min="1" max="1" width="52.375" style="92" customWidth="1"/>
    <col min="2" max="2" width="21.375" style="92" bestFit="1" customWidth="1"/>
    <col min="3" max="4" width="10.75" style="92" bestFit="1" customWidth="1"/>
    <col min="5" max="5" width="16.75" style="92" customWidth="1"/>
    <col min="6" max="6" width="10.75" style="92" customWidth="1"/>
    <col min="7" max="1023" width="9" style="92"/>
  </cols>
  <sheetData>
    <row r="1" spans="1:6" ht="15.75" x14ac:dyDescent="0.2">
      <c r="A1" s="1042" t="s">
        <v>454</v>
      </c>
      <c r="B1" s="1042"/>
      <c r="C1" s="1042"/>
      <c r="D1" s="1042"/>
      <c r="E1" s="1042"/>
      <c r="F1" s="1042"/>
    </row>
    <row r="2" spans="1:6" ht="15.75" x14ac:dyDescent="0.2">
      <c r="A2" s="1043" t="s">
        <v>455</v>
      </c>
      <c r="B2" s="1043"/>
      <c r="C2" s="1043"/>
      <c r="D2" s="1043"/>
      <c r="E2" s="1043"/>
      <c r="F2" s="1043"/>
    </row>
    <row r="3" spans="1:6" ht="15.75" customHeight="1" x14ac:dyDescent="0.2">
      <c r="A3" s="1043" t="s">
        <v>456</v>
      </c>
      <c r="B3" s="1043"/>
      <c r="C3" s="1043"/>
      <c r="D3" s="1043"/>
      <c r="E3" s="1043"/>
      <c r="F3" s="1043"/>
    </row>
    <row r="4" spans="1:6" ht="15.75" x14ac:dyDescent="0.2">
      <c r="A4" s="93"/>
      <c r="B4" s="94"/>
      <c r="C4" s="467" t="s">
        <v>457</v>
      </c>
      <c r="D4" s="468" t="s">
        <v>458</v>
      </c>
      <c r="E4" s="468" t="s">
        <v>459</v>
      </c>
      <c r="F4" s="539" t="s">
        <v>460</v>
      </c>
    </row>
    <row r="5" spans="1:6" x14ac:dyDescent="0.2">
      <c r="A5" s="96"/>
      <c r="B5" s="97" t="s">
        <v>461</v>
      </c>
      <c r="C5" s="469">
        <f>MC!C11</f>
        <v>0</v>
      </c>
      <c r="D5" s="470">
        <f>MC!E11</f>
        <v>0</v>
      </c>
      <c r="E5" s="470">
        <f>MC!C14</f>
        <v>0</v>
      </c>
      <c r="F5" s="540">
        <f>MC!C12</f>
        <v>0</v>
      </c>
    </row>
    <row r="6" spans="1:6" x14ac:dyDescent="0.2">
      <c r="A6" s="96"/>
      <c r="B6" s="97" t="s">
        <v>462</v>
      </c>
      <c r="C6" s="471">
        <v>44562</v>
      </c>
      <c r="D6" s="472">
        <v>44562</v>
      </c>
      <c r="E6" s="472">
        <v>44562</v>
      </c>
      <c r="F6" s="541">
        <f>MC!D8</f>
        <v>0</v>
      </c>
    </row>
    <row r="7" spans="1:6" x14ac:dyDescent="0.2">
      <c r="A7" s="96"/>
      <c r="B7" s="97" t="s">
        <v>463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464</v>
      </c>
      <c r="C8" s="476" t="s">
        <v>10</v>
      </c>
      <c r="D8" s="477" t="s">
        <v>10</v>
      </c>
      <c r="E8" s="477" t="s">
        <v>10</v>
      </c>
      <c r="F8" s="542">
        <f>MC!E8</f>
        <v>0</v>
      </c>
    </row>
    <row r="9" spans="1:6" x14ac:dyDescent="0.2">
      <c r="A9" s="1044"/>
      <c r="B9" s="1044"/>
      <c r="C9" s="1044"/>
      <c r="D9" s="1044"/>
      <c r="E9" s="1044"/>
      <c r="F9" s="1044"/>
    </row>
    <row r="10" spans="1:6" ht="66.75" customHeight="1" x14ac:dyDescent="0.2">
      <c r="A10" s="187" t="s">
        <v>465</v>
      </c>
      <c r="B10" s="188" t="s">
        <v>466</v>
      </c>
      <c r="C10" s="188" t="s">
        <v>467</v>
      </c>
      <c r="D10" s="254" t="s">
        <v>458</v>
      </c>
      <c r="E10" s="188" t="s">
        <v>459</v>
      </c>
      <c r="F10" s="188" t="s">
        <v>468</v>
      </c>
    </row>
    <row r="11" spans="1:6" ht="14.25" customHeight="1" x14ac:dyDescent="0.2">
      <c r="A11" s="321" t="s">
        <v>469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470</v>
      </c>
      <c r="B12" s="102" t="s">
        <v>471</v>
      </c>
      <c r="C12" s="102" t="s">
        <v>472</v>
      </c>
      <c r="D12" s="102" t="s">
        <v>472</v>
      </c>
      <c r="E12" s="189"/>
      <c r="F12" s="103" t="s">
        <v>472</v>
      </c>
    </row>
    <row r="13" spans="1:6" ht="15.75" customHeight="1" x14ac:dyDescent="0.2">
      <c r="A13" s="104" t="s">
        <v>473</v>
      </c>
      <c r="B13" s="105"/>
      <c r="C13" s="106">
        <f>C5</f>
        <v>0</v>
      </c>
      <c r="D13" s="190">
        <f>D5</f>
        <v>0</v>
      </c>
      <c r="E13" s="190">
        <f>E5</f>
        <v>0</v>
      </c>
      <c r="F13" s="107">
        <f>F5</f>
        <v>0</v>
      </c>
    </row>
    <row r="14" spans="1:6" ht="15.75" customHeight="1" x14ac:dyDescent="0.2">
      <c r="A14" s="104" t="s">
        <v>474</v>
      </c>
      <c r="B14" s="108">
        <v>0.2</v>
      </c>
      <c r="C14" s="106">
        <f>C13*$B$14</f>
        <v>0</v>
      </c>
      <c r="D14" s="106">
        <f>D13*$B$14</f>
        <v>0</v>
      </c>
      <c r="E14" s="106"/>
      <c r="F14" s="107">
        <f>F13*$B$14</f>
        <v>0</v>
      </c>
    </row>
    <row r="15" spans="1:6" ht="15.75" customHeight="1" x14ac:dyDescent="0.2">
      <c r="A15" s="104" t="s">
        <v>475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476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477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478</v>
      </c>
      <c r="B18" s="108">
        <v>0.3</v>
      </c>
      <c r="C18" s="106"/>
      <c r="D18" s="106"/>
      <c r="E18" s="190">
        <f>E13*B18</f>
        <v>0</v>
      </c>
      <c r="F18" s="107"/>
    </row>
    <row r="19" spans="1:6" ht="15.75" customHeight="1" x14ac:dyDescent="0.2">
      <c r="A19" s="111" t="s">
        <v>479</v>
      </c>
      <c r="B19" s="112"/>
      <c r="C19" s="121">
        <f>SUM(C13:C18)</f>
        <v>0</v>
      </c>
      <c r="D19" s="191">
        <f>SUM(D13:D18)</f>
        <v>0</v>
      </c>
      <c r="E19" s="191">
        <f>SUM(E13:E18)</f>
        <v>0</v>
      </c>
      <c r="F19" s="122">
        <f>SUM(F13:F18)</f>
        <v>0</v>
      </c>
    </row>
    <row r="20" spans="1:6" ht="15.75" customHeight="1" x14ac:dyDescent="0.2">
      <c r="A20" s="1045"/>
      <c r="B20" s="1045"/>
      <c r="C20" s="114"/>
      <c r="D20" s="192"/>
      <c r="E20" s="192"/>
      <c r="F20" s="115"/>
    </row>
    <row r="21" spans="1:6" ht="14.25" customHeight="1" x14ac:dyDescent="0.2">
      <c r="A21" s="1046" t="s">
        <v>480</v>
      </c>
      <c r="B21" s="1046"/>
      <c r="C21" s="1046"/>
      <c r="D21" s="1046"/>
      <c r="E21" s="1046"/>
      <c r="F21" s="1046"/>
    </row>
    <row r="22" spans="1:6" ht="28.35" customHeight="1" x14ac:dyDescent="0.2">
      <c r="A22" s="116" t="s">
        <v>481</v>
      </c>
      <c r="B22" s="117" t="s">
        <v>471</v>
      </c>
      <c r="C22" s="117" t="s">
        <v>472</v>
      </c>
      <c r="D22" s="117" t="s">
        <v>472</v>
      </c>
      <c r="E22" s="117" t="s">
        <v>472</v>
      </c>
      <c r="F22" s="118" t="s">
        <v>472</v>
      </c>
    </row>
    <row r="23" spans="1:6" ht="15.75" customHeight="1" x14ac:dyDescent="0.2">
      <c r="A23" s="119" t="s">
        <v>482</v>
      </c>
      <c r="B23" s="108">
        <f>1/12</f>
        <v>8.3333333333333329E-2</v>
      </c>
      <c r="C23" s="106">
        <f>ROUND($B23*C$19,2)</f>
        <v>0</v>
      </c>
      <c r="D23" s="106">
        <f>ROUND($B23*D$19,2)</f>
        <v>0</v>
      </c>
      <c r="E23" s="106">
        <f>ROUND($B23*E$19,2)</f>
        <v>0</v>
      </c>
      <c r="F23" s="107">
        <f>ROUND($B23*F$19,2)</f>
        <v>0</v>
      </c>
    </row>
    <row r="24" spans="1:6" x14ac:dyDescent="0.2">
      <c r="A24" s="119" t="s">
        <v>483</v>
      </c>
      <c r="B24" s="108">
        <f>1/3*1/12</f>
        <v>2.7777777777777776E-2</v>
      </c>
      <c r="C24" s="106">
        <f>C$19*$B$24</f>
        <v>0</v>
      </c>
      <c r="D24" s="106">
        <f>D$19*$B$24</f>
        <v>0</v>
      </c>
      <c r="E24" s="106">
        <f>E$19*$B$24</f>
        <v>0</v>
      </c>
      <c r="F24" s="107">
        <f>F$19*$B$24</f>
        <v>0</v>
      </c>
    </row>
    <row r="25" spans="1:6" ht="14.25" customHeight="1" x14ac:dyDescent="0.2">
      <c r="A25" s="111" t="s">
        <v>479</v>
      </c>
      <c r="B25" s="120">
        <f>SUM(B23:B24)</f>
        <v>0.1111111111111111</v>
      </c>
      <c r="C25" s="121">
        <f>SUM(C23:C24)</f>
        <v>0</v>
      </c>
      <c r="D25" s="121">
        <f>SUM(D23:D24)</f>
        <v>0</v>
      </c>
      <c r="E25" s="121">
        <f>SUM(E23:E24)</f>
        <v>0</v>
      </c>
      <c r="F25" s="122">
        <f>SUM(F23:F24)</f>
        <v>0</v>
      </c>
    </row>
    <row r="26" spans="1:6" x14ac:dyDescent="0.2">
      <c r="A26" s="116" t="s">
        <v>484</v>
      </c>
      <c r="B26" s="117" t="s">
        <v>471</v>
      </c>
      <c r="C26" s="117" t="s">
        <v>472</v>
      </c>
      <c r="D26" s="117" t="s">
        <v>472</v>
      </c>
      <c r="E26" s="117" t="s">
        <v>472</v>
      </c>
      <c r="F26" s="118" t="s">
        <v>472</v>
      </c>
    </row>
    <row r="27" spans="1:6" ht="15.75" customHeight="1" x14ac:dyDescent="0.2">
      <c r="A27" s="116" t="s">
        <v>485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486</v>
      </c>
      <c r="B28" s="108">
        <v>0.2</v>
      </c>
      <c r="C28" s="125">
        <f t="shared" ref="C28:C35" si="0">ROUND(($C$19+$C$25)*B28,2)</f>
        <v>0</v>
      </c>
      <c r="D28" s="125">
        <f t="shared" ref="D28:D35" si="1">ROUND(($D$19+$D$25)*B28,2)</f>
        <v>0</v>
      </c>
      <c r="E28" s="125">
        <f t="shared" ref="E28:E35" si="2">ROUND(($E$19+$E$25)*B28,2)</f>
        <v>0</v>
      </c>
      <c r="F28" s="126">
        <f t="shared" ref="F28:F35" si="3">ROUND(($F$19+$F$25)*B28,2)</f>
        <v>0</v>
      </c>
    </row>
    <row r="29" spans="1:6" ht="15.75" customHeight="1" x14ac:dyDescent="0.2">
      <c r="A29" s="119" t="s">
        <v>487</v>
      </c>
      <c r="B29" s="108">
        <v>2.5000000000000001E-2</v>
      </c>
      <c r="C29" s="125">
        <f t="shared" si="0"/>
        <v>0</v>
      </c>
      <c r="D29" s="125">
        <f t="shared" si="1"/>
        <v>0</v>
      </c>
      <c r="E29" s="125">
        <f t="shared" si="2"/>
        <v>0</v>
      </c>
      <c r="F29" s="126">
        <f t="shared" si="3"/>
        <v>0</v>
      </c>
    </row>
    <row r="30" spans="1:6" ht="15.75" customHeight="1" x14ac:dyDescent="0.2">
      <c r="A30" s="119" t="s">
        <v>488</v>
      </c>
      <c r="B30" s="108">
        <v>0.03</v>
      </c>
      <c r="C30" s="125">
        <f t="shared" si="0"/>
        <v>0</v>
      </c>
      <c r="D30" s="125">
        <f t="shared" si="1"/>
        <v>0</v>
      </c>
      <c r="E30" s="125">
        <f t="shared" si="2"/>
        <v>0</v>
      </c>
      <c r="F30" s="126">
        <f t="shared" si="3"/>
        <v>0</v>
      </c>
    </row>
    <row r="31" spans="1:6" ht="15.75" customHeight="1" x14ac:dyDescent="0.2">
      <c r="A31" s="119" t="s">
        <v>489</v>
      </c>
      <c r="B31" s="108">
        <v>1.4999999999999999E-2</v>
      </c>
      <c r="C31" s="125">
        <f t="shared" si="0"/>
        <v>0</v>
      </c>
      <c r="D31" s="125">
        <f t="shared" si="1"/>
        <v>0</v>
      </c>
      <c r="E31" s="125">
        <f t="shared" si="2"/>
        <v>0</v>
      </c>
      <c r="F31" s="126">
        <f t="shared" si="3"/>
        <v>0</v>
      </c>
    </row>
    <row r="32" spans="1:6" ht="15.75" customHeight="1" x14ac:dyDescent="0.2">
      <c r="A32" s="119" t="s">
        <v>490</v>
      </c>
      <c r="B32" s="108">
        <v>0.01</v>
      </c>
      <c r="C32" s="125">
        <f t="shared" si="0"/>
        <v>0</v>
      </c>
      <c r="D32" s="125">
        <f t="shared" si="1"/>
        <v>0</v>
      </c>
      <c r="E32" s="125">
        <f t="shared" si="2"/>
        <v>0</v>
      </c>
      <c r="F32" s="126">
        <f t="shared" si="3"/>
        <v>0</v>
      </c>
    </row>
    <row r="33" spans="1:6" ht="15.75" customHeight="1" x14ac:dyDescent="0.2">
      <c r="A33" s="119" t="s">
        <v>491</v>
      </c>
      <c r="B33" s="108">
        <v>6.0000000000000001E-3</v>
      </c>
      <c r="C33" s="125">
        <f t="shared" si="0"/>
        <v>0</v>
      </c>
      <c r="D33" s="125">
        <f t="shared" si="1"/>
        <v>0</v>
      </c>
      <c r="E33" s="125">
        <f t="shared" si="2"/>
        <v>0</v>
      </c>
      <c r="F33" s="126">
        <f t="shared" si="3"/>
        <v>0</v>
      </c>
    </row>
    <row r="34" spans="1:6" ht="15.75" customHeight="1" x14ac:dyDescent="0.2">
      <c r="A34" s="119" t="s">
        <v>492</v>
      </c>
      <c r="B34" s="108">
        <v>2E-3</v>
      </c>
      <c r="C34" s="125">
        <f t="shared" si="0"/>
        <v>0</v>
      </c>
      <c r="D34" s="125">
        <f t="shared" si="1"/>
        <v>0</v>
      </c>
      <c r="E34" s="125">
        <f t="shared" si="2"/>
        <v>0</v>
      </c>
      <c r="F34" s="126">
        <f t="shared" si="3"/>
        <v>0</v>
      </c>
    </row>
    <row r="35" spans="1:6" ht="15.75" customHeight="1" x14ac:dyDescent="0.2">
      <c r="A35" s="119" t="s">
        <v>493</v>
      </c>
      <c r="B35" s="108">
        <v>0.08</v>
      </c>
      <c r="C35" s="125">
        <f t="shared" si="0"/>
        <v>0</v>
      </c>
      <c r="D35" s="125">
        <f t="shared" si="1"/>
        <v>0</v>
      </c>
      <c r="E35" s="125">
        <f t="shared" si="2"/>
        <v>0</v>
      </c>
      <c r="F35" s="126">
        <f t="shared" si="3"/>
        <v>0</v>
      </c>
    </row>
    <row r="36" spans="1:6" ht="15.75" customHeight="1" x14ac:dyDescent="0.2">
      <c r="A36" s="111" t="s">
        <v>479</v>
      </c>
      <c r="B36" s="120">
        <f>SUM(B28:B35)</f>
        <v>0.36800000000000005</v>
      </c>
      <c r="C36" s="121">
        <f>SUM(C27:C35)</f>
        <v>0</v>
      </c>
      <c r="D36" s="121">
        <f>SUM(D27:D35)</f>
        <v>0</v>
      </c>
      <c r="E36" s="191">
        <f>SUM(E28:E35)</f>
        <v>0</v>
      </c>
      <c r="F36" s="122">
        <f>SUM(F27:F35)</f>
        <v>0</v>
      </c>
    </row>
    <row r="37" spans="1:6" ht="15.75" customHeight="1" x14ac:dyDescent="0.2">
      <c r="A37" s="116" t="s">
        <v>494</v>
      </c>
      <c r="B37" s="117" t="s">
        <v>495</v>
      </c>
      <c r="C37" s="117" t="s">
        <v>472</v>
      </c>
      <c r="D37" s="117" t="s">
        <v>472</v>
      </c>
      <c r="E37" s="117" t="s">
        <v>472</v>
      </c>
      <c r="F37" s="118" t="s">
        <v>472</v>
      </c>
    </row>
    <row r="38" spans="1:6" ht="15.75" customHeight="1" x14ac:dyDescent="0.2">
      <c r="A38" s="119" t="s">
        <v>496</v>
      </c>
      <c r="B38" s="127">
        <f>MC!P84</f>
        <v>0</v>
      </c>
      <c r="C38" s="106">
        <f>ROUND(((2*22*$B$38)-0.06*C$13),2)</f>
        <v>0</v>
      </c>
      <c r="D38" s="106">
        <f>ROUND(((2*22*$B$38)-0.06*D$13),2)</f>
        <v>0</v>
      </c>
      <c r="E38" s="106">
        <f>ROUND(((2*22*$B$38)-0.06*E$13),2)</f>
        <v>0</v>
      </c>
      <c r="F38" s="106">
        <f>ROUND(((2*22*$B$38)-0.06*F$13),2)</f>
        <v>0</v>
      </c>
    </row>
    <row r="39" spans="1:6" ht="15.75" customHeight="1" x14ac:dyDescent="0.2">
      <c r="A39" s="478" t="s">
        <v>497</v>
      </c>
      <c r="B39" s="128"/>
      <c r="C39" s="125">
        <f>MC!E21</f>
        <v>0</v>
      </c>
      <c r="D39" s="125">
        <f>MC!E22</f>
        <v>0</v>
      </c>
      <c r="E39" s="125">
        <f>MC!E21</f>
        <v>0</v>
      </c>
      <c r="F39" s="125">
        <f>MC!E21</f>
        <v>0</v>
      </c>
    </row>
    <row r="40" spans="1:6" ht="15.75" customHeight="1" x14ac:dyDescent="0.2">
      <c r="A40" s="119" t="s">
        <v>498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499</v>
      </c>
      <c r="B41" s="129">
        <f>MC!E25</f>
        <v>0</v>
      </c>
      <c r="C41" s="125">
        <f>B41</f>
        <v>0</v>
      </c>
      <c r="D41" s="125">
        <f>B41</f>
        <v>0</v>
      </c>
      <c r="E41" s="194">
        <f>B41</f>
        <v>0</v>
      </c>
      <c r="F41" s="126">
        <f>B41</f>
        <v>0</v>
      </c>
    </row>
    <row r="42" spans="1:6" ht="15.7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 t="shared" ref="D42:F42" si="4">$B$42*D19</f>
        <v>0</v>
      </c>
      <c r="E42" s="125">
        <f t="shared" si="4"/>
        <v>0</v>
      </c>
      <c r="F42" s="125">
        <f t="shared" si="4"/>
        <v>0</v>
      </c>
    </row>
    <row r="43" spans="1:6" ht="15.75" customHeight="1" x14ac:dyDescent="0.2">
      <c r="A43" s="119" t="s">
        <v>501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479</v>
      </c>
      <c r="B44" s="112"/>
      <c r="C44" s="121">
        <f>SUM(C38:C43)</f>
        <v>0</v>
      </c>
      <c r="D44" s="121">
        <f>SUM(D38:D43)</f>
        <v>0</v>
      </c>
      <c r="E44" s="191">
        <f>SUM(E38:E43)</f>
        <v>0</v>
      </c>
      <c r="F44" s="122">
        <f>SUM(F38:F43)</f>
        <v>0</v>
      </c>
    </row>
    <row r="45" spans="1:6" x14ac:dyDescent="0.2">
      <c r="A45" s="101" t="s">
        <v>502</v>
      </c>
      <c r="B45" s="102" t="s">
        <v>471</v>
      </c>
      <c r="C45" s="102" t="s">
        <v>472</v>
      </c>
      <c r="D45" s="102" t="s">
        <v>472</v>
      </c>
      <c r="E45" s="102" t="s">
        <v>472</v>
      </c>
      <c r="F45" s="103" t="s">
        <v>472</v>
      </c>
    </row>
    <row r="46" spans="1:6" ht="15.75" customHeight="1" x14ac:dyDescent="0.2">
      <c r="A46" s="119" t="s">
        <v>481</v>
      </c>
      <c r="B46" s="130">
        <f>B25</f>
        <v>0.1111111111111111</v>
      </c>
      <c r="C46" s="131">
        <f>C25</f>
        <v>0</v>
      </c>
      <c r="D46" s="131">
        <f>D25</f>
        <v>0</v>
      </c>
      <c r="E46" s="131">
        <f>E25</f>
        <v>0</v>
      </c>
      <c r="F46" s="132">
        <f>F25</f>
        <v>0</v>
      </c>
    </row>
    <row r="47" spans="1:6" ht="15.75" customHeight="1" x14ac:dyDescent="0.2">
      <c r="A47" s="119" t="s">
        <v>503</v>
      </c>
      <c r="B47" s="130">
        <f>B36</f>
        <v>0.36800000000000005</v>
      </c>
      <c r="C47" s="131">
        <f>C36</f>
        <v>0</v>
      </c>
      <c r="D47" s="131">
        <f>D36</f>
        <v>0</v>
      </c>
      <c r="E47" s="131">
        <f>E36</f>
        <v>0</v>
      </c>
      <c r="F47" s="132">
        <f>F36</f>
        <v>0</v>
      </c>
    </row>
    <row r="48" spans="1:6" ht="15.75" customHeight="1" x14ac:dyDescent="0.2">
      <c r="A48" s="119" t="s">
        <v>494</v>
      </c>
      <c r="B48" s="130"/>
      <c r="C48" s="131">
        <f>C44</f>
        <v>0</v>
      </c>
      <c r="D48" s="131">
        <f>D44</f>
        <v>0</v>
      </c>
      <c r="E48" s="131">
        <f>E44</f>
        <v>0</v>
      </c>
      <c r="F48" s="132">
        <f>F44</f>
        <v>0</v>
      </c>
    </row>
    <row r="49" spans="1:6" ht="15.75" customHeight="1" x14ac:dyDescent="0.2">
      <c r="A49" s="111" t="s">
        <v>479</v>
      </c>
      <c r="B49" s="112"/>
      <c r="C49" s="121">
        <f>SUM(C46:C48)</f>
        <v>0</v>
      </c>
      <c r="D49" s="121">
        <f>SUM(D46:D48)</f>
        <v>0</v>
      </c>
      <c r="E49" s="191">
        <f>SUM(E46:E48)</f>
        <v>0</v>
      </c>
      <c r="F49" s="122">
        <f>SUM(F46:F48)</f>
        <v>0</v>
      </c>
    </row>
    <row r="50" spans="1:6" ht="14.25" customHeight="1" x14ac:dyDescent="0.2">
      <c r="A50" s="1045"/>
      <c r="B50" s="1045"/>
      <c r="C50" s="114"/>
      <c r="D50" s="115"/>
      <c r="E50" s="115"/>
      <c r="F50" s="115"/>
    </row>
    <row r="51" spans="1:6" s="133" customFormat="1" ht="12.75" customHeight="1" x14ac:dyDescent="0.2">
      <c r="A51" s="1046" t="s">
        <v>504</v>
      </c>
      <c r="B51" s="1046"/>
      <c r="C51" s="1046"/>
      <c r="D51" s="1046"/>
      <c r="E51" s="1046"/>
      <c r="F51" s="1046"/>
    </row>
    <row r="52" spans="1:6" ht="15.75" customHeight="1" x14ac:dyDescent="0.2">
      <c r="A52" s="101" t="s">
        <v>505</v>
      </c>
      <c r="B52" s="102" t="s">
        <v>471</v>
      </c>
      <c r="C52" s="102" t="s">
        <v>472</v>
      </c>
      <c r="D52" s="102" t="s">
        <v>472</v>
      </c>
      <c r="E52" s="102" t="s">
        <v>472</v>
      </c>
      <c r="F52" s="103" t="s">
        <v>472</v>
      </c>
    </row>
    <row r="53" spans="1:6" ht="15.75" customHeight="1" x14ac:dyDescent="0.2">
      <c r="A53" s="116" t="s">
        <v>506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507</v>
      </c>
      <c r="B54" s="130">
        <f>1/12*0.05</f>
        <v>4.1666666666666666E-3</v>
      </c>
      <c r="C54" s="136">
        <f>C19*$B54</f>
        <v>0</v>
      </c>
      <c r="D54" s="136">
        <f t="shared" ref="D54:F54" si="5">D19*$B54</f>
        <v>0</v>
      </c>
      <c r="E54" s="136">
        <f t="shared" si="5"/>
        <v>0</v>
      </c>
      <c r="F54" s="136">
        <f t="shared" si="5"/>
        <v>0</v>
      </c>
    </row>
    <row r="55" spans="1:6" x14ac:dyDescent="0.2">
      <c r="A55" s="119" t="s">
        <v>508</v>
      </c>
      <c r="B55" s="130">
        <f>B35*B54</f>
        <v>3.3333333333333332E-4</v>
      </c>
      <c r="C55" s="136">
        <f>$B$55*C19</f>
        <v>0</v>
      </c>
      <c r="D55" s="136">
        <f t="shared" ref="D55:F55" si="6">$B$55*D19</f>
        <v>0</v>
      </c>
      <c r="E55" s="136">
        <f t="shared" si="6"/>
        <v>0</v>
      </c>
      <c r="F55" s="136">
        <f t="shared" si="6"/>
        <v>0</v>
      </c>
    </row>
    <row r="56" spans="1:6" x14ac:dyDescent="0.2">
      <c r="A56" s="119" t="s">
        <v>509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510</v>
      </c>
      <c r="B57" s="130">
        <f>1/12*1/30*7</f>
        <v>1.9444444444444441E-2</v>
      </c>
      <c r="C57" s="131">
        <f>C19*$B57</f>
        <v>0</v>
      </c>
      <c r="D57" s="131">
        <f t="shared" ref="D57:F57" si="8">D19*$B57</f>
        <v>0</v>
      </c>
      <c r="E57" s="131">
        <f t="shared" si="8"/>
        <v>0</v>
      </c>
      <c r="F57" s="131">
        <f t="shared" si="8"/>
        <v>0</v>
      </c>
    </row>
    <row r="58" spans="1:6" x14ac:dyDescent="0.2">
      <c r="A58" s="119" t="s">
        <v>511</v>
      </c>
      <c r="B58" s="130">
        <f>B36*B57</f>
        <v>7.1555555555555556E-3</v>
      </c>
      <c r="C58" s="131">
        <f>$B58*C19</f>
        <v>0</v>
      </c>
      <c r="D58" s="131">
        <f t="shared" ref="D58:F58" si="9">$B58*D19</f>
        <v>0</v>
      </c>
      <c r="E58" s="131">
        <f t="shared" si="9"/>
        <v>0</v>
      </c>
      <c r="F58" s="131">
        <f t="shared" si="9"/>
        <v>0</v>
      </c>
    </row>
    <row r="59" spans="1:6" x14ac:dyDescent="0.2">
      <c r="A59" s="119" t="s">
        <v>512</v>
      </c>
      <c r="B59" s="130">
        <f>B35*40/100*90/100*(1+1/12+1/12+1/3*1/12)</f>
        <v>3.4399999999999993E-2</v>
      </c>
      <c r="C59" s="131">
        <f>C19*$B59</f>
        <v>0</v>
      </c>
      <c r="D59" s="131">
        <f t="shared" ref="D59:F59" si="10">D19*$B59</f>
        <v>0</v>
      </c>
      <c r="E59" s="131">
        <f t="shared" si="10"/>
        <v>0</v>
      </c>
      <c r="F59" s="131">
        <f t="shared" si="10"/>
        <v>0</v>
      </c>
    </row>
    <row r="60" spans="1:6" ht="14.25" customHeight="1" x14ac:dyDescent="0.2">
      <c r="A60" s="111" t="s">
        <v>479</v>
      </c>
      <c r="B60" s="120">
        <f>SUM(B54:B59)</f>
        <v>6.5499999999999989E-2</v>
      </c>
      <c r="C60" s="137">
        <f>SUM(C54:C59)</f>
        <v>0</v>
      </c>
      <c r="D60" s="137">
        <f>SUM(D54:D59)</f>
        <v>0</v>
      </c>
      <c r="E60" s="196">
        <f>SUM(E54:E59)</f>
        <v>0</v>
      </c>
      <c r="F60" s="138">
        <f>SUM(F54:F59)</f>
        <v>0</v>
      </c>
    </row>
    <row r="61" spans="1:6" ht="14.25" customHeight="1" x14ac:dyDescent="0.2">
      <c r="A61" s="1045"/>
      <c r="B61" s="1045"/>
      <c r="C61" s="322"/>
      <c r="D61" s="322"/>
      <c r="E61" s="323"/>
      <c r="F61" s="324"/>
    </row>
    <row r="62" spans="1:6" ht="15.75" customHeight="1" x14ac:dyDescent="0.2">
      <c r="A62" s="1046" t="s">
        <v>513</v>
      </c>
      <c r="B62" s="1046"/>
      <c r="C62" s="1046"/>
      <c r="D62" s="1046"/>
      <c r="E62" s="1046"/>
      <c r="F62" s="1046"/>
    </row>
    <row r="63" spans="1:6" ht="14.25" customHeight="1" x14ac:dyDescent="0.2">
      <c r="A63" s="116" t="s">
        <v>48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49</v>
      </c>
      <c r="B64" s="108">
        <f>1/12</f>
        <v>8.3333333333333329E-2</v>
      </c>
      <c r="C64" s="125">
        <f>B64*($C$19+$C$49+$C$60)</f>
        <v>0</v>
      </c>
      <c r="D64" s="125">
        <f>B64*($D$19+$D$49+$D$60)</f>
        <v>0</v>
      </c>
      <c r="E64" s="194">
        <f>B64*($E$19+$E$49+$E$60)</f>
        <v>0</v>
      </c>
      <c r="F64" s="126">
        <f>B64*($F$19+$F$49+$F$60)</f>
        <v>0</v>
      </c>
    </row>
    <row r="65" spans="1:6" x14ac:dyDescent="0.2">
      <c r="A65" s="119" t="s">
        <v>514</v>
      </c>
      <c r="B65" s="108">
        <f>MC!E56/30/12</f>
        <v>1.3538888888888885E-2</v>
      </c>
      <c r="C65" s="125">
        <f>B65*($C$19+$C$49+$C$60)</f>
        <v>0</v>
      </c>
      <c r="D65" s="125">
        <f>B65*($D$19+$D$49+$D$60)</f>
        <v>0</v>
      </c>
      <c r="E65" s="194">
        <f>B65*($E$19+$E$49+$E$60)</f>
        <v>0</v>
      </c>
      <c r="F65" s="126">
        <f>B65*($F$19+$F$49+$F$60)</f>
        <v>0</v>
      </c>
    </row>
    <row r="66" spans="1:6" x14ac:dyDescent="0.2">
      <c r="A66" s="119" t="s">
        <v>515</v>
      </c>
      <c r="B66" s="139">
        <f>(5/30)/12*MC!F58*MC!C59</f>
        <v>1.0764583333333333E-4</v>
      </c>
      <c r="C66" s="125">
        <f>B66*($C$19+$C$49+$C$60)</f>
        <v>0</v>
      </c>
      <c r="D66" s="125">
        <f>B66*($D$19+$D$49+$D$60)</f>
        <v>0</v>
      </c>
      <c r="E66" s="194">
        <f>B66*($E$19+$E$49+$E$60)</f>
        <v>0</v>
      </c>
      <c r="F66" s="126">
        <f>B66*($F$19+$F$49+$F$60)</f>
        <v>0</v>
      </c>
    </row>
    <row r="67" spans="1:6" ht="14.25" customHeight="1" x14ac:dyDescent="0.2">
      <c r="A67" s="119" t="s">
        <v>516</v>
      </c>
      <c r="B67" s="139">
        <f>MC!C61/30/12</f>
        <v>2.6830555555555553E-3</v>
      </c>
      <c r="C67" s="125">
        <f>B67*($C$19+$C$49+$C$60)</f>
        <v>0</v>
      </c>
      <c r="D67" s="125">
        <f>B67*($D$19+$D$49+$D$60)</f>
        <v>0</v>
      </c>
      <c r="E67" s="194">
        <f>B67*($E$19+$E$49+$E$60)</f>
        <v>0</v>
      </c>
      <c r="F67" s="126">
        <f>B67*($F$19+$F$49+$F$60)</f>
        <v>0</v>
      </c>
    </row>
    <row r="68" spans="1:6" ht="14.25" customHeight="1" x14ac:dyDescent="0.2">
      <c r="A68" s="119" t="s">
        <v>517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518</v>
      </c>
      <c r="B69" s="141">
        <f>SUM(B64:B68)</f>
        <v>9.9662923611111107E-2</v>
      </c>
      <c r="C69" s="142">
        <f>SUM(C64:C68)</f>
        <v>0</v>
      </c>
      <c r="D69" s="142">
        <f>SUM(D64:D68)</f>
        <v>0</v>
      </c>
      <c r="E69" s="198">
        <f>SUM(E64:E68)</f>
        <v>0</v>
      </c>
      <c r="F69" s="143">
        <f>SUM(F64:F68)</f>
        <v>0</v>
      </c>
    </row>
    <row r="70" spans="1:6" ht="14.25" customHeight="1" x14ac:dyDescent="0.2">
      <c r="A70" s="116" t="s">
        <v>519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520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518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70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71</v>
      </c>
      <c r="B74" s="108">
        <f>120/30*MC!C64*MC!C65</f>
        <v>6.18624E-3</v>
      </c>
      <c r="C74" s="125">
        <f>(((C19*2)+ (C19*1/3))+(C36)+(C44-C38-C39))*$B$74</f>
        <v>0</v>
      </c>
      <c r="D74" s="125">
        <f>(((D19*2)+ (D19*1/3))+(D36)+(D44-D38-D39))*$B$74</f>
        <v>0</v>
      </c>
      <c r="E74" s="125">
        <f>(((E19*2)+ (E19*1/3))+(E36)+(E44-E38-E39))*$B$74</f>
        <v>0</v>
      </c>
      <c r="F74" s="126">
        <f>(((F19*2)+ (F19*1/3))+(F36)+(F44-F38-F39))*$B$74</f>
        <v>0</v>
      </c>
    </row>
    <row r="75" spans="1:6" ht="15.75" customHeight="1" x14ac:dyDescent="0.2">
      <c r="A75" s="140" t="s">
        <v>479</v>
      </c>
      <c r="B75" s="141"/>
      <c r="C75" s="142"/>
      <c r="D75" s="142"/>
      <c r="E75" s="198"/>
      <c r="F75" s="143"/>
    </row>
    <row r="76" spans="1:6" x14ac:dyDescent="0.2">
      <c r="A76" s="101" t="s">
        <v>521</v>
      </c>
      <c r="B76" s="102"/>
      <c r="C76" s="102"/>
      <c r="D76" s="102"/>
      <c r="E76" s="189"/>
      <c r="F76" s="103"/>
    </row>
    <row r="77" spans="1:6" x14ac:dyDescent="0.2">
      <c r="A77" s="119" t="s">
        <v>48</v>
      </c>
      <c r="B77" s="130">
        <f>B69</f>
        <v>9.9662923611111107E-2</v>
      </c>
      <c r="C77" s="131">
        <f>C69</f>
        <v>0</v>
      </c>
      <c r="D77" s="131">
        <f>D69</f>
        <v>0</v>
      </c>
      <c r="E77" s="131">
        <f>E69</f>
        <v>0</v>
      </c>
      <c r="F77" s="132">
        <f>F69</f>
        <v>0</v>
      </c>
    </row>
    <row r="78" spans="1:6" ht="15.75" customHeight="1" x14ac:dyDescent="0.2">
      <c r="A78" s="119" t="s">
        <v>519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70</v>
      </c>
      <c r="B79" s="130">
        <f>B74</f>
        <v>6.18624E-3</v>
      </c>
      <c r="C79" s="131">
        <f>C74</f>
        <v>0</v>
      </c>
      <c r="D79" s="131">
        <f>D74</f>
        <v>0</v>
      </c>
      <c r="E79" s="131">
        <f>E74</f>
        <v>0</v>
      </c>
      <c r="F79" s="132">
        <f>F74</f>
        <v>0</v>
      </c>
    </row>
    <row r="80" spans="1:6" ht="15.75" customHeight="1" x14ac:dyDescent="0.2">
      <c r="A80" s="111" t="s">
        <v>479</v>
      </c>
      <c r="B80" s="112"/>
      <c r="C80" s="121">
        <f>SUM(C77:C79)</f>
        <v>0</v>
      </c>
      <c r="D80" s="121">
        <f>SUM(D77:D79)</f>
        <v>0</v>
      </c>
      <c r="E80" s="191">
        <f>SUM(E77:E79)</f>
        <v>0</v>
      </c>
      <c r="F80" s="122">
        <f>SUM(F77:F79)</f>
        <v>0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522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523</v>
      </c>
      <c r="B83" s="102" t="s">
        <v>495</v>
      </c>
      <c r="C83" s="102" t="s">
        <v>472</v>
      </c>
      <c r="D83" s="102" t="s">
        <v>472</v>
      </c>
      <c r="E83" s="102" t="s">
        <v>472</v>
      </c>
      <c r="F83" s="103" t="s">
        <v>472</v>
      </c>
    </row>
    <row r="84" spans="1:6" ht="15.75" customHeight="1" x14ac:dyDescent="0.2">
      <c r="A84" s="119" t="s">
        <v>524</v>
      </c>
      <c r="B84" s="145">
        <f>Insumos!G117</f>
        <v>0</v>
      </c>
      <c r="C84" s="106">
        <f>B84</f>
        <v>0</v>
      </c>
      <c r="D84" s="106">
        <f>B84</f>
        <v>0</v>
      </c>
      <c r="E84" s="190">
        <f>B84</f>
        <v>0</v>
      </c>
      <c r="F84" s="107">
        <f>Insumos!G118</f>
        <v>0</v>
      </c>
    </row>
    <row r="85" spans="1:6" x14ac:dyDescent="0.2">
      <c r="A85" s="144" t="s">
        <v>525</v>
      </c>
      <c r="B85" s="145">
        <f>Insumos!G59</f>
        <v>0</v>
      </c>
      <c r="C85" s="106">
        <f>B85</f>
        <v>0</v>
      </c>
      <c r="D85" s="106">
        <f>B85</f>
        <v>0</v>
      </c>
      <c r="E85" s="190"/>
      <c r="F85" s="107"/>
    </row>
    <row r="86" spans="1:6" x14ac:dyDescent="0.2">
      <c r="A86" s="144" t="s">
        <v>526</v>
      </c>
      <c r="B86" s="146">
        <f>Insumos!K99</f>
        <v>0</v>
      </c>
      <c r="C86" s="106">
        <f>B86</f>
        <v>0</v>
      </c>
      <c r="D86" s="106">
        <f>B86</f>
        <v>0</v>
      </c>
      <c r="E86" s="190"/>
      <c r="F86" s="107"/>
    </row>
    <row r="87" spans="1:6" ht="15.75" customHeight="1" x14ac:dyDescent="0.2">
      <c r="A87" s="144" t="s">
        <v>527</v>
      </c>
      <c r="B87" s="145"/>
      <c r="C87" s="106">
        <f>Insumos!I129</f>
        <v>0</v>
      </c>
      <c r="D87" s="106">
        <f>Insumos!H129</f>
        <v>0</v>
      </c>
      <c r="E87" s="190"/>
      <c r="F87" s="107"/>
    </row>
    <row r="88" spans="1:6" ht="15.75" customHeight="1" x14ac:dyDescent="0.2">
      <c r="A88" s="144" t="s">
        <v>528</v>
      </c>
      <c r="B88" s="108">
        <v>0.12</v>
      </c>
      <c r="C88" s="106"/>
      <c r="D88" s="106"/>
      <c r="E88" s="190">
        <f>B88*(E127+E128+E84)</f>
        <v>0</v>
      </c>
      <c r="F88" s="107"/>
    </row>
    <row r="89" spans="1:6" ht="15.75" customHeight="1" x14ac:dyDescent="0.2">
      <c r="A89" s="144" t="s">
        <v>529</v>
      </c>
      <c r="B89" s="145">
        <f>Insumos!H145</f>
        <v>0</v>
      </c>
      <c r="C89" s="106"/>
      <c r="D89" s="106"/>
      <c r="E89" s="190"/>
      <c r="F89" s="107">
        <f>B89</f>
        <v>0</v>
      </c>
    </row>
    <row r="90" spans="1:6" ht="15.75" customHeight="1" x14ac:dyDescent="0.2">
      <c r="A90" s="144" t="s">
        <v>530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479</v>
      </c>
      <c r="B91" s="147"/>
      <c r="C91" s="142">
        <f>SUM(C84:C90)</f>
        <v>0</v>
      </c>
      <c r="D91" s="142">
        <f t="shared" ref="D91:F91" si="11">SUM(D84:D90)</f>
        <v>0</v>
      </c>
      <c r="E91" s="142">
        <f t="shared" si="11"/>
        <v>0</v>
      </c>
      <c r="F91" s="142">
        <f t="shared" si="11"/>
        <v>0</v>
      </c>
    </row>
    <row r="92" spans="1:6" ht="15.75" customHeight="1" x14ac:dyDescent="0.2">
      <c r="A92" s="1045"/>
      <c r="B92" s="1045"/>
      <c r="C92" s="148"/>
      <c r="D92" s="148"/>
      <c r="E92" s="202"/>
      <c r="F92" s="149"/>
    </row>
    <row r="93" spans="1:6" ht="15.75" customHeight="1" x14ac:dyDescent="0.2">
      <c r="A93" s="199" t="s">
        <v>531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532</v>
      </c>
      <c r="B94" s="102" t="s">
        <v>471</v>
      </c>
      <c r="C94" s="102" t="s">
        <v>472</v>
      </c>
      <c r="D94" s="102" t="s">
        <v>472</v>
      </c>
      <c r="E94" s="102" t="s">
        <v>472</v>
      </c>
      <c r="F94" s="103"/>
    </row>
    <row r="95" spans="1:6" ht="15.75" customHeight="1" x14ac:dyDescent="0.2">
      <c r="A95" s="104" t="s">
        <v>76</v>
      </c>
      <c r="B95" s="108">
        <f>MC!C68</f>
        <v>0</v>
      </c>
      <c r="C95" s="125">
        <f>($C$19+$C$49+$C$60+$C$80+$C$91)*$B$95</f>
        <v>0</v>
      </c>
      <c r="D95" s="125">
        <f>($D$19+$D$49+$D$60+$D$80+$D$91)*$B$95</f>
        <v>0</v>
      </c>
      <c r="E95" s="194">
        <f>($E$19+$E$49+$E$60+$E$80+$E$91)*$B$95</f>
        <v>0</v>
      </c>
      <c r="F95" s="126">
        <f>($F$19+$F$49+$F$60+$F$80+$F$91)*$B$95</f>
        <v>0</v>
      </c>
    </row>
    <row r="96" spans="1:6" x14ac:dyDescent="0.2">
      <c r="A96" s="104" t="s">
        <v>77</v>
      </c>
      <c r="B96" s="108">
        <f>MC!C69</f>
        <v>0</v>
      </c>
      <c r="C96" s="125">
        <f>($C$19+$C$49+$C$60+$C$80+$C$91+C95)*B96</f>
        <v>0</v>
      </c>
      <c r="D96" s="125">
        <f>($D$19+$D$49+$D$60+$D$80+$D$91+$D$95)*$B$96</f>
        <v>0</v>
      </c>
      <c r="E96" s="125">
        <f>($E$19+$E$49+$E$60+$E$80+$E$91+$E$95)*$B$96</f>
        <v>0</v>
      </c>
      <c r="F96" s="126">
        <f>($F$19+$F$49+$F$60+$F$80+$F$91+F95)*$B$96</f>
        <v>0</v>
      </c>
    </row>
    <row r="97" spans="1:7" x14ac:dyDescent="0.2">
      <c r="A97" s="203" t="s">
        <v>533</v>
      </c>
      <c r="B97" s="204">
        <f>B98+B99</f>
        <v>0.1125</v>
      </c>
      <c r="C97" s="205">
        <f>((C19+C49+C60+C80+C91+C95+C96)/(1-($B$97)))*$B$97</f>
        <v>0</v>
      </c>
      <c r="D97" s="205">
        <f>((D19+D49+D60+D80+D91+D95+D96)/(1-($B$97)))*$B$97</f>
        <v>0</v>
      </c>
      <c r="E97" s="205">
        <f>((E19+E49+E60+E80+E91+E95+E96)/(1-($B$97)))*$B$97</f>
        <v>0</v>
      </c>
      <c r="F97" s="205">
        <f>((F19+F49+F60+F80+F91+F95+F96)/(1-($B$97)))*$B$97</f>
        <v>0</v>
      </c>
    </row>
    <row r="98" spans="1:7" x14ac:dyDescent="0.2">
      <c r="A98" s="104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206">
        <f t="shared" ref="D98:F98" si="12">((D$19+D$49+D$60+D$80+D$91+D$95+D$96)/(1-($B$97)))*$B$98</f>
        <v>0</v>
      </c>
      <c r="E98" s="206">
        <f t="shared" si="12"/>
        <v>0</v>
      </c>
      <c r="F98" s="206">
        <f t="shared" si="12"/>
        <v>0</v>
      </c>
    </row>
    <row r="99" spans="1:7" x14ac:dyDescent="0.2">
      <c r="A99" s="104" t="s">
        <v>535</v>
      </c>
      <c r="B99" s="108">
        <v>0.02</v>
      </c>
      <c r="C99" s="207">
        <f>((C$19+C$49+C$60+C$80+C$91+C$95+C$96)/(1-($B$97)))*$B$99</f>
        <v>0</v>
      </c>
      <c r="D99" s="207">
        <f t="shared" ref="D99:F99" si="13">((D$19+D$49+D$60+D$80+D$91+D$95+D$96)/(1-($B$97)))*$B$99</f>
        <v>0</v>
      </c>
      <c r="E99" s="207">
        <f t="shared" si="13"/>
        <v>0</v>
      </c>
      <c r="F99" s="207">
        <f t="shared" si="13"/>
        <v>0</v>
      </c>
    </row>
    <row r="100" spans="1:7" x14ac:dyDescent="0.2">
      <c r="A100" s="203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205">
        <f t="shared" ref="D100:F100" si="14">((D19+D49+D60+D80+D91+D95+D96)/(1-($B$100)))*$B$100</f>
        <v>0</v>
      </c>
      <c r="E100" s="205">
        <f t="shared" si="14"/>
        <v>0</v>
      </c>
      <c r="F100" s="205">
        <f t="shared" si="14"/>
        <v>0</v>
      </c>
    </row>
    <row r="101" spans="1:7" x14ac:dyDescent="0.2">
      <c r="A101" s="104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206">
        <f t="shared" ref="D101:F101" si="15">((D19+D49+D60+D80+D91+D95+D96)/(1-($B$100)))*$B$101</f>
        <v>0</v>
      </c>
      <c r="E101" s="206">
        <f t="shared" si="15"/>
        <v>0</v>
      </c>
      <c r="F101" s="206">
        <f t="shared" si="15"/>
        <v>0</v>
      </c>
    </row>
    <row r="102" spans="1:7" x14ac:dyDescent="0.2">
      <c r="A102" s="104" t="s">
        <v>535</v>
      </c>
      <c r="B102" s="108">
        <v>2.5000000000000001E-2</v>
      </c>
      <c r="C102" s="207">
        <f>((C$19+C$49+C$60+C$80+C$91+C$95+C$96)/(1-($B$100)))*$B$102</f>
        <v>0</v>
      </c>
      <c r="D102" s="207">
        <f t="shared" ref="D102:F102" si="16">((D$19+D$49+D$60+D$80+D$91+D$95+D$96)/(1-($B$100)))*$B$102</f>
        <v>0</v>
      </c>
      <c r="E102" s="207">
        <f t="shared" si="16"/>
        <v>0</v>
      </c>
      <c r="F102" s="207">
        <f t="shared" si="16"/>
        <v>0</v>
      </c>
    </row>
    <row r="103" spans="1:7" x14ac:dyDescent="0.2">
      <c r="A103" s="203" t="s">
        <v>537</v>
      </c>
      <c r="B103" s="204">
        <f>B104+B105</f>
        <v>0.1225</v>
      </c>
      <c r="C103" s="205">
        <f>((C19+C49+C60+C80+C91+C95+C96)/(1-($B$103)))*$B$103</f>
        <v>0</v>
      </c>
      <c r="D103" s="205">
        <f t="shared" ref="D103:F103" si="17">((D19+D49+D60+D80+D91+D95+D96)/(1-($B$103)))*$B$103</f>
        <v>0</v>
      </c>
      <c r="E103" s="205">
        <f t="shared" si="17"/>
        <v>0</v>
      </c>
      <c r="F103" s="205">
        <f t="shared" si="17"/>
        <v>0</v>
      </c>
    </row>
    <row r="104" spans="1:7" x14ac:dyDescent="0.2">
      <c r="A104" s="104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206">
        <f t="shared" ref="D104:F104" si="18">((D19+D49+D60+D80+D91+D95+D96)/(1-($B$103)))*$B$104</f>
        <v>0</v>
      </c>
      <c r="E104" s="206">
        <f t="shared" si="18"/>
        <v>0</v>
      </c>
      <c r="F104" s="206">
        <f t="shared" si="18"/>
        <v>0</v>
      </c>
    </row>
    <row r="105" spans="1:7" x14ac:dyDescent="0.2">
      <c r="A105" s="104" t="s">
        <v>535</v>
      </c>
      <c r="B105" s="108">
        <v>0.03</v>
      </c>
      <c r="C105" s="207">
        <f>((C19+C49+C60+C80+C91+C95+C96)/(1-($B$103)))*$B$105</f>
        <v>0</v>
      </c>
      <c r="D105" s="207">
        <f t="shared" ref="D105:F105" si="19">((D19+D49+D60+D80+D91+D95+D96)/(1-($B$103)))*$B$105</f>
        <v>0</v>
      </c>
      <c r="E105" s="207">
        <f t="shared" si="19"/>
        <v>0</v>
      </c>
      <c r="F105" s="207">
        <f t="shared" si="19"/>
        <v>0</v>
      </c>
      <c r="G105" s="208"/>
    </row>
    <row r="106" spans="1:7" x14ac:dyDescent="0.2">
      <c r="A106" s="203" t="s">
        <v>616</v>
      </c>
      <c r="B106" s="204">
        <f>B107+B108</f>
        <v>0.1275</v>
      </c>
      <c r="C106" s="205">
        <f>((C19+C49+C60+C80+C91+C95+C96)/(1-($B$106)))*$B$106</f>
        <v>0</v>
      </c>
      <c r="D106" s="205">
        <f t="shared" ref="D106:F106" si="20">((D19+D49+D60+D80+D91+D95+D96)/(1-($B$106)))*$B$106</f>
        <v>0</v>
      </c>
      <c r="E106" s="205">
        <f t="shared" si="20"/>
        <v>0</v>
      </c>
      <c r="F106" s="205">
        <f t="shared" si="20"/>
        <v>0</v>
      </c>
      <c r="G106" s="208"/>
    </row>
    <row r="107" spans="1:7" x14ac:dyDescent="0.2">
      <c r="A107" s="104" t="s">
        <v>534</v>
      </c>
      <c r="B107" s="108">
        <f>0.0165+0.076</f>
        <v>9.2499999999999999E-2</v>
      </c>
      <c r="C107" s="206">
        <f>((C19+C49+C60+C80+C91+C95+C96)/(1-($B$1065)))*$B$107</f>
        <v>0</v>
      </c>
      <c r="D107" s="206">
        <f t="shared" ref="D107:F107" si="21">((D19+D49+D60+D80+D91+D95+D96)/(1-($B$1065)))*$B$107</f>
        <v>0</v>
      </c>
      <c r="E107" s="206">
        <f t="shared" si="21"/>
        <v>0</v>
      </c>
      <c r="F107" s="206">
        <f t="shared" si="21"/>
        <v>0</v>
      </c>
      <c r="G107" s="208"/>
    </row>
    <row r="108" spans="1:7" x14ac:dyDescent="0.2">
      <c r="A108" s="104" t="s">
        <v>535</v>
      </c>
      <c r="B108" s="108">
        <v>3.5000000000000003E-2</v>
      </c>
      <c r="C108" s="207">
        <f>((C19+C49+C60+C80+C91+C95+C96)/(1-($B$106)))*$B$108</f>
        <v>0</v>
      </c>
      <c r="D108" s="207">
        <f t="shared" ref="D108:F108" si="22">((D19+D49+D60+D80+D91+D95+D96)/(1-($B$106)))*$B$108</f>
        <v>0</v>
      </c>
      <c r="E108" s="207">
        <f t="shared" si="22"/>
        <v>0</v>
      </c>
      <c r="F108" s="207">
        <f t="shared" si="22"/>
        <v>0</v>
      </c>
      <c r="G108" s="208"/>
    </row>
    <row r="109" spans="1:7" x14ac:dyDescent="0.2">
      <c r="A109" s="203" t="s">
        <v>538</v>
      </c>
      <c r="B109" s="204">
        <f>B110+B111</f>
        <v>0.13250000000000001</v>
      </c>
      <c r="C109" s="205">
        <f>((C19+C49+C60+C80+C91+C95+C96)/(1-($B$109)))*$B$109</f>
        <v>0</v>
      </c>
      <c r="D109" s="205">
        <f t="shared" ref="D109:F109" si="23">((D19+D49+D60+D80+D91+D95+D96)/(1-($B$109)))*$B$109</f>
        <v>0</v>
      </c>
      <c r="E109" s="205">
        <f t="shared" si="23"/>
        <v>0</v>
      </c>
      <c r="F109" s="205">
        <f t="shared" si="23"/>
        <v>0</v>
      </c>
    </row>
    <row r="110" spans="1:7" x14ac:dyDescent="0.2">
      <c r="A110" s="104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206">
        <f t="shared" ref="D110:F110" si="24">((D19+D49+D60+D80+D91+D95+D96)/(1-($B$109)))*$B$110</f>
        <v>0</v>
      </c>
      <c r="E110" s="206">
        <f t="shared" si="24"/>
        <v>0</v>
      </c>
      <c r="F110" s="206">
        <f t="shared" si="24"/>
        <v>0</v>
      </c>
    </row>
    <row r="111" spans="1:7" x14ac:dyDescent="0.2">
      <c r="A111" s="104" t="s">
        <v>535</v>
      </c>
      <c r="B111" s="108">
        <v>0.04</v>
      </c>
      <c r="C111" s="207">
        <f>((C19+C49+C60+C80+C91+C95+C96)/(1-($B$109)))*$B$111</f>
        <v>0</v>
      </c>
      <c r="D111" s="207">
        <f t="shared" ref="D111:F111" si="25">((D19+D49+D60+D80+D91+D95+D96)/(1-($B$109)))*$B$111</f>
        <v>0</v>
      </c>
      <c r="E111" s="207">
        <f t="shared" si="25"/>
        <v>0</v>
      </c>
      <c r="F111" s="207">
        <f t="shared" si="25"/>
        <v>0</v>
      </c>
    </row>
    <row r="112" spans="1:7" x14ac:dyDescent="0.2">
      <c r="A112" s="203" t="s">
        <v>539</v>
      </c>
      <c r="B112" s="204">
        <f>B113+B114</f>
        <v>0.14250000000000002</v>
      </c>
      <c r="C112" s="205">
        <f>((C19+C49+C60+C80+C91+C95+C96)/(1-($B$112)))*$B$112</f>
        <v>0</v>
      </c>
      <c r="D112" s="205">
        <f t="shared" ref="D112:F112" si="26">((D19+D49+D60+D80+D91+D95+D96)/(1-($B$112)))*$B$112</f>
        <v>0</v>
      </c>
      <c r="E112" s="205">
        <f t="shared" si="26"/>
        <v>0</v>
      </c>
      <c r="F112" s="205">
        <f t="shared" si="26"/>
        <v>0</v>
      </c>
    </row>
    <row r="113" spans="1:7" x14ac:dyDescent="0.2">
      <c r="A113" s="104" t="s">
        <v>534</v>
      </c>
      <c r="B113" s="108">
        <f>0.0165+0.076</f>
        <v>9.2499999999999999E-2</v>
      </c>
      <c r="C113" s="206">
        <f>((C19+C49+C60+C80+C91+C95+C96)/(1-($B$112)))*$B$113</f>
        <v>0</v>
      </c>
      <c r="D113" s="206">
        <f t="shared" ref="D113:F113" si="27">((D19+D49+D60+D80+D91+D95+D96)/(1-($B$112)))*$B$113</f>
        <v>0</v>
      </c>
      <c r="E113" s="206">
        <f t="shared" si="27"/>
        <v>0</v>
      </c>
      <c r="F113" s="206">
        <f t="shared" si="27"/>
        <v>0</v>
      </c>
    </row>
    <row r="114" spans="1:7" x14ac:dyDescent="0.2">
      <c r="A114" s="104" t="s">
        <v>535</v>
      </c>
      <c r="B114" s="209">
        <v>0.05</v>
      </c>
      <c r="C114" s="207">
        <f>((C19+C49+C60+C80+C91+C95+C96)/(1-($B$112)))*$B$114</f>
        <v>0</v>
      </c>
      <c r="D114" s="207">
        <f t="shared" ref="D114:F114" si="28">((D19+D49+D60+D80+D91+D95+D96)/(1-($B$112)))*$B$114</f>
        <v>0</v>
      </c>
      <c r="E114" s="207">
        <f t="shared" si="28"/>
        <v>0</v>
      </c>
      <c r="F114" s="207">
        <f t="shared" si="28"/>
        <v>0</v>
      </c>
    </row>
    <row r="115" spans="1:7" x14ac:dyDescent="0.2">
      <c r="A115" s="1047" t="s">
        <v>540</v>
      </c>
      <c r="B115" s="210">
        <v>0.02</v>
      </c>
      <c r="C115" s="211">
        <f>C95+C96+C97</f>
        <v>0</v>
      </c>
      <c r="D115" s="211">
        <f>D95+D96+D97</f>
        <v>0</v>
      </c>
      <c r="E115" s="211">
        <f>E95+E96+E97</f>
        <v>0</v>
      </c>
      <c r="F115" s="211">
        <f>F95+F96+F97</f>
        <v>0</v>
      </c>
    </row>
    <row r="116" spans="1:7" x14ac:dyDescent="0.2">
      <c r="A116" s="1047"/>
      <c r="B116" s="212">
        <v>2.5000000000000001E-2</v>
      </c>
      <c r="C116" s="213">
        <f>C95+C96+C100</f>
        <v>0</v>
      </c>
      <c r="D116" s="213">
        <f>D95+D96+D100</f>
        <v>0</v>
      </c>
      <c r="E116" s="213">
        <f>E95+E96+E100</f>
        <v>0</v>
      </c>
      <c r="F116" s="213">
        <f>F95+F96+F100</f>
        <v>0</v>
      </c>
    </row>
    <row r="117" spans="1:7" ht="15.75" customHeight="1" x14ac:dyDescent="0.2">
      <c r="A117" s="1047"/>
      <c r="B117" s="212">
        <v>0.03</v>
      </c>
      <c r="C117" s="213">
        <f>C95+C96+C103</f>
        <v>0</v>
      </c>
      <c r="D117" s="213">
        <f>D95+D96+D103</f>
        <v>0</v>
      </c>
      <c r="E117" s="213">
        <f>E95+E96+E103</f>
        <v>0</v>
      </c>
      <c r="F117" s="213">
        <f>F95+F96+F103</f>
        <v>0</v>
      </c>
      <c r="G117" s="208"/>
    </row>
    <row r="118" spans="1:7" ht="15.75" customHeight="1" x14ac:dyDescent="0.2">
      <c r="A118" s="1047"/>
      <c r="B118" s="641">
        <v>3.5000000000000003E-2</v>
      </c>
      <c r="C118" s="213">
        <f>C95+C96+C106</f>
        <v>0</v>
      </c>
      <c r="D118" s="213">
        <f t="shared" ref="D118:F118" si="29">D95+D96+D106</f>
        <v>0</v>
      </c>
      <c r="E118" s="213">
        <f t="shared" si="29"/>
        <v>0</v>
      </c>
      <c r="F118" s="213">
        <f t="shared" si="29"/>
        <v>0</v>
      </c>
      <c r="G118" s="208"/>
    </row>
    <row r="119" spans="1:7" ht="15.75" customHeight="1" x14ac:dyDescent="0.2">
      <c r="A119" s="1047"/>
      <c r="B119" s="212">
        <v>0.04</v>
      </c>
      <c r="C119" s="213">
        <f>C95+C96+C109</f>
        <v>0</v>
      </c>
      <c r="D119" s="213">
        <f>D95+D96+D109</f>
        <v>0</v>
      </c>
      <c r="E119" s="213">
        <f>E95+E96+E109</f>
        <v>0</v>
      </c>
      <c r="F119" s="213">
        <f>F95+F96+F109</f>
        <v>0</v>
      </c>
    </row>
    <row r="120" spans="1:7" ht="15.75" customHeight="1" x14ac:dyDescent="0.2">
      <c r="A120" s="1047"/>
      <c r="B120" s="214">
        <v>0.05</v>
      </c>
      <c r="C120" s="215">
        <f>C95+C96+C112</f>
        <v>0</v>
      </c>
      <c r="D120" s="215">
        <f>D95+D96+D112</f>
        <v>0</v>
      </c>
      <c r="E120" s="215">
        <f>E95+E96+E112</f>
        <v>0</v>
      </c>
      <c r="F120" s="215">
        <f>F95+F96+F112</f>
        <v>0</v>
      </c>
    </row>
    <row r="121" spans="1:7" ht="15.75" customHeight="1" x14ac:dyDescent="0.2">
      <c r="A121" s="104" t="s">
        <v>541</v>
      </c>
      <c r="B121" s="216"/>
      <c r="C121" s="217"/>
      <c r="D121" s="217"/>
      <c r="E121" s="218"/>
      <c r="F121" s="219"/>
    </row>
    <row r="122" spans="1:7" ht="24.75" customHeight="1" x14ac:dyDescent="0.2">
      <c r="A122" s="154"/>
      <c r="B122" s="220"/>
      <c r="C122" s="221"/>
      <c r="D122" s="221"/>
      <c r="E122" s="222"/>
      <c r="F122" s="223"/>
    </row>
    <row r="123" spans="1:7" ht="15.75" customHeight="1" x14ac:dyDescent="0.2">
      <c r="A123" s="1048"/>
      <c r="B123" s="1048"/>
      <c r="C123" s="1048"/>
      <c r="D123" s="1048"/>
      <c r="E123" s="1048"/>
      <c r="F123" s="1048"/>
    </row>
    <row r="124" spans="1:7" ht="15.75" customHeight="1" x14ac:dyDescent="0.2">
      <c r="A124" s="1049"/>
      <c r="B124" s="1049"/>
      <c r="C124" s="1049"/>
      <c r="D124" s="1049"/>
      <c r="E124" s="1049"/>
      <c r="F124" s="1049"/>
    </row>
    <row r="125" spans="1:7" ht="54.75" customHeight="1" x14ac:dyDescent="0.2">
      <c r="A125" s="1050" t="s">
        <v>542</v>
      </c>
      <c r="B125" s="1050"/>
      <c r="C125" s="224" t="str">
        <f>C10</f>
        <v xml:space="preserve">Servente 44h </v>
      </c>
      <c r="D125" s="224" t="str">
        <f>D10</f>
        <v>Servente 30h</v>
      </c>
      <c r="E125" s="225" t="str">
        <f>E10</f>
        <v>Servente 44h limpeza de esquadrias com risco</v>
      </c>
      <c r="F125" s="226" t="str">
        <f>F10</f>
        <v>Encarregada 44h</v>
      </c>
    </row>
    <row r="126" spans="1:7" ht="15.75" customHeight="1" x14ac:dyDescent="0.2">
      <c r="A126" s="1051" t="s">
        <v>543</v>
      </c>
      <c r="B126" s="1051"/>
      <c r="C126" s="227" t="s">
        <v>472</v>
      </c>
      <c r="D126" s="227" t="s">
        <v>472</v>
      </c>
      <c r="E126" s="227" t="s">
        <v>472</v>
      </c>
      <c r="F126" s="228" t="s">
        <v>472</v>
      </c>
    </row>
    <row r="127" spans="1:7" ht="14.25" customHeight="1" x14ac:dyDescent="0.2">
      <c r="A127" s="1052" t="s">
        <v>544</v>
      </c>
      <c r="B127" s="1052"/>
      <c r="C127" s="229">
        <f>C19</f>
        <v>0</v>
      </c>
      <c r="D127" s="229">
        <f>D19</f>
        <v>0</v>
      </c>
      <c r="E127" s="229">
        <f>E19</f>
        <v>0</v>
      </c>
      <c r="F127" s="230">
        <f>F19</f>
        <v>0</v>
      </c>
    </row>
    <row r="128" spans="1:7" ht="14.25" customHeight="1" x14ac:dyDescent="0.2">
      <c r="A128" s="1053" t="s">
        <v>545</v>
      </c>
      <c r="B128" s="1053"/>
      <c r="C128" s="150">
        <f>C49</f>
        <v>0</v>
      </c>
      <c r="D128" s="150">
        <f>D49</f>
        <v>0</v>
      </c>
      <c r="E128" s="150">
        <f>E49</f>
        <v>0</v>
      </c>
      <c r="F128" s="151">
        <f>F49</f>
        <v>0</v>
      </c>
    </row>
    <row r="129" spans="1:8" ht="14.25" customHeight="1" x14ac:dyDescent="0.2">
      <c r="A129" s="1053" t="s">
        <v>546</v>
      </c>
      <c r="B129" s="1053"/>
      <c r="C129" s="150">
        <f>C60</f>
        <v>0</v>
      </c>
      <c r="D129" s="150">
        <f>D60</f>
        <v>0</v>
      </c>
      <c r="E129" s="150">
        <f>E60</f>
        <v>0</v>
      </c>
      <c r="F129" s="151">
        <f>F60</f>
        <v>0</v>
      </c>
    </row>
    <row r="130" spans="1:8" ht="14.25" customHeight="1" x14ac:dyDescent="0.2">
      <c r="A130" s="1053" t="s">
        <v>547</v>
      </c>
      <c r="B130" s="1053"/>
      <c r="C130" s="150">
        <f>C80</f>
        <v>0</v>
      </c>
      <c r="D130" s="150">
        <f>D80</f>
        <v>0</v>
      </c>
      <c r="E130" s="150">
        <f>E80</f>
        <v>0</v>
      </c>
      <c r="F130" s="151">
        <f>F69</f>
        <v>0</v>
      </c>
    </row>
    <row r="131" spans="1:8" ht="15.75" customHeight="1" x14ac:dyDescent="0.2">
      <c r="A131" s="1053" t="s">
        <v>548</v>
      </c>
      <c r="B131" s="1053"/>
      <c r="C131" s="150">
        <f>C91</f>
        <v>0</v>
      </c>
      <c r="D131" s="150">
        <f>D91</f>
        <v>0</v>
      </c>
      <c r="E131" s="150">
        <f>E91</f>
        <v>0</v>
      </c>
      <c r="F131" s="151">
        <f>F91</f>
        <v>0</v>
      </c>
    </row>
    <row r="132" spans="1:8" ht="15.75" customHeight="1" x14ac:dyDescent="0.2">
      <c r="A132" s="1056" t="s">
        <v>549</v>
      </c>
      <c r="B132" s="1056"/>
      <c r="C132" s="152">
        <f>SUM(C127:C131)</f>
        <v>0</v>
      </c>
      <c r="D132" s="152">
        <f>SUM(D127:D131)</f>
        <v>0</v>
      </c>
      <c r="E132" s="231">
        <f>SUM(E127:E131)</f>
        <v>0</v>
      </c>
      <c r="F132" s="153">
        <f>SUM(F127:F131)</f>
        <v>0</v>
      </c>
    </row>
    <row r="133" spans="1:8" ht="15.75" customHeight="1" x14ac:dyDescent="0.2">
      <c r="A133" s="1054" t="s">
        <v>550</v>
      </c>
      <c r="B133" s="1054"/>
      <c r="C133" s="232">
        <f t="shared" ref="C133:F134" si="30">C115</f>
        <v>0</v>
      </c>
      <c r="D133" s="232">
        <f t="shared" si="30"/>
        <v>0</v>
      </c>
      <c r="E133" s="232">
        <f t="shared" si="30"/>
        <v>0</v>
      </c>
      <c r="F133" s="233">
        <f t="shared" si="30"/>
        <v>0</v>
      </c>
    </row>
    <row r="134" spans="1:8" ht="15.75" customHeight="1" x14ac:dyDescent="0.2">
      <c r="A134" s="1053" t="s">
        <v>551</v>
      </c>
      <c r="B134" s="1053"/>
      <c r="C134" s="234">
        <f t="shared" si="30"/>
        <v>0</v>
      </c>
      <c r="D134" s="234">
        <f t="shared" si="30"/>
        <v>0</v>
      </c>
      <c r="E134" s="234">
        <f t="shared" si="30"/>
        <v>0</v>
      </c>
      <c r="F134" s="235">
        <f t="shared" si="30"/>
        <v>0</v>
      </c>
    </row>
    <row r="135" spans="1:8" ht="15.75" customHeight="1" x14ac:dyDescent="0.2">
      <c r="A135" s="1053" t="s">
        <v>552</v>
      </c>
      <c r="B135" s="1053"/>
      <c r="C135" s="234">
        <f>C117</f>
        <v>0</v>
      </c>
      <c r="D135" s="234">
        <f t="shared" ref="D135:F136" si="31">D117</f>
        <v>0</v>
      </c>
      <c r="E135" s="234">
        <f t="shared" si="31"/>
        <v>0</v>
      </c>
      <c r="F135" s="234">
        <f t="shared" si="31"/>
        <v>0</v>
      </c>
    </row>
    <row r="136" spans="1:8" ht="15.75" customHeight="1" x14ac:dyDescent="0.2">
      <c r="A136" s="1053" t="s">
        <v>617</v>
      </c>
      <c r="B136" s="1053"/>
      <c r="C136" s="234">
        <f>C118</f>
        <v>0</v>
      </c>
      <c r="D136" s="234">
        <f t="shared" si="31"/>
        <v>0</v>
      </c>
      <c r="E136" s="234">
        <f t="shared" si="31"/>
        <v>0</v>
      </c>
      <c r="F136" s="234">
        <f t="shared" si="31"/>
        <v>0</v>
      </c>
    </row>
    <row r="137" spans="1:8" ht="15.75" customHeight="1" x14ac:dyDescent="0.2">
      <c r="A137" s="1053" t="s">
        <v>553</v>
      </c>
      <c r="B137" s="1053"/>
      <c r="C137" s="234">
        <f>C119</f>
        <v>0</v>
      </c>
      <c r="D137" s="234">
        <f t="shared" ref="D137:F138" si="32">D119</f>
        <v>0</v>
      </c>
      <c r="E137" s="234">
        <f t="shared" si="32"/>
        <v>0</v>
      </c>
      <c r="F137" s="235">
        <f t="shared" si="32"/>
        <v>0</v>
      </c>
    </row>
    <row r="138" spans="1:8" ht="15.75" customHeight="1" x14ac:dyDescent="0.2">
      <c r="A138" s="1054" t="s">
        <v>554</v>
      </c>
      <c r="B138" s="1054"/>
      <c r="C138" s="234">
        <f>C120</f>
        <v>0</v>
      </c>
      <c r="D138" s="234">
        <f t="shared" si="32"/>
        <v>0</v>
      </c>
      <c r="E138" s="234">
        <f t="shared" si="32"/>
        <v>0</v>
      </c>
      <c r="F138" s="235">
        <f t="shared" si="32"/>
        <v>0</v>
      </c>
    </row>
    <row r="139" spans="1:8" ht="15.75" customHeight="1" x14ac:dyDescent="0.2">
      <c r="A139" s="236" t="s">
        <v>555</v>
      </c>
      <c r="B139" s="237"/>
      <c r="C139" s="238">
        <f>C132+C133</f>
        <v>0</v>
      </c>
      <c r="D139" s="238">
        <f>D132+D133</f>
        <v>0</v>
      </c>
      <c r="E139" s="238">
        <f>E132+E133</f>
        <v>0</v>
      </c>
      <c r="F139" s="239">
        <f>F132+F133</f>
        <v>0</v>
      </c>
    </row>
    <row r="140" spans="1:8" ht="15.75" customHeight="1" x14ac:dyDescent="0.2">
      <c r="A140" s="240" t="s">
        <v>556</v>
      </c>
      <c r="B140" s="241"/>
      <c r="C140" s="242">
        <f>C132+C134</f>
        <v>0</v>
      </c>
      <c r="D140" s="242">
        <f>D132+D134</f>
        <v>0</v>
      </c>
      <c r="E140" s="242">
        <f>E132+E134</f>
        <v>0</v>
      </c>
      <c r="F140" s="243">
        <f>F132+F134</f>
        <v>0</v>
      </c>
      <c r="H140" s="791"/>
    </row>
    <row r="141" spans="1:8" ht="15.75" customHeight="1" x14ac:dyDescent="0.2">
      <c r="A141" s="240" t="s">
        <v>557</v>
      </c>
      <c r="B141" s="241"/>
      <c r="C141" s="242">
        <f>C132+C135</f>
        <v>0</v>
      </c>
      <c r="D141" s="242">
        <f>D132+D135</f>
        <v>0</v>
      </c>
      <c r="E141" s="242">
        <f>E132+E135</f>
        <v>0</v>
      </c>
      <c r="F141" s="243">
        <f>F132+F135</f>
        <v>0</v>
      </c>
      <c r="H141" s="791"/>
    </row>
    <row r="142" spans="1:8" ht="15.75" customHeight="1" x14ac:dyDescent="0.2">
      <c r="A142" s="240" t="s">
        <v>618</v>
      </c>
      <c r="B142" s="241"/>
      <c r="C142" s="242">
        <f>C132+C136</f>
        <v>0</v>
      </c>
      <c r="D142" s="242">
        <f t="shared" ref="D142:F142" si="33">D132+D136</f>
        <v>0</v>
      </c>
      <c r="E142" s="242">
        <f t="shared" si="33"/>
        <v>0</v>
      </c>
      <c r="F142" s="242">
        <f t="shared" si="33"/>
        <v>0</v>
      </c>
    </row>
    <row r="143" spans="1:8" ht="15.75" customHeight="1" x14ac:dyDescent="0.2">
      <c r="A143" s="240" t="s">
        <v>558</v>
      </c>
      <c r="B143" s="241"/>
      <c r="C143" s="242">
        <f>C132+C137</f>
        <v>0</v>
      </c>
      <c r="D143" s="242">
        <f>D132+D137</f>
        <v>0</v>
      </c>
      <c r="E143" s="242">
        <f>E132+E137</f>
        <v>0</v>
      </c>
      <c r="F143" s="243">
        <f>F132+F137</f>
        <v>0</v>
      </c>
    </row>
    <row r="144" spans="1:8" ht="15.75" customHeight="1" x14ac:dyDescent="0.2">
      <c r="A144" s="240" t="s">
        <v>559</v>
      </c>
      <c r="B144" s="241"/>
      <c r="C144" s="242">
        <f>C132+C138</f>
        <v>0</v>
      </c>
      <c r="D144" s="242">
        <f>D132+D138</f>
        <v>0</v>
      </c>
      <c r="E144" s="242">
        <f>E132+E138</f>
        <v>0</v>
      </c>
      <c r="F144" s="243">
        <f>F132+F138</f>
        <v>0</v>
      </c>
    </row>
    <row r="145" spans="1:17" ht="15.75" customHeight="1" x14ac:dyDescent="0.2">
      <c r="A145" s="736" t="s">
        <v>560</v>
      </c>
      <c r="B145" s="737"/>
      <c r="C145" s="738">
        <f>C139/220</f>
        <v>0</v>
      </c>
      <c r="D145" s="738"/>
      <c r="E145" s="751"/>
      <c r="F145" s="739"/>
    </row>
    <row r="146" spans="1:17" ht="15.75" customHeight="1" x14ac:dyDescent="0.2">
      <c r="A146" s="408" t="s">
        <v>561</v>
      </c>
      <c r="B146" s="246"/>
      <c r="C146" s="247">
        <f t="shared" ref="C146:C150" si="34">C140/220</f>
        <v>0</v>
      </c>
      <c r="D146" s="247"/>
      <c r="E146" s="735"/>
      <c r="F146" s="740"/>
    </row>
    <row r="147" spans="1:17" ht="15.75" customHeight="1" x14ac:dyDescent="0.2">
      <c r="A147" s="408" t="s">
        <v>562</v>
      </c>
      <c r="B147" s="246"/>
      <c r="C147" s="247">
        <f t="shared" si="34"/>
        <v>0</v>
      </c>
      <c r="D147" s="247"/>
      <c r="E147" s="735"/>
      <c r="F147" s="740"/>
    </row>
    <row r="148" spans="1:17" ht="15.75" customHeight="1" x14ac:dyDescent="0.2">
      <c r="A148" s="408" t="s">
        <v>619</v>
      </c>
      <c r="B148" s="246"/>
      <c r="C148" s="247">
        <f t="shared" si="34"/>
        <v>0</v>
      </c>
      <c r="D148" s="247"/>
      <c r="E148" s="735"/>
      <c r="F148" s="740"/>
    </row>
    <row r="149" spans="1:17" ht="15.75" customHeight="1" x14ac:dyDescent="0.2">
      <c r="A149" s="408" t="s">
        <v>563</v>
      </c>
      <c r="B149" s="246"/>
      <c r="C149" s="247">
        <f t="shared" si="34"/>
        <v>0</v>
      </c>
      <c r="D149" s="247"/>
      <c r="E149" s="735"/>
      <c r="F149" s="740"/>
    </row>
    <row r="150" spans="1:17" ht="15.75" customHeight="1" x14ac:dyDescent="0.2">
      <c r="A150" s="410" t="s">
        <v>564</v>
      </c>
      <c r="B150" s="411"/>
      <c r="C150" s="412">
        <f t="shared" si="34"/>
        <v>0</v>
      </c>
      <c r="D150" s="412"/>
      <c r="E150" s="752"/>
      <c r="F150" s="741"/>
    </row>
    <row r="151" spans="1:17" x14ac:dyDescent="0.2">
      <c r="A151" s="248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7" ht="14.25" customHeight="1" x14ac:dyDescent="0.2">
      <c r="A152" s="1055" t="s">
        <v>565</v>
      </c>
      <c r="B152" s="1055"/>
      <c r="C152" s="1055" t="s">
        <v>566</v>
      </c>
      <c r="D152" s="1055"/>
      <c r="E152" s="1061" t="s">
        <v>567</v>
      </c>
      <c r="F152" s="1062"/>
      <c r="G152" s="1057" t="s">
        <v>568</v>
      </c>
      <c r="H152" s="1057"/>
      <c r="I152" s="1057" t="s">
        <v>620</v>
      </c>
      <c r="J152" s="1057"/>
      <c r="K152" s="1057" t="s">
        <v>569</v>
      </c>
      <c r="L152" s="1057"/>
      <c r="M152" s="1057" t="s">
        <v>570</v>
      </c>
      <c r="N152" s="1057"/>
    </row>
    <row r="153" spans="1:17" ht="38.25" x14ac:dyDescent="0.2">
      <c r="A153" s="271" t="s">
        <v>571</v>
      </c>
      <c r="B153" s="272" t="s">
        <v>572</v>
      </c>
      <c r="C153" s="272" t="s">
        <v>573</v>
      </c>
      <c r="D153" s="272" t="s">
        <v>574</v>
      </c>
      <c r="E153" s="272" t="s">
        <v>573</v>
      </c>
      <c r="F153" s="272" t="s">
        <v>574</v>
      </c>
      <c r="G153" s="272" t="s">
        <v>573</v>
      </c>
      <c r="H153" s="272" t="s">
        <v>574</v>
      </c>
      <c r="I153" s="272" t="s">
        <v>573</v>
      </c>
      <c r="J153" s="272" t="s">
        <v>574</v>
      </c>
      <c r="K153" s="272" t="s">
        <v>573</v>
      </c>
      <c r="L153" s="272" t="s">
        <v>574</v>
      </c>
      <c r="M153" s="272" t="s">
        <v>573</v>
      </c>
      <c r="N153" s="272" t="s">
        <v>574</v>
      </c>
    </row>
    <row r="154" spans="1:17" x14ac:dyDescent="0.2">
      <c r="A154" s="273" t="s">
        <v>575</v>
      </c>
      <c r="B154" s="274">
        <f>1/'Prod. GEXJVL'!C15</f>
        <v>1.25E-3</v>
      </c>
      <c r="C154" s="275">
        <f>C139</f>
        <v>0</v>
      </c>
      <c r="D154" s="275">
        <f>B154*C154</f>
        <v>0</v>
      </c>
      <c r="E154" s="275">
        <f>C140</f>
        <v>0</v>
      </c>
      <c r="F154" s="275">
        <f>B154*E154</f>
        <v>0</v>
      </c>
      <c r="G154" s="275">
        <f>C141</f>
        <v>0</v>
      </c>
      <c r="H154" s="275">
        <f>B154*G154</f>
        <v>0</v>
      </c>
      <c r="I154" s="275">
        <f>C142</f>
        <v>0</v>
      </c>
      <c r="J154" s="275">
        <f>B154*I154</f>
        <v>0</v>
      </c>
      <c r="K154" s="275">
        <f>C143</f>
        <v>0</v>
      </c>
      <c r="L154" s="275">
        <f>B154*K154</f>
        <v>0</v>
      </c>
      <c r="M154" s="275">
        <f>C144</f>
        <v>0</v>
      </c>
      <c r="N154" s="275">
        <f>B154*M154</f>
        <v>0</v>
      </c>
    </row>
    <row r="155" spans="1:17" x14ac:dyDescent="0.2">
      <c r="A155" s="276" t="s">
        <v>576</v>
      </c>
      <c r="B155" s="274">
        <f>B154/'Prod. GEXJVL'!O15</f>
        <v>7.8125000000000002E-5</v>
      </c>
      <c r="C155" s="275">
        <f>F140</f>
        <v>0</v>
      </c>
      <c r="D155" s="275">
        <f>C155*B155</f>
        <v>0</v>
      </c>
      <c r="E155" s="275">
        <f>F140</f>
        <v>0</v>
      </c>
      <c r="F155" s="275">
        <f>B155*E155</f>
        <v>0</v>
      </c>
      <c r="G155" s="275">
        <f>F140</f>
        <v>0</v>
      </c>
      <c r="H155" s="275">
        <f>B155*G155</f>
        <v>0</v>
      </c>
      <c r="I155" s="275">
        <f>F140</f>
        <v>0</v>
      </c>
      <c r="J155" s="275">
        <f>B155*I155</f>
        <v>0</v>
      </c>
      <c r="K155" s="275">
        <f>F143</f>
        <v>0</v>
      </c>
      <c r="L155" s="275">
        <f>B155*K155</f>
        <v>0</v>
      </c>
      <c r="M155" s="275">
        <f>F140</f>
        <v>0</v>
      </c>
      <c r="N155" s="275">
        <f>B155*M155</f>
        <v>0</v>
      </c>
      <c r="O155" s="1068"/>
      <c r="P155" s="1069"/>
      <c r="Q155" s="429"/>
    </row>
    <row r="156" spans="1:17" x14ac:dyDescent="0.2">
      <c r="A156" s="277" t="s">
        <v>577</v>
      </c>
      <c r="B156" s="278"/>
      <c r="C156" s="279"/>
      <c r="D156" s="279">
        <f>SUM(D154:D155)</f>
        <v>0</v>
      </c>
      <c r="E156" s="279"/>
      <c r="F156" s="279">
        <f>SUM(F154:F155)</f>
        <v>0</v>
      </c>
      <c r="G156" s="279"/>
      <c r="H156" s="279">
        <f>SUM(H154:H155)</f>
        <v>0</v>
      </c>
      <c r="I156" s="279"/>
      <c r="J156" s="279">
        <f t="shared" ref="J156" si="35">SUM(J154:J155)</f>
        <v>0</v>
      </c>
      <c r="K156" s="279"/>
      <c r="L156" s="279">
        <f>SUM(L154:L155)</f>
        <v>0</v>
      </c>
      <c r="M156" s="279"/>
      <c r="N156" s="279">
        <f>SUM(N154:N155)</f>
        <v>0</v>
      </c>
      <c r="O156" s="427"/>
      <c r="P156" s="428"/>
    </row>
    <row r="157" spans="1:17" x14ac:dyDescent="0.2">
      <c r="A157" s="249"/>
      <c r="B157" s="250"/>
      <c r="C157" s="250"/>
      <c r="D157" s="251"/>
      <c r="E157" s="251"/>
      <c r="F157"/>
      <c r="G157"/>
      <c r="H157"/>
      <c r="I157"/>
      <c r="J157"/>
      <c r="K157"/>
      <c r="L157"/>
      <c r="M157"/>
      <c r="N157"/>
    </row>
    <row r="158" spans="1:17" ht="14.25" customHeight="1" x14ac:dyDescent="0.2">
      <c r="A158" s="1058" t="s">
        <v>578</v>
      </c>
      <c r="B158" s="1058"/>
      <c r="C158" s="1058" t="s">
        <v>566</v>
      </c>
      <c r="D158" s="1058"/>
      <c r="E158" s="1059" t="s">
        <v>567</v>
      </c>
      <c r="F158" s="1060"/>
      <c r="G158" s="1058" t="s">
        <v>568</v>
      </c>
      <c r="H158" s="1058"/>
      <c r="I158" s="1057" t="s">
        <v>620</v>
      </c>
      <c r="J158" s="1057"/>
      <c r="K158" s="1058" t="s">
        <v>569</v>
      </c>
      <c r="L158" s="1058"/>
      <c r="M158" s="1058" t="s">
        <v>570</v>
      </c>
      <c r="N158" s="1058"/>
    </row>
    <row r="159" spans="1:17" ht="38.25" x14ac:dyDescent="0.2">
      <c r="A159" s="271" t="s">
        <v>571</v>
      </c>
      <c r="B159" s="272" t="s">
        <v>579</v>
      </c>
      <c r="C159" s="272" t="s">
        <v>573</v>
      </c>
      <c r="D159" s="272" t="s">
        <v>574</v>
      </c>
      <c r="E159" s="272" t="s">
        <v>573</v>
      </c>
      <c r="F159" s="272" t="s">
        <v>574</v>
      </c>
      <c r="G159" s="272" t="s">
        <v>573</v>
      </c>
      <c r="H159" s="272" t="s">
        <v>574</v>
      </c>
      <c r="I159" s="272" t="s">
        <v>573</v>
      </c>
      <c r="J159" s="272" t="s">
        <v>574</v>
      </c>
      <c r="K159" s="272" t="s">
        <v>573</v>
      </c>
      <c r="L159" s="272" t="s">
        <v>574</v>
      </c>
      <c r="M159" s="272" t="s">
        <v>573</v>
      </c>
      <c r="N159" s="272" t="s">
        <v>574</v>
      </c>
    </row>
    <row r="160" spans="1:17" x14ac:dyDescent="0.2">
      <c r="A160" s="273" t="s">
        <v>575</v>
      </c>
      <c r="B160" s="280">
        <f>1/'Prod. GEXJVL'!D15</f>
        <v>6.6666666666666664E-4</v>
      </c>
      <c r="C160" s="281">
        <f>C139</f>
        <v>0</v>
      </c>
      <c r="D160" s="275">
        <f>B160*C160</f>
        <v>0</v>
      </c>
      <c r="E160" s="275">
        <f>C140</f>
        <v>0</v>
      </c>
      <c r="F160" s="275">
        <f>B160*E160</f>
        <v>0</v>
      </c>
      <c r="G160" s="275">
        <f>C141</f>
        <v>0</v>
      </c>
      <c r="H160" s="275">
        <f>B160*G160</f>
        <v>0</v>
      </c>
      <c r="I160" s="275">
        <f>C142</f>
        <v>0</v>
      </c>
      <c r="J160" s="275">
        <f>B160*I160</f>
        <v>0</v>
      </c>
      <c r="K160" s="275">
        <f>C143</f>
        <v>0</v>
      </c>
      <c r="L160" s="275">
        <f>B160*K160</f>
        <v>0</v>
      </c>
      <c r="M160" s="275">
        <f>C144</f>
        <v>0</v>
      </c>
      <c r="N160" s="275">
        <f>B160*M160</f>
        <v>0</v>
      </c>
    </row>
    <row r="161" spans="1:14" x14ac:dyDescent="0.2">
      <c r="A161" s="276" t="s">
        <v>576</v>
      </c>
      <c r="B161" s="274">
        <f>B160/'Prod. GEXJVL'!O15</f>
        <v>4.1666666666666665E-5</v>
      </c>
      <c r="C161" s="275">
        <f>F140</f>
        <v>0</v>
      </c>
      <c r="D161" s="275">
        <f>B161*C161</f>
        <v>0</v>
      </c>
      <c r="E161" s="275">
        <f>F140</f>
        <v>0</v>
      </c>
      <c r="F161" s="275">
        <f>B161*E161</f>
        <v>0</v>
      </c>
      <c r="G161" s="275">
        <f>F140</f>
        <v>0</v>
      </c>
      <c r="H161" s="275">
        <f>B161*G161</f>
        <v>0</v>
      </c>
      <c r="I161" s="275">
        <f>F140</f>
        <v>0</v>
      </c>
      <c r="J161" s="275">
        <f>B161*I161</f>
        <v>0</v>
      </c>
      <c r="K161" s="275">
        <f>F143</f>
        <v>0</v>
      </c>
      <c r="L161" s="275">
        <f>B161*K161</f>
        <v>0</v>
      </c>
      <c r="M161" s="275">
        <f>F140</f>
        <v>0</v>
      </c>
      <c r="N161" s="275">
        <f>B161*M161</f>
        <v>0</v>
      </c>
    </row>
    <row r="162" spans="1:14" x14ac:dyDescent="0.2">
      <c r="A162" s="277" t="s">
        <v>580</v>
      </c>
      <c r="B162" s="278"/>
      <c r="C162" s="279"/>
      <c r="D162" s="279">
        <f>SUM(D160:D161)</f>
        <v>0</v>
      </c>
      <c r="E162" s="279"/>
      <c r="F162" s="279">
        <f>SUM(F160:F161)</f>
        <v>0</v>
      </c>
      <c r="G162" s="279"/>
      <c r="H162" s="279">
        <f>SUM(H160:H161)</f>
        <v>0</v>
      </c>
      <c r="I162" s="279"/>
      <c r="J162" s="279">
        <f t="shared" ref="J162" si="36">SUM(J160:J161)</f>
        <v>0</v>
      </c>
      <c r="K162" s="279"/>
      <c r="L162" s="279">
        <f>SUM(L160:L161)</f>
        <v>0</v>
      </c>
      <c r="M162" s="279"/>
      <c r="N162" s="279">
        <f>SUM(N160:N161)</f>
        <v>0</v>
      </c>
    </row>
    <row r="163" spans="1:14" x14ac:dyDescent="0.2">
      <c r="A163" s="249"/>
      <c r="B163" s="252"/>
      <c r="C163" s="252"/>
      <c r="D163" s="252"/>
      <c r="E163" s="252"/>
      <c r="F163"/>
      <c r="G163"/>
      <c r="H163"/>
      <c r="I163"/>
      <c r="J163"/>
      <c r="K163"/>
      <c r="L163"/>
      <c r="M163"/>
      <c r="N163"/>
    </row>
    <row r="164" spans="1:14" ht="14.25" customHeight="1" x14ac:dyDescent="0.2">
      <c r="A164" s="1058" t="s">
        <v>581</v>
      </c>
      <c r="B164" s="1058"/>
      <c r="C164" s="1058" t="s">
        <v>566</v>
      </c>
      <c r="D164" s="1058"/>
      <c r="E164" s="1059" t="s">
        <v>567</v>
      </c>
      <c r="F164" s="1060"/>
      <c r="G164" s="1058" t="s">
        <v>568</v>
      </c>
      <c r="H164" s="1058"/>
      <c r="I164" s="1057" t="s">
        <v>620</v>
      </c>
      <c r="J164" s="1057"/>
      <c r="K164" s="1058" t="s">
        <v>569</v>
      </c>
      <c r="L164" s="1058"/>
      <c r="M164" s="1058" t="s">
        <v>570</v>
      </c>
      <c r="N164" s="1058"/>
    </row>
    <row r="165" spans="1:14" ht="38.25" x14ac:dyDescent="0.2">
      <c r="A165" s="271" t="s">
        <v>571</v>
      </c>
      <c r="B165" s="272" t="s">
        <v>579</v>
      </c>
      <c r="C165" s="272" t="s">
        <v>573</v>
      </c>
      <c r="D165" s="272" t="s">
        <v>574</v>
      </c>
      <c r="E165" s="272" t="s">
        <v>573</v>
      </c>
      <c r="F165" s="272" t="s">
        <v>574</v>
      </c>
      <c r="G165" s="272" t="s">
        <v>573</v>
      </c>
      <c r="H165" s="272" t="s">
        <v>574</v>
      </c>
      <c r="I165" s="272" t="s">
        <v>573</v>
      </c>
      <c r="J165" s="272" t="s">
        <v>574</v>
      </c>
      <c r="K165" s="272" t="s">
        <v>573</v>
      </c>
      <c r="L165" s="272" t="s">
        <v>574</v>
      </c>
      <c r="M165" s="272" t="s">
        <v>573</v>
      </c>
      <c r="N165" s="272" t="s">
        <v>574</v>
      </c>
    </row>
    <row r="166" spans="1:14" x14ac:dyDescent="0.2">
      <c r="A166" s="273" t="s">
        <v>575</v>
      </c>
      <c r="B166" s="280">
        <f>1/'Prod. GEXJVL'!E15</f>
        <v>1E-3</v>
      </c>
      <c r="C166" s="281">
        <f>C139</f>
        <v>0</v>
      </c>
      <c r="D166" s="275">
        <f>B166*C166</f>
        <v>0</v>
      </c>
      <c r="E166" s="275">
        <f>C140</f>
        <v>0</v>
      </c>
      <c r="F166" s="275">
        <f>B166*E166</f>
        <v>0</v>
      </c>
      <c r="G166" s="275">
        <f>C141</f>
        <v>0</v>
      </c>
      <c r="H166" s="275">
        <f>B166*G166</f>
        <v>0</v>
      </c>
      <c r="I166" s="275">
        <f>C142</f>
        <v>0</v>
      </c>
      <c r="J166" s="275">
        <f>B166*I166</f>
        <v>0</v>
      </c>
      <c r="K166" s="275">
        <f>C143</f>
        <v>0</v>
      </c>
      <c r="L166" s="275">
        <f>B166*K166</f>
        <v>0</v>
      </c>
      <c r="M166" s="275">
        <f>C144</f>
        <v>0</v>
      </c>
      <c r="N166" s="275">
        <f>B166*M166</f>
        <v>0</v>
      </c>
    </row>
    <row r="167" spans="1:14" x14ac:dyDescent="0.2">
      <c r="A167" s="276" t="s">
        <v>576</v>
      </c>
      <c r="B167" s="274">
        <f>B166/'Prod. GEXJVL'!O15</f>
        <v>6.2500000000000001E-5</v>
      </c>
      <c r="C167" s="275">
        <f>F140</f>
        <v>0</v>
      </c>
      <c r="D167" s="275">
        <f>B167*C167</f>
        <v>0</v>
      </c>
      <c r="E167" s="275">
        <f>F140</f>
        <v>0</v>
      </c>
      <c r="F167" s="275">
        <f>B167*E167</f>
        <v>0</v>
      </c>
      <c r="G167" s="275">
        <f>F140</f>
        <v>0</v>
      </c>
      <c r="H167" s="275">
        <f>B167*G167</f>
        <v>0</v>
      </c>
      <c r="I167" s="275">
        <f>F140</f>
        <v>0</v>
      </c>
      <c r="J167" s="275">
        <f>B167*I167</f>
        <v>0</v>
      </c>
      <c r="K167" s="275">
        <f>F143</f>
        <v>0</v>
      </c>
      <c r="L167" s="275">
        <f>B167*K167</f>
        <v>0</v>
      </c>
      <c r="M167" s="275">
        <f>F140</f>
        <v>0</v>
      </c>
      <c r="N167" s="275">
        <f>B167*M167</f>
        <v>0</v>
      </c>
    </row>
    <row r="168" spans="1:14" x14ac:dyDescent="0.2">
      <c r="A168" s="277" t="s">
        <v>580</v>
      </c>
      <c r="B168" s="278"/>
      <c r="C168" s="279"/>
      <c r="D168" s="279">
        <f>SUM(D166:D167)</f>
        <v>0</v>
      </c>
      <c r="E168" s="279"/>
      <c r="F168" s="279">
        <f>SUM(F166:F167)</f>
        <v>0</v>
      </c>
      <c r="G168" s="279"/>
      <c r="H168" s="279">
        <f>SUM(H166:H167)</f>
        <v>0</v>
      </c>
      <c r="I168" s="279"/>
      <c r="J168" s="279">
        <f t="shared" ref="J168" si="37">SUM(J166:J167)</f>
        <v>0</v>
      </c>
      <c r="K168" s="279"/>
      <c r="L168" s="279">
        <f>SUM(L166:L167)</f>
        <v>0</v>
      </c>
      <c r="M168" s="279"/>
      <c r="N168" s="279">
        <f>SUM(N166:N167)</f>
        <v>0</v>
      </c>
    </row>
    <row r="169" spans="1:14" x14ac:dyDescent="0.2">
      <c r="A169" s="249"/>
      <c r="B169" s="252"/>
      <c r="C169" s="252"/>
      <c r="D169" s="252"/>
      <c r="E169" s="252"/>
      <c r="F169"/>
      <c r="G169"/>
      <c r="H169"/>
      <c r="I169"/>
      <c r="J169"/>
      <c r="K169"/>
      <c r="L169"/>
      <c r="M169"/>
      <c r="N169"/>
    </row>
    <row r="170" spans="1:14" ht="14.25" customHeight="1" x14ac:dyDescent="0.2">
      <c r="A170" s="1058" t="s">
        <v>582</v>
      </c>
      <c r="B170" s="1058"/>
      <c r="C170" s="1058" t="s">
        <v>566</v>
      </c>
      <c r="D170" s="1058"/>
      <c r="E170" s="1059" t="s">
        <v>567</v>
      </c>
      <c r="F170" s="1060"/>
      <c r="G170" s="1058" t="s">
        <v>568</v>
      </c>
      <c r="H170" s="1058"/>
      <c r="I170" s="1057" t="s">
        <v>620</v>
      </c>
      <c r="J170" s="1057"/>
      <c r="K170" s="1058" t="s">
        <v>569</v>
      </c>
      <c r="L170" s="1058"/>
      <c r="M170" s="1058" t="s">
        <v>570</v>
      </c>
      <c r="N170" s="1058"/>
    </row>
    <row r="171" spans="1:14" ht="38.25" x14ac:dyDescent="0.2">
      <c r="A171" s="271" t="s">
        <v>571</v>
      </c>
      <c r="B171" s="272" t="s">
        <v>579</v>
      </c>
      <c r="C171" s="272" t="s">
        <v>573</v>
      </c>
      <c r="D171" s="272" t="s">
        <v>574</v>
      </c>
      <c r="E171" s="272" t="s">
        <v>573</v>
      </c>
      <c r="F171" s="272" t="s">
        <v>574</v>
      </c>
      <c r="G171" s="272" t="s">
        <v>573</v>
      </c>
      <c r="H171" s="272" t="s">
        <v>574</v>
      </c>
      <c r="I171" s="272" t="s">
        <v>573</v>
      </c>
      <c r="J171" s="272" t="s">
        <v>574</v>
      </c>
      <c r="K171" s="272" t="s">
        <v>573</v>
      </c>
      <c r="L171" s="272" t="s">
        <v>574</v>
      </c>
      <c r="M171" s="272" t="s">
        <v>573</v>
      </c>
      <c r="N171" s="272" t="s">
        <v>574</v>
      </c>
    </row>
    <row r="172" spans="1:14" x14ac:dyDescent="0.2">
      <c r="A172" s="273" t="s">
        <v>575</v>
      </c>
      <c r="B172" s="280">
        <f>1/'Prod. GEXJVL'!F15</f>
        <v>5.0000000000000001E-3</v>
      </c>
      <c r="C172" s="275">
        <f>C139</f>
        <v>0</v>
      </c>
      <c r="D172" s="275">
        <f>B172*C172</f>
        <v>0</v>
      </c>
      <c r="E172" s="275">
        <f>C140</f>
        <v>0</v>
      </c>
      <c r="F172" s="275">
        <f>B172*E172</f>
        <v>0</v>
      </c>
      <c r="G172" s="275">
        <f>C141</f>
        <v>0</v>
      </c>
      <c r="H172" s="275">
        <f>B172*G172</f>
        <v>0</v>
      </c>
      <c r="I172" s="275">
        <f>C142</f>
        <v>0</v>
      </c>
      <c r="J172" s="275">
        <f>B172*I172</f>
        <v>0</v>
      </c>
      <c r="K172" s="275">
        <f>C143</f>
        <v>0</v>
      </c>
      <c r="L172" s="275">
        <f>B172*K172</f>
        <v>0</v>
      </c>
      <c r="M172" s="275">
        <f>C144</f>
        <v>0</v>
      </c>
      <c r="N172" s="275">
        <f>B172*M172</f>
        <v>0</v>
      </c>
    </row>
    <row r="173" spans="1:14" x14ac:dyDescent="0.2">
      <c r="A173" s="276" t="s">
        <v>576</v>
      </c>
      <c r="B173" s="274">
        <f>B172/'Prod. GEXJVL'!O15</f>
        <v>3.1250000000000001E-4</v>
      </c>
      <c r="C173" s="275">
        <f>F140</f>
        <v>0</v>
      </c>
      <c r="D173" s="275">
        <f>C173*B173</f>
        <v>0</v>
      </c>
      <c r="E173" s="275">
        <f>F140</f>
        <v>0</v>
      </c>
      <c r="F173" s="275">
        <f>B173*E173</f>
        <v>0</v>
      </c>
      <c r="G173" s="275">
        <f>F140</f>
        <v>0</v>
      </c>
      <c r="H173" s="275">
        <f>B173*G173</f>
        <v>0</v>
      </c>
      <c r="I173" s="275">
        <f>F140</f>
        <v>0</v>
      </c>
      <c r="J173" s="275">
        <f>B173*I173</f>
        <v>0</v>
      </c>
      <c r="K173" s="275">
        <f>F143</f>
        <v>0</v>
      </c>
      <c r="L173" s="275">
        <f>B173*K173</f>
        <v>0</v>
      </c>
      <c r="M173" s="275">
        <f>F140</f>
        <v>0</v>
      </c>
      <c r="N173" s="275">
        <f>B173*M173</f>
        <v>0</v>
      </c>
    </row>
    <row r="174" spans="1:14" x14ac:dyDescent="0.2">
      <c r="A174" s="277" t="s">
        <v>580</v>
      </c>
      <c r="B174" s="278"/>
      <c r="C174" s="279"/>
      <c r="D174" s="279">
        <f>SUM(D172:D173)</f>
        <v>0</v>
      </c>
      <c r="E174" s="279"/>
      <c r="F174" s="279">
        <f>SUM(F172:F173)</f>
        <v>0</v>
      </c>
      <c r="G174" s="279"/>
      <c r="H174" s="279">
        <f>SUM(H172:H173)</f>
        <v>0</v>
      </c>
      <c r="I174" s="279"/>
      <c r="J174" s="279">
        <f t="shared" ref="J174" si="38">SUM(J172:J173)</f>
        <v>0</v>
      </c>
      <c r="K174" s="279"/>
      <c r="L174" s="279">
        <f>SUM(L172:L173)</f>
        <v>0</v>
      </c>
      <c r="M174" s="279"/>
      <c r="N174" s="279">
        <f>SUM(N172:N173)</f>
        <v>0</v>
      </c>
    </row>
    <row r="175" spans="1:14" x14ac:dyDescent="0.2">
      <c r="A175" s="249"/>
      <c r="B175" s="253"/>
      <c r="C175" s="253"/>
      <c r="D175" s="253"/>
      <c r="E175" s="253"/>
    </row>
    <row r="176" spans="1:14" ht="14.25" customHeight="1" x14ac:dyDescent="0.2">
      <c r="A176" s="1063" t="s">
        <v>583</v>
      </c>
      <c r="B176" s="1063"/>
      <c r="C176" s="1063" t="s">
        <v>566</v>
      </c>
      <c r="D176" s="1063"/>
      <c r="E176" s="1066" t="s">
        <v>567</v>
      </c>
      <c r="F176" s="1067"/>
      <c r="G176" s="1063" t="s">
        <v>568</v>
      </c>
      <c r="H176" s="1063"/>
      <c r="I176" s="1063" t="s">
        <v>620</v>
      </c>
      <c r="J176" s="1063"/>
      <c r="K176" s="1063" t="s">
        <v>569</v>
      </c>
      <c r="L176" s="1063"/>
      <c r="M176" s="1063" t="s">
        <v>570</v>
      </c>
      <c r="N176" s="1063"/>
    </row>
    <row r="177" spans="1:16" ht="38.25" x14ac:dyDescent="0.2">
      <c r="A177" s="271" t="s">
        <v>571</v>
      </c>
      <c r="B177" s="272" t="s">
        <v>579</v>
      </c>
      <c r="C177" s="272" t="s">
        <v>573</v>
      </c>
      <c r="D177" s="272" t="s">
        <v>574</v>
      </c>
      <c r="E177" s="272" t="s">
        <v>573</v>
      </c>
      <c r="F177" s="272" t="s">
        <v>574</v>
      </c>
      <c r="G177" s="272" t="s">
        <v>573</v>
      </c>
      <c r="H177" s="272" t="s">
        <v>574</v>
      </c>
      <c r="I177" s="272" t="s">
        <v>573</v>
      </c>
      <c r="J177" s="272" t="s">
        <v>574</v>
      </c>
      <c r="K177" s="272" t="s">
        <v>573</v>
      </c>
      <c r="L177" s="272" t="s">
        <v>574</v>
      </c>
      <c r="M177" s="272" t="s">
        <v>573</v>
      </c>
      <c r="N177" s="272" t="s">
        <v>574</v>
      </c>
    </row>
    <row r="178" spans="1:16" x14ac:dyDescent="0.2">
      <c r="A178" s="273" t="s">
        <v>584</v>
      </c>
      <c r="B178" s="280">
        <f>1/'Prod. GEXJVL'!G15</f>
        <v>5.5555555555555556E-4</v>
      </c>
      <c r="C178" s="275">
        <f>C139</f>
        <v>0</v>
      </c>
      <c r="D178" s="275">
        <f>B178*C178</f>
        <v>0</v>
      </c>
      <c r="E178" s="275">
        <f>C140</f>
        <v>0</v>
      </c>
      <c r="F178" s="275">
        <f>B178*E178</f>
        <v>0</v>
      </c>
      <c r="G178" s="275">
        <f>C141</f>
        <v>0</v>
      </c>
      <c r="H178" s="275">
        <f>B178*G178</f>
        <v>0</v>
      </c>
      <c r="I178" s="275">
        <f>C142</f>
        <v>0</v>
      </c>
      <c r="J178" s="275">
        <f>B178*I178</f>
        <v>0</v>
      </c>
      <c r="K178" s="275">
        <f>C143</f>
        <v>0</v>
      </c>
      <c r="L178" s="275">
        <f>B178*K178</f>
        <v>0</v>
      </c>
      <c r="M178" s="275">
        <f>C144</f>
        <v>0</v>
      </c>
      <c r="N178" s="275">
        <f>B178*M178</f>
        <v>0</v>
      </c>
    </row>
    <row r="179" spans="1:16" x14ac:dyDescent="0.2">
      <c r="A179" s="276" t="s">
        <v>576</v>
      </c>
      <c r="B179" s="274">
        <f>B178/'Prod. GEXJVL'!O15</f>
        <v>3.4722222222222222E-5</v>
      </c>
      <c r="C179" s="275">
        <f>F140</f>
        <v>0</v>
      </c>
      <c r="D179" s="275">
        <f>B179*C179</f>
        <v>0</v>
      </c>
      <c r="E179" s="275">
        <f>F140</f>
        <v>0</v>
      </c>
      <c r="F179" s="275">
        <f>B179*E179</f>
        <v>0</v>
      </c>
      <c r="G179" s="275">
        <f>F140</f>
        <v>0</v>
      </c>
      <c r="H179" s="275">
        <f>B179*G179</f>
        <v>0</v>
      </c>
      <c r="I179" s="275">
        <f>F140</f>
        <v>0</v>
      </c>
      <c r="J179" s="275">
        <f>B179*I179</f>
        <v>0</v>
      </c>
      <c r="K179" s="275">
        <f>F143</f>
        <v>0</v>
      </c>
      <c r="L179" s="275">
        <f>B179*K179</f>
        <v>0</v>
      </c>
      <c r="M179" s="275">
        <f>F140</f>
        <v>0</v>
      </c>
      <c r="N179" s="275">
        <f>B179*M179</f>
        <v>0</v>
      </c>
      <c r="O179" s="1068"/>
      <c r="P179" s="1069"/>
    </row>
    <row r="180" spans="1:16" x14ac:dyDescent="0.2">
      <c r="A180" s="282" t="s">
        <v>585</v>
      </c>
      <c r="B180" s="283"/>
      <c r="C180" s="284"/>
      <c r="D180" s="285">
        <f>SUM(D178:D179)</f>
        <v>0</v>
      </c>
      <c r="E180" s="284"/>
      <c r="F180" s="285">
        <f>SUM(F178:F179)</f>
        <v>0</v>
      </c>
      <c r="G180" s="284"/>
      <c r="H180" s="285">
        <f>SUM(H178:H179)</f>
        <v>0</v>
      </c>
      <c r="I180" s="285"/>
      <c r="J180" s="285">
        <f>J178+J179</f>
        <v>0</v>
      </c>
      <c r="K180" s="284"/>
      <c r="L180" s="285">
        <f>SUM(L178:L179)</f>
        <v>0</v>
      </c>
      <c r="M180" s="284"/>
      <c r="N180" s="285">
        <f>SUM(N178:N179)</f>
        <v>0</v>
      </c>
      <c r="O180" s="427"/>
      <c r="P180" s="428"/>
    </row>
    <row r="181" spans="1:16" x14ac:dyDescent="0.2">
      <c r="A181" s="273" t="s">
        <v>586</v>
      </c>
      <c r="B181" s="280">
        <f>1/'Prod. GEXJVL'!H15</f>
        <v>1.0000000000000001E-5</v>
      </c>
      <c r="C181" s="275">
        <f>C139</f>
        <v>0</v>
      </c>
      <c r="D181" s="275">
        <f>B181*C181</f>
        <v>0</v>
      </c>
      <c r="E181" s="275">
        <f>C140</f>
        <v>0</v>
      </c>
      <c r="F181" s="275">
        <f>B181*E181</f>
        <v>0</v>
      </c>
      <c r="G181" s="275">
        <f>C141</f>
        <v>0</v>
      </c>
      <c r="H181" s="275">
        <f>B181*G181</f>
        <v>0</v>
      </c>
      <c r="I181" s="275">
        <f>C142</f>
        <v>0</v>
      </c>
      <c r="J181" s="275">
        <f>B181*I181</f>
        <v>0</v>
      </c>
      <c r="K181" s="275">
        <f>C143</f>
        <v>0</v>
      </c>
      <c r="L181" s="275">
        <f>B181*K181</f>
        <v>0</v>
      </c>
      <c r="M181" s="275">
        <f>C144</f>
        <v>0</v>
      </c>
      <c r="N181" s="275">
        <f>B181*M181</f>
        <v>0</v>
      </c>
    </row>
    <row r="182" spans="1:16" x14ac:dyDescent="0.2">
      <c r="A182" s="276" t="s">
        <v>576</v>
      </c>
      <c r="B182" s="274">
        <f>B181/'Prod. GEXJVL'!O15</f>
        <v>6.2500000000000005E-7</v>
      </c>
      <c r="C182" s="275">
        <f>F140</f>
        <v>0</v>
      </c>
      <c r="D182" s="275">
        <f>B182*C182</f>
        <v>0</v>
      </c>
      <c r="E182" s="275">
        <f>F140</f>
        <v>0</v>
      </c>
      <c r="F182" s="275">
        <f>B182*E182</f>
        <v>0</v>
      </c>
      <c r="G182" s="275">
        <f>F140</f>
        <v>0</v>
      </c>
      <c r="H182" s="275">
        <f>B182*G182</f>
        <v>0</v>
      </c>
      <c r="I182" s="275">
        <f>F140</f>
        <v>0</v>
      </c>
      <c r="J182" s="275">
        <f>B182*I182</f>
        <v>0</v>
      </c>
      <c r="K182" s="275">
        <f>F143</f>
        <v>0</v>
      </c>
      <c r="L182" s="275">
        <f>B182*K182</f>
        <v>0</v>
      </c>
      <c r="M182" s="275">
        <f>F140</f>
        <v>0</v>
      </c>
      <c r="N182" s="275">
        <f>B182*M182</f>
        <v>0</v>
      </c>
    </row>
    <row r="183" spans="1:16" x14ac:dyDescent="0.2">
      <c r="A183" s="282" t="s">
        <v>587</v>
      </c>
      <c r="B183" s="286"/>
      <c r="C183" s="284"/>
      <c r="D183" s="285">
        <f>SUM(D181:D182)</f>
        <v>0</v>
      </c>
      <c r="E183" s="284"/>
      <c r="F183" s="285">
        <f>SUM(F181:F182)</f>
        <v>0</v>
      </c>
      <c r="G183" s="284"/>
      <c r="H183" s="285">
        <f>SUM(H181:H182)</f>
        <v>0</v>
      </c>
      <c r="I183" s="285"/>
      <c r="J183" s="285">
        <f>J181+J182</f>
        <v>0</v>
      </c>
      <c r="K183" s="284"/>
      <c r="L183" s="285">
        <f>SUM(L181:L182)</f>
        <v>0</v>
      </c>
      <c r="M183" s="284"/>
      <c r="N183" s="285">
        <f>SUM(N181:N182)</f>
        <v>0</v>
      </c>
    </row>
    <row r="184" spans="1:16" x14ac:dyDescent="0.2">
      <c r="A184" s="273" t="s">
        <v>588</v>
      </c>
      <c r="B184" s="280">
        <f>1/'Prod. GEXJVL'!I15</f>
        <v>1.6666666666666666E-4</v>
      </c>
      <c r="C184" s="275">
        <f>C139</f>
        <v>0</v>
      </c>
      <c r="D184" s="275">
        <f>B184*C184</f>
        <v>0</v>
      </c>
      <c r="E184" s="275">
        <f>C140</f>
        <v>0</v>
      </c>
      <c r="F184" s="275">
        <f>B184*E184</f>
        <v>0</v>
      </c>
      <c r="G184" s="275">
        <f>C141</f>
        <v>0</v>
      </c>
      <c r="H184" s="275">
        <f>B184*G184</f>
        <v>0</v>
      </c>
      <c r="I184" s="275">
        <f>C142</f>
        <v>0</v>
      </c>
      <c r="J184" s="275">
        <f>B184*I184</f>
        <v>0</v>
      </c>
      <c r="K184" s="275">
        <f>C143</f>
        <v>0</v>
      </c>
      <c r="L184" s="275">
        <f>B184*K184</f>
        <v>0</v>
      </c>
      <c r="M184" s="275">
        <f>C144</f>
        <v>0</v>
      </c>
      <c r="N184" s="275">
        <f>B184*M184</f>
        <v>0</v>
      </c>
    </row>
    <row r="185" spans="1:16" x14ac:dyDescent="0.2">
      <c r="A185" s="276" t="s">
        <v>576</v>
      </c>
      <c r="B185" s="274">
        <f>B184/'Prod. GEXJVL'!O15</f>
        <v>1.0416666666666666E-5</v>
      </c>
      <c r="C185" s="275">
        <f>F140</f>
        <v>0</v>
      </c>
      <c r="D185" s="275">
        <f>B185*C185</f>
        <v>0</v>
      </c>
      <c r="E185" s="275">
        <f>F140</f>
        <v>0</v>
      </c>
      <c r="F185" s="275">
        <f>B185*E185</f>
        <v>0</v>
      </c>
      <c r="G185" s="275">
        <f>F140</f>
        <v>0</v>
      </c>
      <c r="H185" s="275">
        <f>B185*G185</f>
        <v>0</v>
      </c>
      <c r="I185" s="275">
        <f>F140</f>
        <v>0</v>
      </c>
      <c r="J185" s="275">
        <f>B185*I185</f>
        <v>0</v>
      </c>
      <c r="K185" s="275">
        <f>F143</f>
        <v>0</v>
      </c>
      <c r="L185" s="275">
        <f>B185*K185</f>
        <v>0</v>
      </c>
      <c r="M185" s="275">
        <f>F140</f>
        <v>0</v>
      </c>
      <c r="N185" s="275">
        <f>B185*M185</f>
        <v>0</v>
      </c>
    </row>
    <row r="186" spans="1:16" x14ac:dyDescent="0.2">
      <c r="A186" s="282" t="s">
        <v>589</v>
      </c>
      <c r="B186" s="286"/>
      <c r="C186" s="284"/>
      <c r="D186" s="285">
        <f>SUM(D184:D185)</f>
        <v>0</v>
      </c>
      <c r="E186" s="284"/>
      <c r="F186" s="285">
        <f>SUM(F184:F185)</f>
        <v>0</v>
      </c>
      <c r="G186" s="284"/>
      <c r="H186" s="285">
        <f>SUM(H184:H185)</f>
        <v>0</v>
      </c>
      <c r="I186" s="285"/>
      <c r="J186" s="285">
        <f>J184+J185</f>
        <v>0</v>
      </c>
      <c r="K186" s="284"/>
      <c r="L186" s="285">
        <f>SUM(L184:L185)</f>
        <v>0</v>
      </c>
      <c r="M186" s="284"/>
      <c r="N186" s="285">
        <f>SUM(N184:N185)</f>
        <v>0</v>
      </c>
    </row>
    <row r="187" spans="1:16" x14ac:dyDescent="0.2">
      <c r="A187" s="249"/>
      <c r="B187" s="252"/>
      <c r="C187" s="252"/>
      <c r="D187" s="252"/>
      <c r="E187" s="252"/>
    </row>
    <row r="188" spans="1:16" ht="14.25" customHeight="1" x14ac:dyDescent="0.2">
      <c r="A188" s="1040" t="s">
        <v>590</v>
      </c>
      <c r="B188" s="1040"/>
      <c r="C188" s="1040" t="s">
        <v>566</v>
      </c>
      <c r="D188" s="1040"/>
      <c r="E188" s="1064" t="s">
        <v>567</v>
      </c>
      <c r="F188" s="1065"/>
      <c r="G188" s="1040" t="s">
        <v>568</v>
      </c>
      <c r="H188" s="1040"/>
      <c r="I188" s="1040" t="s">
        <v>620</v>
      </c>
      <c r="J188" s="1040"/>
      <c r="K188" s="1040" t="s">
        <v>569</v>
      </c>
      <c r="L188" s="1040"/>
      <c r="M188" s="1040" t="s">
        <v>570</v>
      </c>
      <c r="N188" s="1040"/>
    </row>
    <row r="189" spans="1:16" ht="38.25" x14ac:dyDescent="0.2">
      <c r="A189" s="271" t="s">
        <v>571</v>
      </c>
      <c r="B189" s="272" t="s">
        <v>579</v>
      </c>
      <c r="C189" s="272" t="s">
        <v>573</v>
      </c>
      <c r="D189" s="272" t="s">
        <v>574</v>
      </c>
      <c r="E189" s="272" t="s">
        <v>573</v>
      </c>
      <c r="F189" s="272" t="s">
        <v>574</v>
      </c>
      <c r="G189" s="272" t="s">
        <v>573</v>
      </c>
      <c r="H189" s="272" t="s">
        <v>574</v>
      </c>
      <c r="I189" s="272" t="s">
        <v>573</v>
      </c>
      <c r="J189" s="272" t="s">
        <v>574</v>
      </c>
      <c r="K189" s="272" t="s">
        <v>573</v>
      </c>
      <c r="L189" s="272" t="s">
        <v>574</v>
      </c>
      <c r="M189" s="272" t="s">
        <v>573</v>
      </c>
      <c r="N189" s="272" t="s">
        <v>574</v>
      </c>
    </row>
    <row r="190" spans="1:16" x14ac:dyDescent="0.2">
      <c r="A190" s="287" t="s">
        <v>591</v>
      </c>
      <c r="B190" s="280">
        <f>(1/'Prod. GEXJVL'!J15)*(1/(30/7*44*6))*8</f>
        <v>4.4191919191919199E-5</v>
      </c>
      <c r="C190" s="275">
        <f>E139</f>
        <v>0</v>
      </c>
      <c r="D190" s="275">
        <f>B190*C190</f>
        <v>0</v>
      </c>
      <c r="E190" s="275">
        <f>E140</f>
        <v>0</v>
      </c>
      <c r="F190" s="275">
        <f>B190*E190</f>
        <v>0</v>
      </c>
      <c r="G190" s="275">
        <f>E141</f>
        <v>0</v>
      </c>
      <c r="H190" s="275">
        <f>B190*G190</f>
        <v>0</v>
      </c>
      <c r="I190" s="275">
        <f>E142</f>
        <v>0</v>
      </c>
      <c r="J190" s="275">
        <f>B190*I190</f>
        <v>0</v>
      </c>
      <c r="K190" s="275">
        <f>E143</f>
        <v>0</v>
      </c>
      <c r="L190" s="275">
        <f>B190*K190</f>
        <v>0</v>
      </c>
      <c r="M190" s="275">
        <f>E144</f>
        <v>0</v>
      </c>
      <c r="N190" s="275">
        <f>B190*M190</f>
        <v>0</v>
      </c>
    </row>
    <row r="191" spans="1:16" x14ac:dyDescent="0.2">
      <c r="A191" s="276" t="s">
        <v>576</v>
      </c>
      <c r="B191" s="280">
        <f>B190/4</f>
        <v>1.10479797979798E-5</v>
      </c>
      <c r="C191" s="275">
        <f>F140</f>
        <v>0</v>
      </c>
      <c r="D191" s="275">
        <f>B191*C191</f>
        <v>0</v>
      </c>
      <c r="E191" s="275">
        <f>F140</f>
        <v>0</v>
      </c>
      <c r="F191" s="275">
        <f>B191*E191</f>
        <v>0</v>
      </c>
      <c r="G191" s="275">
        <f>F140</f>
        <v>0</v>
      </c>
      <c r="H191" s="275">
        <f>B191*G191</f>
        <v>0</v>
      </c>
      <c r="I191" s="275">
        <f>F140</f>
        <v>0</v>
      </c>
      <c r="J191" s="275">
        <f>B191*I191</f>
        <v>0</v>
      </c>
      <c r="K191" s="275">
        <f>F143</f>
        <v>0</v>
      </c>
      <c r="L191" s="275">
        <f>B191*K191</f>
        <v>0</v>
      </c>
      <c r="M191" s="275">
        <f>F140</f>
        <v>0</v>
      </c>
      <c r="N191" s="275">
        <f>B191*M191</f>
        <v>0</v>
      </c>
      <c r="O191" s="1068"/>
      <c r="P191" s="1069"/>
    </row>
    <row r="192" spans="1:16" x14ac:dyDescent="0.2">
      <c r="A192" s="288" t="s">
        <v>592</v>
      </c>
      <c r="B192" s="289"/>
      <c r="C192" s="290"/>
      <c r="D192" s="291">
        <f>SUM(D190:D191)</f>
        <v>0</v>
      </c>
      <c r="E192" s="290"/>
      <c r="F192" s="291">
        <f>SUM(F190:F191)</f>
        <v>0</v>
      </c>
      <c r="G192" s="290"/>
      <c r="H192" s="291">
        <f>SUM(H190:H191)</f>
        <v>0</v>
      </c>
      <c r="I192" s="291"/>
      <c r="J192" s="291">
        <f>J190+J191</f>
        <v>0</v>
      </c>
      <c r="K192" s="290"/>
      <c r="L192" s="291">
        <f>SUM(L190:L191)</f>
        <v>0</v>
      </c>
      <c r="M192" s="290"/>
      <c r="N192" s="291">
        <f>SUM(N190:N191)</f>
        <v>0</v>
      </c>
      <c r="O192" s="427"/>
      <c r="P192" s="428"/>
    </row>
    <row r="193" spans="1:16" x14ac:dyDescent="0.2">
      <c r="A193" s="287" t="s">
        <v>593</v>
      </c>
      <c r="B193" s="280">
        <f>1/'Prod. GEXJVL'!K15*16*(1/188.76)</f>
        <v>2.8254573709119167E-4</v>
      </c>
      <c r="C193" s="275">
        <f>C139</f>
        <v>0</v>
      </c>
      <c r="D193" s="275">
        <f>B193*C193</f>
        <v>0</v>
      </c>
      <c r="E193" s="275">
        <f>C140</f>
        <v>0</v>
      </c>
      <c r="F193" s="275">
        <f>B193*E193</f>
        <v>0</v>
      </c>
      <c r="G193" s="275">
        <f>C141</f>
        <v>0</v>
      </c>
      <c r="H193" s="275">
        <f>B193*G193</f>
        <v>0</v>
      </c>
      <c r="I193" s="275">
        <f>C142</f>
        <v>0</v>
      </c>
      <c r="J193" s="275">
        <f>B193*I193</f>
        <v>0</v>
      </c>
      <c r="K193" s="275">
        <f>C143</f>
        <v>0</v>
      </c>
      <c r="L193" s="275">
        <f>B193*K193</f>
        <v>0</v>
      </c>
      <c r="M193" s="275">
        <f>C144</f>
        <v>0</v>
      </c>
      <c r="N193" s="275">
        <f>B193*M193</f>
        <v>0</v>
      </c>
    </row>
    <row r="194" spans="1:16" x14ac:dyDescent="0.2">
      <c r="A194" s="276" t="s">
        <v>576</v>
      </c>
      <c r="B194" s="280">
        <f>1/('Prod. GEXJVL'!K15*'Prod. GEXJVL'!O15)*16*(1/188.76)</f>
        <v>1.7659108568199479E-5</v>
      </c>
      <c r="C194" s="275">
        <f>F140</f>
        <v>0</v>
      </c>
      <c r="D194" s="275">
        <f>B194*C194</f>
        <v>0</v>
      </c>
      <c r="E194" s="275">
        <f>F140</f>
        <v>0</v>
      </c>
      <c r="F194" s="275">
        <f>B194*E194</f>
        <v>0</v>
      </c>
      <c r="G194" s="275">
        <f>F140</f>
        <v>0</v>
      </c>
      <c r="H194" s="275">
        <f>B194*G194</f>
        <v>0</v>
      </c>
      <c r="I194" s="275">
        <f>F140</f>
        <v>0</v>
      </c>
      <c r="J194" s="275">
        <f>B194*I194</f>
        <v>0</v>
      </c>
      <c r="K194" s="275">
        <f>F140</f>
        <v>0</v>
      </c>
      <c r="L194" s="275">
        <f>B194*K194</f>
        <v>0</v>
      </c>
      <c r="M194" s="275">
        <f>F140</f>
        <v>0</v>
      </c>
      <c r="N194" s="275">
        <f>B194*M194</f>
        <v>0</v>
      </c>
      <c r="O194" s="1068"/>
      <c r="P194" s="1069"/>
    </row>
    <row r="195" spans="1:16" x14ac:dyDescent="0.2">
      <c r="A195" s="288" t="s">
        <v>594</v>
      </c>
      <c r="B195" s="289"/>
      <c r="C195" s="290"/>
      <c r="D195" s="291">
        <f>SUM(D193:D194)</f>
        <v>0</v>
      </c>
      <c r="E195" s="290"/>
      <c r="F195" s="291">
        <f>SUM(F193:F194)</f>
        <v>0</v>
      </c>
      <c r="G195" s="290"/>
      <c r="H195" s="291">
        <f>SUM(H193:H194)</f>
        <v>0</v>
      </c>
      <c r="I195" s="291"/>
      <c r="J195" s="291">
        <f>J193+J194</f>
        <v>0</v>
      </c>
      <c r="K195" s="290"/>
      <c r="L195" s="291">
        <f>SUM(L193:L194)</f>
        <v>0</v>
      </c>
      <c r="M195" s="290"/>
      <c r="N195" s="291">
        <f>SUM(N193:N194)</f>
        <v>0</v>
      </c>
      <c r="O195" s="427"/>
      <c r="P195" s="428"/>
    </row>
    <row r="196" spans="1:16" x14ac:dyDescent="0.2">
      <c r="A196" s="273" t="s">
        <v>595</v>
      </c>
      <c r="B196" s="280">
        <f>1/'Prod. GEXJVL'!L15*16*(1/188.76)</f>
        <v>2.8254573709119167E-4</v>
      </c>
      <c r="C196" s="275">
        <f>C139</f>
        <v>0</v>
      </c>
      <c r="D196" s="275">
        <f>B196*C196</f>
        <v>0</v>
      </c>
      <c r="E196" s="275">
        <f>C140</f>
        <v>0</v>
      </c>
      <c r="F196" s="275">
        <f>B196*E196</f>
        <v>0</v>
      </c>
      <c r="G196" s="275">
        <f>C141</f>
        <v>0</v>
      </c>
      <c r="H196" s="275">
        <f>B196*G196</f>
        <v>0</v>
      </c>
      <c r="I196" s="275">
        <f>C142</f>
        <v>0</v>
      </c>
      <c r="J196" s="275">
        <f>B196*I196</f>
        <v>0</v>
      </c>
      <c r="K196" s="275">
        <f>C143</f>
        <v>0</v>
      </c>
      <c r="L196" s="275">
        <f>B196*K196</f>
        <v>0</v>
      </c>
      <c r="M196" s="275">
        <f>C144</f>
        <v>0</v>
      </c>
      <c r="N196" s="275">
        <f>B196*M196</f>
        <v>0</v>
      </c>
    </row>
    <row r="197" spans="1:16" x14ac:dyDescent="0.2">
      <c r="A197" s="276" t="s">
        <v>576</v>
      </c>
      <c r="B197" s="280">
        <f>1/('Prod. GEXJVL'!L15*'Prod. GEXJVL'!O15)*16*(1/188.76)</f>
        <v>1.7659108568199479E-5</v>
      </c>
      <c r="C197" s="275">
        <f>F140</f>
        <v>0</v>
      </c>
      <c r="D197" s="275">
        <f>B197*C197</f>
        <v>0</v>
      </c>
      <c r="E197" s="275">
        <f>F140</f>
        <v>0</v>
      </c>
      <c r="F197" s="275">
        <f>B197*E197</f>
        <v>0</v>
      </c>
      <c r="G197" s="275">
        <f>F140</f>
        <v>0</v>
      </c>
      <c r="H197" s="275">
        <f>B197*G197</f>
        <v>0</v>
      </c>
      <c r="I197" s="275">
        <f>F140</f>
        <v>0</v>
      </c>
      <c r="J197" s="275">
        <f>B197*I197</f>
        <v>0</v>
      </c>
      <c r="K197" s="275">
        <f>F140</f>
        <v>0</v>
      </c>
      <c r="L197" s="275">
        <f>B197*K197</f>
        <v>0</v>
      </c>
      <c r="M197" s="275">
        <f>F140</f>
        <v>0</v>
      </c>
      <c r="N197" s="275">
        <f>B197*M197</f>
        <v>0</v>
      </c>
      <c r="O197" s="1068"/>
      <c r="P197" s="1069"/>
    </row>
    <row r="198" spans="1:16" x14ac:dyDescent="0.2">
      <c r="A198" s="288" t="s">
        <v>596</v>
      </c>
      <c r="B198" s="289"/>
      <c r="C198" s="290"/>
      <c r="D198" s="291">
        <f>SUM(D196:D197)</f>
        <v>0</v>
      </c>
      <c r="E198" s="290"/>
      <c r="F198" s="291">
        <f>SUM(F196:F197)</f>
        <v>0</v>
      </c>
      <c r="G198" s="290"/>
      <c r="H198" s="291">
        <f>SUM(H196:H197)</f>
        <v>0</v>
      </c>
      <c r="I198" s="291"/>
      <c r="J198" s="291">
        <f>J196+J197</f>
        <v>0</v>
      </c>
      <c r="K198" s="290"/>
      <c r="L198" s="291">
        <f>SUM(L196:L197)</f>
        <v>0</v>
      </c>
      <c r="M198" s="290"/>
      <c r="N198" s="291">
        <f>SUM(N196:N197)</f>
        <v>0</v>
      </c>
      <c r="O198" s="427"/>
      <c r="P198" s="428"/>
    </row>
    <row r="199" spans="1:16" x14ac:dyDescent="0.2">
      <c r="A199" s="248"/>
    </row>
  </sheetData>
  <mergeCells count="75">
    <mergeCell ref="A115:A120"/>
    <mergeCell ref="A1:F1"/>
    <mergeCell ref="A2:F2"/>
    <mergeCell ref="A3:F3"/>
    <mergeCell ref="A9:F9"/>
    <mergeCell ref="A20:B20"/>
    <mergeCell ref="A21:F21"/>
    <mergeCell ref="A50:B50"/>
    <mergeCell ref="A51:F51"/>
    <mergeCell ref="A61:B61"/>
    <mergeCell ref="A62:F62"/>
    <mergeCell ref="A92:B92"/>
    <mergeCell ref="A134:B134"/>
    <mergeCell ref="A123:F123"/>
    <mergeCell ref="A124:F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O155:P155"/>
    <mergeCell ref="A135:B135"/>
    <mergeCell ref="A136:B136"/>
    <mergeCell ref="A137:B137"/>
    <mergeCell ref="A138:B138"/>
    <mergeCell ref="A152:B152"/>
    <mergeCell ref="C152:D152"/>
    <mergeCell ref="E152:F152"/>
    <mergeCell ref="G152:H152"/>
    <mergeCell ref="I152:J152"/>
    <mergeCell ref="K152:L152"/>
    <mergeCell ref="M152:N152"/>
    <mergeCell ref="M158:N158"/>
    <mergeCell ref="A164:B164"/>
    <mergeCell ref="C164:D164"/>
    <mergeCell ref="E164:F164"/>
    <mergeCell ref="G164:H164"/>
    <mergeCell ref="I164:J164"/>
    <mergeCell ref="K164:L164"/>
    <mergeCell ref="M164:N164"/>
    <mergeCell ref="A158:B158"/>
    <mergeCell ref="C158:D158"/>
    <mergeCell ref="E158:F158"/>
    <mergeCell ref="G158:H158"/>
    <mergeCell ref="I158:J158"/>
    <mergeCell ref="K158:L158"/>
    <mergeCell ref="M170:N170"/>
    <mergeCell ref="A176:B176"/>
    <mergeCell ref="C176:D176"/>
    <mergeCell ref="E176:F176"/>
    <mergeCell ref="G176:H176"/>
    <mergeCell ref="I176:J176"/>
    <mergeCell ref="K176:L176"/>
    <mergeCell ref="M176:N176"/>
    <mergeCell ref="A170:B170"/>
    <mergeCell ref="C170:D170"/>
    <mergeCell ref="E170:F170"/>
    <mergeCell ref="G170:H170"/>
    <mergeCell ref="I170:J170"/>
    <mergeCell ref="K170:L170"/>
    <mergeCell ref="O191:P191"/>
    <mergeCell ref="O194:P194"/>
    <mergeCell ref="O197:P197"/>
    <mergeCell ref="O179:P179"/>
    <mergeCell ref="A188:B188"/>
    <mergeCell ref="C188:D188"/>
    <mergeCell ref="E188:F188"/>
    <mergeCell ref="G188:H188"/>
    <mergeCell ref="I188:J188"/>
    <mergeCell ref="K188:L188"/>
    <mergeCell ref="M188:N188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ME151"/>
  <sheetViews>
    <sheetView topLeftCell="A133" zoomScale="80" zoomScaleNormal="80" workbookViewId="0">
      <selection activeCell="W7" sqref="W7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72" t="s">
        <v>454</v>
      </c>
      <c r="B1" s="1073"/>
      <c r="C1" s="1073"/>
      <c r="D1" s="1074"/>
    </row>
    <row r="2" spans="1:4" ht="15.75" x14ac:dyDescent="0.2">
      <c r="A2" s="1075" t="s">
        <v>455</v>
      </c>
      <c r="B2" s="1043"/>
      <c r="C2" s="1043"/>
      <c r="D2" s="1076"/>
    </row>
    <row r="3" spans="1:4" ht="15.75" customHeight="1" x14ac:dyDescent="0.2">
      <c r="A3" s="1075" t="s">
        <v>456</v>
      </c>
      <c r="B3" s="1043"/>
      <c r="C3" s="1043"/>
      <c r="D3" s="1076"/>
    </row>
    <row r="4" spans="1:4" ht="15.75" x14ac:dyDescent="0.2">
      <c r="A4" s="351"/>
      <c r="B4" s="94"/>
      <c r="C4" s="95" t="s">
        <v>457</v>
      </c>
      <c r="D4" s="352" t="s">
        <v>458</v>
      </c>
    </row>
    <row r="5" spans="1:4" x14ac:dyDescent="0.2">
      <c r="A5" s="353"/>
      <c r="B5" s="97" t="s">
        <v>461</v>
      </c>
      <c r="C5" s="98">
        <f>MC!C11</f>
        <v>0</v>
      </c>
      <c r="D5" s="354">
        <f>MC!E11</f>
        <v>0</v>
      </c>
    </row>
    <row r="6" spans="1:4" x14ac:dyDescent="0.2">
      <c r="A6" s="353"/>
      <c r="B6" s="97" t="s">
        <v>462</v>
      </c>
      <c r="C6" s="99">
        <f>MC!D8</f>
        <v>0</v>
      </c>
      <c r="D6" s="355">
        <f>MC!D8</f>
        <v>0</v>
      </c>
    </row>
    <row r="7" spans="1:4" x14ac:dyDescent="0.2">
      <c r="A7" s="353"/>
      <c r="B7" s="97" t="s">
        <v>463</v>
      </c>
      <c r="C7" s="99">
        <f>MC!C8</f>
        <v>0</v>
      </c>
      <c r="D7" s="355">
        <f>MC!C8</f>
        <v>0</v>
      </c>
    </row>
    <row r="8" spans="1:4" x14ac:dyDescent="0.2">
      <c r="A8" s="353"/>
      <c r="B8" s="97" t="s">
        <v>464</v>
      </c>
      <c r="C8" s="100">
        <f>MC!E8</f>
        <v>0</v>
      </c>
      <c r="D8" s="356">
        <f>MC!E8</f>
        <v>0</v>
      </c>
    </row>
    <row r="9" spans="1:4" x14ac:dyDescent="0.2">
      <c r="A9" s="1077"/>
      <c r="B9" s="1044"/>
      <c r="C9" s="1044"/>
      <c r="D9" s="1078"/>
    </row>
    <row r="10" spans="1:4" ht="66.75" customHeight="1" x14ac:dyDescent="0.2">
      <c r="A10" s="357" t="s">
        <v>465</v>
      </c>
      <c r="B10" s="188" t="s">
        <v>466</v>
      </c>
      <c r="C10" s="188" t="s">
        <v>597</v>
      </c>
      <c r="D10" s="358" t="s">
        <v>598</v>
      </c>
    </row>
    <row r="11" spans="1:4" ht="14.25" customHeight="1" x14ac:dyDescent="0.2">
      <c r="A11" s="359" t="s">
        <v>469</v>
      </c>
      <c r="B11" s="321"/>
      <c r="C11" s="321"/>
      <c r="D11" s="360"/>
    </row>
    <row r="12" spans="1:4" ht="14.25" customHeight="1" x14ac:dyDescent="0.2">
      <c r="A12" s="361" t="s">
        <v>470</v>
      </c>
      <c r="B12" s="102" t="s">
        <v>471</v>
      </c>
      <c r="C12" s="102" t="s">
        <v>472</v>
      </c>
      <c r="D12" s="362" t="s">
        <v>472</v>
      </c>
    </row>
    <row r="13" spans="1:4" ht="14.25" customHeight="1" x14ac:dyDescent="0.2">
      <c r="A13" s="363" t="s">
        <v>473</v>
      </c>
      <c r="B13" s="105"/>
      <c r="C13" s="106">
        <f>C5</f>
        <v>0</v>
      </c>
      <c r="D13" s="364">
        <f>D5</f>
        <v>0</v>
      </c>
    </row>
    <row r="14" spans="1:4" ht="14.25" customHeight="1" x14ac:dyDescent="0.2">
      <c r="A14" s="363" t="s">
        <v>474</v>
      </c>
      <c r="B14" s="417">
        <v>0.2</v>
      </c>
      <c r="C14" s="106">
        <f>C13*$B$14</f>
        <v>0</v>
      </c>
      <c r="D14" s="364">
        <f>D13*$B$14</f>
        <v>0</v>
      </c>
    </row>
    <row r="15" spans="1:4" ht="14.25" customHeight="1" x14ac:dyDescent="0.2">
      <c r="A15" s="363" t="s">
        <v>475</v>
      </c>
      <c r="B15" s="109"/>
      <c r="C15" s="106"/>
      <c r="D15" s="364"/>
    </row>
    <row r="16" spans="1:4" ht="14.25" customHeight="1" x14ac:dyDescent="0.2">
      <c r="A16" s="363" t="s">
        <v>476</v>
      </c>
      <c r="B16" s="109"/>
      <c r="C16" s="106"/>
      <c r="D16" s="364"/>
    </row>
    <row r="17" spans="1:4" ht="14.25" customHeight="1" x14ac:dyDescent="0.2">
      <c r="A17" s="363" t="s">
        <v>477</v>
      </c>
      <c r="B17" s="109"/>
      <c r="C17" s="106"/>
      <c r="D17" s="364"/>
    </row>
    <row r="18" spans="1:4" ht="14.25" customHeight="1" x14ac:dyDescent="0.2">
      <c r="A18" s="363" t="s">
        <v>599</v>
      </c>
      <c r="B18" s="110"/>
      <c r="C18" s="106"/>
      <c r="D18" s="364"/>
    </row>
    <row r="19" spans="1:4" ht="14.25" customHeight="1" x14ac:dyDescent="0.2">
      <c r="A19" s="365" t="s">
        <v>479</v>
      </c>
      <c r="B19" s="112"/>
      <c r="C19" s="121">
        <f>SUM(C13:C18)</f>
        <v>0</v>
      </c>
      <c r="D19" s="366">
        <f>SUM(D13:D18)</f>
        <v>0</v>
      </c>
    </row>
    <row r="20" spans="1:4" ht="14.25" customHeight="1" x14ac:dyDescent="0.2">
      <c r="A20" s="1079"/>
      <c r="B20" s="1045"/>
      <c r="C20" s="114"/>
      <c r="D20" s="368"/>
    </row>
    <row r="21" spans="1:4" ht="14.25" customHeight="1" x14ac:dyDescent="0.2">
      <c r="A21" s="1070" t="s">
        <v>480</v>
      </c>
      <c r="B21" s="1046"/>
      <c r="C21" s="1046"/>
      <c r="D21" s="1071"/>
    </row>
    <row r="22" spans="1:4" ht="14.25" customHeight="1" x14ac:dyDescent="0.2">
      <c r="A22" s="369" t="s">
        <v>481</v>
      </c>
      <c r="B22" s="117" t="s">
        <v>471</v>
      </c>
      <c r="C22" s="117" t="s">
        <v>472</v>
      </c>
      <c r="D22" s="370" t="s">
        <v>472</v>
      </c>
    </row>
    <row r="23" spans="1:4" ht="14.25" customHeight="1" x14ac:dyDescent="0.2">
      <c r="A23" s="371" t="s">
        <v>482</v>
      </c>
      <c r="B23" s="108">
        <f>1/12</f>
        <v>8.3333333333333329E-2</v>
      </c>
      <c r="C23" s="106">
        <f>ROUND($B23*C$19,2)</f>
        <v>0</v>
      </c>
      <c r="D23" s="364">
        <f>ROUND($B23*D$19,2)</f>
        <v>0</v>
      </c>
    </row>
    <row r="24" spans="1:4" ht="14.25" customHeight="1" x14ac:dyDescent="0.2">
      <c r="A24" s="371" t="s">
        <v>483</v>
      </c>
      <c r="B24" s="108">
        <f>1/3*1/12</f>
        <v>2.7777777777777776E-2</v>
      </c>
      <c r="C24" s="106">
        <f>C$19*$B$24</f>
        <v>0</v>
      </c>
      <c r="D24" s="364">
        <f>D$19*$B$24</f>
        <v>0</v>
      </c>
    </row>
    <row r="25" spans="1:4" ht="14.25" customHeight="1" x14ac:dyDescent="0.2">
      <c r="A25" s="365" t="s">
        <v>479</v>
      </c>
      <c r="B25" s="120">
        <f>SUM(B23:B24)</f>
        <v>0.1111111111111111</v>
      </c>
      <c r="C25" s="121">
        <f>SUM(C23:C24)</f>
        <v>0</v>
      </c>
      <c r="D25" s="366">
        <f>SUM(D23:D24)</f>
        <v>0</v>
      </c>
    </row>
    <row r="26" spans="1:4" ht="14.25" customHeight="1" x14ac:dyDescent="0.2">
      <c r="A26" s="369" t="s">
        <v>484</v>
      </c>
      <c r="B26" s="117" t="s">
        <v>471</v>
      </c>
      <c r="C26" s="117" t="s">
        <v>472</v>
      </c>
      <c r="D26" s="370" t="s">
        <v>472</v>
      </c>
    </row>
    <row r="27" spans="1:4" ht="14.25" customHeight="1" x14ac:dyDescent="0.2">
      <c r="A27" s="369" t="s">
        <v>485</v>
      </c>
      <c r="B27" s="123"/>
      <c r="C27" s="123"/>
      <c r="D27" s="372"/>
    </row>
    <row r="28" spans="1:4" ht="14.25" customHeight="1" x14ac:dyDescent="0.2">
      <c r="A28" s="371" t="s">
        <v>486</v>
      </c>
      <c r="B28" s="108">
        <v>0.2</v>
      </c>
      <c r="C28" s="125">
        <f t="shared" ref="C28:C35" si="0">ROUND(($C$19+$C$25)*B28,2)</f>
        <v>0</v>
      </c>
      <c r="D28" s="373">
        <f t="shared" ref="D28:D35" si="1">ROUND(($D$19+$D$25)*B28,2)</f>
        <v>0</v>
      </c>
    </row>
    <row r="29" spans="1:4" ht="14.25" customHeight="1" x14ac:dyDescent="0.2">
      <c r="A29" s="371" t="s">
        <v>487</v>
      </c>
      <c r="B29" s="108">
        <v>2.5000000000000001E-2</v>
      </c>
      <c r="C29" s="125">
        <f t="shared" si="0"/>
        <v>0</v>
      </c>
      <c r="D29" s="373">
        <f t="shared" si="1"/>
        <v>0</v>
      </c>
    </row>
    <row r="30" spans="1:4" ht="14.25" customHeight="1" x14ac:dyDescent="0.2">
      <c r="A30" s="371" t="s">
        <v>488</v>
      </c>
      <c r="B30" s="108">
        <v>0.03</v>
      </c>
      <c r="C30" s="125">
        <f t="shared" si="0"/>
        <v>0</v>
      </c>
      <c r="D30" s="373">
        <f t="shared" si="1"/>
        <v>0</v>
      </c>
    </row>
    <row r="31" spans="1:4" ht="14.25" customHeight="1" x14ac:dyDescent="0.2">
      <c r="A31" s="371" t="s">
        <v>489</v>
      </c>
      <c r="B31" s="108">
        <v>1.4999999999999999E-2</v>
      </c>
      <c r="C31" s="125">
        <f t="shared" si="0"/>
        <v>0</v>
      </c>
      <c r="D31" s="373">
        <f t="shared" si="1"/>
        <v>0</v>
      </c>
    </row>
    <row r="32" spans="1:4" ht="14.25" customHeight="1" x14ac:dyDescent="0.2">
      <c r="A32" s="371" t="s">
        <v>490</v>
      </c>
      <c r="B32" s="108">
        <v>0.01</v>
      </c>
      <c r="C32" s="125">
        <f t="shared" si="0"/>
        <v>0</v>
      </c>
      <c r="D32" s="373">
        <f t="shared" si="1"/>
        <v>0</v>
      </c>
    </row>
    <row r="33" spans="1:4" ht="14.25" customHeight="1" x14ac:dyDescent="0.2">
      <c r="A33" s="371" t="s">
        <v>491</v>
      </c>
      <c r="B33" s="108">
        <v>6.0000000000000001E-3</v>
      </c>
      <c r="C33" s="125">
        <f t="shared" si="0"/>
        <v>0</v>
      </c>
      <c r="D33" s="373">
        <f t="shared" si="1"/>
        <v>0</v>
      </c>
    </row>
    <row r="34" spans="1:4" ht="14.25" customHeight="1" x14ac:dyDescent="0.2">
      <c r="A34" s="371" t="s">
        <v>492</v>
      </c>
      <c r="B34" s="108">
        <v>2E-3</v>
      </c>
      <c r="C34" s="125">
        <f t="shared" si="0"/>
        <v>0</v>
      </c>
      <c r="D34" s="373">
        <f t="shared" si="1"/>
        <v>0</v>
      </c>
    </row>
    <row r="35" spans="1:4" ht="14.25" customHeight="1" x14ac:dyDescent="0.2">
      <c r="A35" s="371" t="s">
        <v>493</v>
      </c>
      <c r="B35" s="108">
        <v>0.08</v>
      </c>
      <c r="C35" s="125">
        <f t="shared" si="0"/>
        <v>0</v>
      </c>
      <c r="D35" s="373">
        <f t="shared" si="1"/>
        <v>0</v>
      </c>
    </row>
    <row r="36" spans="1:4" ht="14.25" customHeight="1" x14ac:dyDescent="0.2">
      <c r="A36" s="365" t="s">
        <v>479</v>
      </c>
      <c r="B36" s="120">
        <f>SUM(B28:B35)</f>
        <v>0.36800000000000005</v>
      </c>
      <c r="C36" s="121">
        <f>SUM(C27:C35)</f>
        <v>0</v>
      </c>
      <c r="D36" s="366">
        <f>SUM(D27:D35)</f>
        <v>0</v>
      </c>
    </row>
    <row r="37" spans="1:4" ht="14.25" customHeight="1" x14ac:dyDescent="0.2">
      <c r="A37" s="369" t="s">
        <v>494</v>
      </c>
      <c r="B37" s="117" t="s">
        <v>495</v>
      </c>
      <c r="C37" s="117" t="s">
        <v>472</v>
      </c>
      <c r="D37" s="370" t="s">
        <v>472</v>
      </c>
    </row>
    <row r="38" spans="1:4" ht="14.25" customHeight="1" x14ac:dyDescent="0.2">
      <c r="A38" s="119" t="s">
        <v>496</v>
      </c>
      <c r="B38" s="127">
        <f>MC!P84</f>
        <v>0</v>
      </c>
      <c r="C38" s="106">
        <f>ROUND(((2*22*$B$38)-0.06*C$13),2)</f>
        <v>0</v>
      </c>
      <c r="D38" s="364">
        <f>ROUND(((2*22*$B$38)-0.06*D$13),2)</f>
        <v>0</v>
      </c>
    </row>
    <row r="39" spans="1:4" ht="14.25" customHeight="1" x14ac:dyDescent="0.2">
      <c r="A39" s="478" t="s">
        <v>497</v>
      </c>
      <c r="B39" s="128"/>
      <c r="C39" s="125">
        <f>MC!E21</f>
        <v>0</v>
      </c>
      <c r="D39" s="373">
        <f>MC!E22</f>
        <v>0</v>
      </c>
    </row>
    <row r="40" spans="1:4" ht="14.25" customHeight="1" x14ac:dyDescent="0.2">
      <c r="A40" s="119" t="s">
        <v>498</v>
      </c>
      <c r="B40" s="108">
        <f>MC!C26</f>
        <v>0</v>
      </c>
      <c r="C40" s="125"/>
      <c r="D40" s="373"/>
    </row>
    <row r="41" spans="1:4" ht="14.25" customHeight="1" x14ac:dyDescent="0.2">
      <c r="A41" s="119" t="s">
        <v>499</v>
      </c>
      <c r="B41" s="129">
        <f>MC!E25</f>
        <v>0</v>
      </c>
      <c r="C41" s="125">
        <f>B41</f>
        <v>0</v>
      </c>
      <c r="D41" s="373">
        <f>B41</f>
        <v>0</v>
      </c>
    </row>
    <row r="42" spans="1:4" ht="14.2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>$B$42*D19</f>
        <v>0</v>
      </c>
    </row>
    <row r="43" spans="1:4" ht="14.25" customHeight="1" x14ac:dyDescent="0.2">
      <c r="A43" s="119" t="s">
        <v>501</v>
      </c>
      <c r="B43" s="108"/>
      <c r="C43" s="125"/>
      <c r="D43" s="373"/>
    </row>
    <row r="44" spans="1:4" ht="14.25" customHeight="1" x14ac:dyDescent="0.2">
      <c r="A44" s="365" t="s">
        <v>479</v>
      </c>
      <c r="B44" s="112"/>
      <c r="C44" s="121">
        <f>SUM(C38:C43)</f>
        <v>0</v>
      </c>
      <c r="D44" s="366">
        <f>SUM(D38:D43)</f>
        <v>0</v>
      </c>
    </row>
    <row r="45" spans="1:4" ht="14.25" customHeight="1" x14ac:dyDescent="0.2">
      <c r="A45" s="361" t="s">
        <v>502</v>
      </c>
      <c r="B45" s="102" t="s">
        <v>471</v>
      </c>
      <c r="C45" s="102" t="s">
        <v>472</v>
      </c>
      <c r="D45" s="362" t="s">
        <v>472</v>
      </c>
    </row>
    <row r="46" spans="1:4" ht="14.25" customHeight="1" x14ac:dyDescent="0.2">
      <c r="A46" s="371" t="s">
        <v>481</v>
      </c>
      <c r="B46" s="130">
        <f>B25</f>
        <v>0.1111111111111111</v>
      </c>
      <c r="C46" s="131">
        <f>C25</f>
        <v>0</v>
      </c>
      <c r="D46" s="374">
        <f>D25</f>
        <v>0</v>
      </c>
    </row>
    <row r="47" spans="1:4" ht="14.25" customHeight="1" x14ac:dyDescent="0.2">
      <c r="A47" s="371" t="s">
        <v>503</v>
      </c>
      <c r="B47" s="130">
        <f>B36</f>
        <v>0.36800000000000005</v>
      </c>
      <c r="C47" s="131">
        <f>C36</f>
        <v>0</v>
      </c>
      <c r="D47" s="374">
        <f>D36</f>
        <v>0</v>
      </c>
    </row>
    <row r="48" spans="1:4" ht="14.25" customHeight="1" x14ac:dyDescent="0.2">
      <c r="A48" s="371" t="s">
        <v>494</v>
      </c>
      <c r="B48" s="130"/>
      <c r="C48" s="131">
        <f>C44</f>
        <v>0</v>
      </c>
      <c r="D48" s="374">
        <f>D44</f>
        <v>0</v>
      </c>
    </row>
    <row r="49" spans="1:4" ht="14.25" customHeight="1" x14ac:dyDescent="0.2">
      <c r="A49" s="365" t="s">
        <v>479</v>
      </c>
      <c r="B49" s="112"/>
      <c r="C49" s="121">
        <f>SUM(C46:C48)</f>
        <v>0</v>
      </c>
      <c r="D49" s="366">
        <f>SUM(D46:D48)</f>
        <v>0</v>
      </c>
    </row>
    <row r="50" spans="1:4" ht="14.25" customHeight="1" x14ac:dyDescent="0.2">
      <c r="A50" s="1079"/>
      <c r="B50" s="1045"/>
      <c r="C50" s="114"/>
      <c r="D50" s="368"/>
    </row>
    <row r="51" spans="1:4" s="133" customFormat="1" ht="14.25" customHeight="1" x14ac:dyDescent="0.2">
      <c r="A51" s="1070" t="s">
        <v>504</v>
      </c>
      <c r="B51" s="1046"/>
      <c r="C51" s="1046"/>
      <c r="D51" s="1071"/>
    </row>
    <row r="52" spans="1:4" ht="14.25" customHeight="1" x14ac:dyDescent="0.2">
      <c r="A52" s="361" t="s">
        <v>505</v>
      </c>
      <c r="B52" s="102" t="s">
        <v>471</v>
      </c>
      <c r="C52" s="102" t="s">
        <v>472</v>
      </c>
      <c r="D52" s="362" t="s">
        <v>472</v>
      </c>
    </row>
    <row r="53" spans="1:4" ht="14.25" customHeight="1" x14ac:dyDescent="0.2">
      <c r="A53" s="369" t="s">
        <v>506</v>
      </c>
      <c r="B53" s="134"/>
      <c r="C53" s="134"/>
      <c r="D53" s="375"/>
    </row>
    <row r="54" spans="1:4" ht="14.25" customHeight="1" x14ac:dyDescent="0.2">
      <c r="A54" s="371" t="s">
        <v>507</v>
      </c>
      <c r="B54" s="130">
        <f>1/12*0.05</f>
        <v>4.1666666666666666E-3</v>
      </c>
      <c r="C54" s="136">
        <f>C19*$B54</f>
        <v>0</v>
      </c>
      <c r="D54" s="376">
        <f t="shared" ref="D54" si="2">D19*$B54</f>
        <v>0</v>
      </c>
    </row>
    <row r="55" spans="1:4" ht="14.25" customHeight="1" x14ac:dyDescent="0.2">
      <c r="A55" s="371" t="s">
        <v>508</v>
      </c>
      <c r="B55" s="130">
        <f>B35*B54</f>
        <v>3.3333333333333332E-4</v>
      </c>
      <c r="C55" s="136">
        <f>$B$55*C19</f>
        <v>0</v>
      </c>
      <c r="D55" s="376">
        <f t="shared" ref="D55" si="3">$B$55*D19</f>
        <v>0</v>
      </c>
    </row>
    <row r="56" spans="1:4" ht="14.25" customHeight="1" x14ac:dyDescent="0.2">
      <c r="A56" s="371" t="s">
        <v>509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510</v>
      </c>
      <c r="B57" s="130">
        <f>1/12*1/30*7</f>
        <v>1.9444444444444441E-2</v>
      </c>
      <c r="C57" s="131">
        <f>C19*$B57</f>
        <v>0</v>
      </c>
      <c r="D57" s="374">
        <f t="shared" ref="D57" si="5">D19*$B57</f>
        <v>0</v>
      </c>
    </row>
    <row r="58" spans="1:4" ht="14.25" customHeight="1" x14ac:dyDescent="0.2">
      <c r="A58" s="371" t="s">
        <v>511</v>
      </c>
      <c r="B58" s="130">
        <f>B36*B57</f>
        <v>7.1555555555555556E-3</v>
      </c>
      <c r="C58" s="131">
        <f>$B58*C19</f>
        <v>0</v>
      </c>
      <c r="D58" s="374">
        <f t="shared" ref="D58" si="6">$B58*D19</f>
        <v>0</v>
      </c>
    </row>
    <row r="59" spans="1:4" ht="14.25" customHeight="1" x14ac:dyDescent="0.2">
      <c r="A59" s="371" t="s">
        <v>512</v>
      </c>
      <c r="B59" s="130">
        <f>B35*40/100*90/100*(1+1/12+1/12+1/3*1/12)</f>
        <v>3.4399999999999993E-2</v>
      </c>
      <c r="C59" s="131">
        <f>C19*$B59</f>
        <v>0</v>
      </c>
      <c r="D59" s="374">
        <f t="shared" ref="D59" si="7">D19*$B59</f>
        <v>0</v>
      </c>
    </row>
    <row r="60" spans="1:4" ht="14.25" customHeight="1" x14ac:dyDescent="0.2">
      <c r="A60" s="365" t="s">
        <v>479</v>
      </c>
      <c r="B60" s="120">
        <f>SUM(B54:B59)</f>
        <v>6.5499999999999989E-2</v>
      </c>
      <c r="C60" s="137">
        <f>SUM(C54:C59)</f>
        <v>0</v>
      </c>
      <c r="D60" s="377">
        <f>SUM(D54:D59)</f>
        <v>0</v>
      </c>
    </row>
    <row r="61" spans="1:4" ht="14.25" customHeight="1" x14ac:dyDescent="0.2">
      <c r="A61" s="1079"/>
      <c r="B61" s="1045"/>
      <c r="C61" s="322"/>
      <c r="D61" s="378"/>
    </row>
    <row r="62" spans="1:4" ht="14.25" customHeight="1" x14ac:dyDescent="0.2">
      <c r="A62" s="1070" t="s">
        <v>513</v>
      </c>
      <c r="B62" s="1046"/>
      <c r="C62" s="1046"/>
      <c r="D62" s="1071"/>
    </row>
    <row r="63" spans="1:4" ht="14.25" customHeight="1" x14ac:dyDescent="0.2">
      <c r="A63" s="369" t="s">
        <v>48</v>
      </c>
      <c r="B63" s="117"/>
      <c r="C63" s="117"/>
      <c r="D63" s="370"/>
    </row>
    <row r="64" spans="1:4" ht="14.25" customHeight="1" x14ac:dyDescent="0.2">
      <c r="A64" s="371" t="s">
        <v>49</v>
      </c>
      <c r="B64" s="108">
        <f>1/12</f>
        <v>8.3333333333333329E-2</v>
      </c>
      <c r="C64" s="125">
        <f>B64*($C$19+$C$49+$C$60)</f>
        <v>0</v>
      </c>
      <c r="D64" s="373">
        <f>B64*($D$19+$D$49+$D$60)</f>
        <v>0</v>
      </c>
    </row>
    <row r="65" spans="1:4" ht="14.25" customHeight="1" x14ac:dyDescent="0.2">
      <c r="A65" s="371" t="s">
        <v>514</v>
      </c>
      <c r="B65" s="108">
        <f>MC!E56/30/12</f>
        <v>1.3538888888888885E-2</v>
      </c>
      <c r="C65" s="125">
        <f>B65*($C$19+$C$49+$C$60)</f>
        <v>0</v>
      </c>
      <c r="D65" s="373">
        <f>B65*($D$19+$D$49+$D$60)</f>
        <v>0</v>
      </c>
    </row>
    <row r="66" spans="1:4" ht="14.25" customHeight="1" x14ac:dyDescent="0.2">
      <c r="A66" s="371" t="s">
        <v>515</v>
      </c>
      <c r="B66" s="139">
        <f>(5/30)/12*MC!F58*MC!C59</f>
        <v>1.0764583333333333E-4</v>
      </c>
      <c r="C66" s="125">
        <f>B66*($C$19+$C$49+$C$60)</f>
        <v>0</v>
      </c>
      <c r="D66" s="373">
        <f>B66*($D$19+$D$49+$D$60)</f>
        <v>0</v>
      </c>
    </row>
    <row r="67" spans="1:4" ht="14.25" customHeight="1" x14ac:dyDescent="0.2">
      <c r="A67" s="371" t="s">
        <v>516</v>
      </c>
      <c r="B67" s="139">
        <f>MC!C61/30/12</f>
        <v>2.6830555555555553E-3</v>
      </c>
      <c r="C67" s="125">
        <f>B67*($C$19+$C$49+$C$60)</f>
        <v>0</v>
      </c>
      <c r="D67" s="373">
        <f>B67*($D$19+$D$49+$D$60)</f>
        <v>0</v>
      </c>
    </row>
    <row r="68" spans="1:4" ht="14.25" customHeight="1" x14ac:dyDescent="0.2">
      <c r="A68" s="371" t="s">
        <v>517</v>
      </c>
      <c r="B68" s="108"/>
      <c r="C68" s="125"/>
      <c r="D68" s="373"/>
    </row>
    <row r="69" spans="1:4" ht="14.25" customHeight="1" x14ac:dyDescent="0.2">
      <c r="A69" s="379" t="s">
        <v>518</v>
      </c>
      <c r="B69" s="141">
        <f>SUM(B64:B68)</f>
        <v>9.9662923611111107E-2</v>
      </c>
      <c r="C69" s="142">
        <f>SUM(C64:C68)</f>
        <v>0</v>
      </c>
      <c r="D69" s="380">
        <f>SUM(D64:D68)</f>
        <v>0</v>
      </c>
    </row>
    <row r="70" spans="1:4" ht="14.25" customHeight="1" x14ac:dyDescent="0.2">
      <c r="A70" s="369" t="s">
        <v>519</v>
      </c>
      <c r="B70" s="117"/>
      <c r="C70" s="117"/>
      <c r="D70" s="370"/>
    </row>
    <row r="71" spans="1:4" ht="14.25" customHeight="1" x14ac:dyDescent="0.2">
      <c r="A71" s="371" t="s">
        <v>520</v>
      </c>
      <c r="B71" s="108"/>
      <c r="C71" s="125"/>
      <c r="D71" s="373"/>
    </row>
    <row r="72" spans="1:4" ht="14.25" customHeight="1" x14ac:dyDescent="0.2">
      <c r="A72" s="379" t="s">
        <v>518</v>
      </c>
      <c r="B72" s="141"/>
      <c r="C72" s="142">
        <f>C71</f>
        <v>0</v>
      </c>
      <c r="D72" s="380"/>
    </row>
    <row r="73" spans="1:4" ht="14.25" customHeight="1" x14ac:dyDescent="0.2">
      <c r="A73" s="369" t="s">
        <v>70</v>
      </c>
      <c r="B73" s="117"/>
      <c r="C73" s="117"/>
      <c r="D73" s="370"/>
    </row>
    <row r="74" spans="1:4" ht="14.25" customHeight="1" x14ac:dyDescent="0.2">
      <c r="A74" s="371" t="s">
        <v>71</v>
      </c>
      <c r="B74" s="108">
        <f>120/30*MC!C64*MC!C65</f>
        <v>6.18624E-3</v>
      </c>
      <c r="C74" s="125">
        <f>(((C19*2)+ (C19*1/3))+(C36)+(C44-C38-C39))*$B$74</f>
        <v>0</v>
      </c>
      <c r="D74" s="373">
        <f>(((D19*2)+ (D19*1/3))+(D36)+(D44-D38-D39))*$B$74</f>
        <v>0</v>
      </c>
    </row>
    <row r="75" spans="1:4" ht="14.25" customHeight="1" x14ac:dyDescent="0.2">
      <c r="A75" s="379" t="s">
        <v>479</v>
      </c>
      <c r="B75" s="141"/>
      <c r="C75" s="142"/>
      <c r="D75" s="380"/>
    </row>
    <row r="76" spans="1:4" ht="14.25" customHeight="1" x14ac:dyDescent="0.2">
      <c r="A76" s="361" t="s">
        <v>521</v>
      </c>
      <c r="B76" s="102"/>
      <c r="C76" s="102"/>
      <c r="D76" s="362"/>
    </row>
    <row r="77" spans="1:4" ht="14.25" customHeight="1" x14ac:dyDescent="0.2">
      <c r="A77" s="371" t="s">
        <v>48</v>
      </c>
      <c r="B77" s="130">
        <f>B69</f>
        <v>9.9662923611111107E-2</v>
      </c>
      <c r="C77" s="131">
        <f>C69</f>
        <v>0</v>
      </c>
      <c r="D77" s="374">
        <f>D69</f>
        <v>0</v>
      </c>
    </row>
    <row r="78" spans="1:4" ht="14.25" customHeight="1" x14ac:dyDescent="0.2">
      <c r="A78" s="371" t="s">
        <v>519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70</v>
      </c>
      <c r="B79" s="130">
        <f>B74</f>
        <v>6.18624E-3</v>
      </c>
      <c r="C79" s="131">
        <f>C74</f>
        <v>0</v>
      </c>
      <c r="D79" s="374">
        <f>D74</f>
        <v>0</v>
      </c>
    </row>
    <row r="80" spans="1:4" ht="14.25" customHeight="1" x14ac:dyDescent="0.2">
      <c r="A80" s="365" t="s">
        <v>479</v>
      </c>
      <c r="B80" s="112"/>
      <c r="C80" s="121">
        <f>SUM(C77:C79)</f>
        <v>0</v>
      </c>
      <c r="D80" s="366">
        <f>SUM(D77:D79)</f>
        <v>0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522</v>
      </c>
      <c r="B82" s="200"/>
      <c r="C82" s="200"/>
      <c r="D82" s="382"/>
    </row>
    <row r="83" spans="1:4" ht="14.25" customHeight="1" x14ac:dyDescent="0.2">
      <c r="A83" s="361" t="s">
        <v>523</v>
      </c>
      <c r="B83" s="102" t="s">
        <v>495</v>
      </c>
      <c r="C83" s="102" t="s">
        <v>472</v>
      </c>
      <c r="D83" s="362" t="s">
        <v>472</v>
      </c>
    </row>
    <row r="84" spans="1:4" ht="14.25" customHeight="1" x14ac:dyDescent="0.2">
      <c r="A84" s="371" t="s">
        <v>524</v>
      </c>
      <c r="B84" s="414">
        <f>Insumos!G117</f>
        <v>0</v>
      </c>
      <c r="C84" s="106">
        <f>B84</f>
        <v>0</v>
      </c>
      <c r="D84" s="364">
        <f>B84</f>
        <v>0</v>
      </c>
    </row>
    <row r="85" spans="1:4" ht="14.25" customHeight="1" x14ac:dyDescent="0.2">
      <c r="A85" s="383" t="s">
        <v>525</v>
      </c>
      <c r="B85" s="414">
        <f>Insumos!G69</f>
        <v>0</v>
      </c>
      <c r="C85" s="106">
        <f>B85</f>
        <v>0</v>
      </c>
      <c r="D85" s="364">
        <f>B85</f>
        <v>0</v>
      </c>
    </row>
    <row r="86" spans="1:4" ht="14.25" customHeight="1" x14ac:dyDescent="0.2">
      <c r="A86" s="383" t="s">
        <v>526</v>
      </c>
      <c r="B86" s="415">
        <v>0</v>
      </c>
      <c r="C86" s="106"/>
      <c r="D86" s="364"/>
    </row>
    <row r="87" spans="1:4" ht="14.25" customHeight="1" x14ac:dyDescent="0.2">
      <c r="A87" s="383" t="s">
        <v>527</v>
      </c>
      <c r="B87" s="416"/>
      <c r="C87" s="106">
        <f>Insumos!I122</f>
        <v>0</v>
      </c>
      <c r="D87" s="364">
        <f>Insumos!H122</f>
        <v>0</v>
      </c>
    </row>
    <row r="88" spans="1:4" ht="14.25" customHeight="1" x14ac:dyDescent="0.2">
      <c r="A88" s="383" t="s">
        <v>528</v>
      </c>
      <c r="B88" s="417">
        <v>0</v>
      </c>
      <c r="C88" s="106"/>
      <c r="D88" s="364"/>
    </row>
    <row r="89" spans="1:4" ht="14.25" customHeight="1" x14ac:dyDescent="0.2">
      <c r="A89" s="383" t="s">
        <v>600</v>
      </c>
      <c r="B89" s="414">
        <v>0</v>
      </c>
      <c r="C89" s="106"/>
      <c r="D89" s="364"/>
    </row>
    <row r="90" spans="1:4" ht="14.25" customHeight="1" x14ac:dyDescent="0.2">
      <c r="A90" s="383" t="s">
        <v>601</v>
      </c>
      <c r="B90" s="414">
        <v>0</v>
      </c>
      <c r="C90" s="106"/>
      <c r="D90" s="364"/>
    </row>
    <row r="91" spans="1:4" ht="14.25" customHeight="1" x14ac:dyDescent="0.2">
      <c r="A91" s="379" t="s">
        <v>479</v>
      </c>
      <c r="B91" s="147"/>
      <c r="C91" s="142">
        <f>SUM(C84:C90)</f>
        <v>0</v>
      </c>
      <c r="D91" s="380">
        <f t="shared" ref="D91" si="8">SUM(D84:D90)</f>
        <v>0</v>
      </c>
    </row>
    <row r="92" spans="1:4" ht="14.25" customHeight="1" x14ac:dyDescent="0.2">
      <c r="A92" s="1079"/>
      <c r="B92" s="1045"/>
      <c r="C92" s="148"/>
      <c r="D92" s="384"/>
    </row>
    <row r="93" spans="1:4" ht="14.25" customHeight="1" x14ac:dyDescent="0.2">
      <c r="A93" s="381" t="s">
        <v>531</v>
      </c>
      <c r="B93" s="200"/>
      <c r="C93" s="200"/>
      <c r="D93" s="382"/>
    </row>
    <row r="94" spans="1:4" ht="14.25" customHeight="1" x14ac:dyDescent="0.2">
      <c r="A94" s="361" t="s">
        <v>532</v>
      </c>
      <c r="B94" s="102" t="s">
        <v>471</v>
      </c>
      <c r="C94" s="102" t="s">
        <v>472</v>
      </c>
      <c r="D94" s="362" t="s">
        <v>472</v>
      </c>
    </row>
    <row r="95" spans="1:4" ht="14.25" customHeight="1" x14ac:dyDescent="0.2">
      <c r="A95" s="363" t="s">
        <v>76</v>
      </c>
      <c r="B95" s="108">
        <v>0.03</v>
      </c>
      <c r="C95" s="125">
        <f>($C$19+$C$49+$C$60+$C$80+$C$91)*$B$95</f>
        <v>0</v>
      </c>
      <c r="D95" s="373">
        <f>($D$19+$D$49+$D$60+$D$80+$D$91)*$B$95</f>
        <v>0</v>
      </c>
    </row>
    <row r="96" spans="1:4" ht="14.25" customHeight="1" x14ac:dyDescent="0.2">
      <c r="A96" s="363" t="s">
        <v>77</v>
      </c>
      <c r="B96" s="108">
        <v>6.7900000000000002E-2</v>
      </c>
      <c r="C96" s="125">
        <f>($C$19+$C$49+$C$60+$C$80+$C$91+C95)*B96</f>
        <v>0</v>
      </c>
      <c r="D96" s="373">
        <f>($D$19+$D$49+$D$60+$D$80+$D$91+$D$95)*$B$96</f>
        <v>0</v>
      </c>
    </row>
    <row r="97" spans="1:5" ht="14.25" customHeight="1" x14ac:dyDescent="0.2">
      <c r="A97" s="385" t="s">
        <v>533</v>
      </c>
      <c r="B97" s="204">
        <f>B98+B99</f>
        <v>0.1125</v>
      </c>
      <c r="C97" s="205">
        <f>((C19+C49+C60+C80+C91+C95+C96)/(1-($B$97)))*$B$97</f>
        <v>0</v>
      </c>
      <c r="D97" s="386">
        <f>((D19+D49+D60+D80+D91+D95+D96)/(1-($B$97)))*$B$97</f>
        <v>0</v>
      </c>
    </row>
    <row r="98" spans="1:5" ht="14.25" customHeight="1" x14ac:dyDescent="0.2">
      <c r="A98" s="363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387">
        <f t="shared" ref="D98" si="9">((D$19+D$49+D$60+D$80+D$91+D$95+D$96)/(1-($B$97)))*$B$98</f>
        <v>0</v>
      </c>
    </row>
    <row r="99" spans="1:5" ht="14.25" customHeight="1" x14ac:dyDescent="0.2">
      <c r="A99" s="363" t="s">
        <v>535</v>
      </c>
      <c r="B99" s="108">
        <v>0.02</v>
      </c>
      <c r="C99" s="207">
        <f>((C$19+C$49+C$60+C$80+C$91+C$95+C$96)/(1-($B$97)))*$B$99</f>
        <v>0</v>
      </c>
      <c r="D99" s="388">
        <f t="shared" ref="D99" si="10">((D$19+D$49+D$60+D$80+D$91+D$95+D$96)/(1-($B$97)))*$B$99</f>
        <v>0</v>
      </c>
    </row>
    <row r="100" spans="1:5" ht="14.25" customHeight="1" x14ac:dyDescent="0.2">
      <c r="A100" s="385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386">
        <f t="shared" ref="D100" si="11">((D19+D49+D60+D80+D91+D95+D96)/(1-($B$100)))*$B$100</f>
        <v>0</v>
      </c>
    </row>
    <row r="101" spans="1:5" ht="14.25" customHeight="1" x14ac:dyDescent="0.2">
      <c r="A101" s="363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387">
        <f t="shared" ref="D101" si="12">((D19+D49+D60+D80+D91+D95+D96)/(1-($B$100)))*$B$101</f>
        <v>0</v>
      </c>
    </row>
    <row r="102" spans="1:5" ht="14.25" customHeight="1" x14ac:dyDescent="0.2">
      <c r="A102" s="363" t="s">
        <v>535</v>
      </c>
      <c r="B102" s="108">
        <v>2.5000000000000001E-2</v>
      </c>
      <c r="C102" s="207">
        <f>((C$19+C$49+C$60+C$80+C$91+C$95+C$96)/(1-($B$100)))*$B$102</f>
        <v>0</v>
      </c>
      <c r="D102" s="388">
        <f t="shared" ref="D102" si="13">((D$19+D$49+D$60+D$80+D$91+D$95+D$96)/(1-($B$100)))*$B$102</f>
        <v>0</v>
      </c>
    </row>
    <row r="103" spans="1:5" ht="14.25" customHeight="1" x14ac:dyDescent="0.2">
      <c r="A103" s="385" t="s">
        <v>537</v>
      </c>
      <c r="B103" s="204">
        <f>B104+B105</f>
        <v>0.1225</v>
      </c>
      <c r="C103" s="205">
        <f>((C19+C49+C60+C80+C91+C95+C96)/(1-($B$103)))*$B$103</f>
        <v>0</v>
      </c>
      <c r="D103" s="386">
        <f t="shared" ref="D103" si="14">((D19+D49+D60+D80+D91+D95+D96)/(1-($B$103)))*$B$103</f>
        <v>0</v>
      </c>
    </row>
    <row r="104" spans="1:5" ht="14.25" customHeight="1" x14ac:dyDescent="0.2">
      <c r="A104" s="363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387">
        <f t="shared" ref="D104" si="15">((D19+D49+D60+D80+D91+D95+D96)/(1-($B$103)))*$B$104</f>
        <v>0</v>
      </c>
    </row>
    <row r="105" spans="1:5" ht="14.25" customHeight="1" x14ac:dyDescent="0.2">
      <c r="A105" s="363" t="s">
        <v>535</v>
      </c>
      <c r="B105" s="108">
        <v>0.03</v>
      </c>
      <c r="C105" s="207">
        <f>((C19+C49+C60+C80+C91+C95+C96)/(1-($B$103)))*$B$105</f>
        <v>0</v>
      </c>
      <c r="D105" s="388">
        <f t="shared" ref="D105" si="16">((D19+D49+D60+D80+D91+D95+D96)/(1-($B$103)))*$B$105</f>
        <v>0</v>
      </c>
      <c r="E105" s="208"/>
    </row>
    <row r="106" spans="1:5" ht="14.25" customHeight="1" x14ac:dyDescent="0.2">
      <c r="A106" s="385" t="s">
        <v>616</v>
      </c>
      <c r="B106" s="204">
        <f>B107+B108</f>
        <v>0.1275</v>
      </c>
      <c r="C106" s="205">
        <f>((C19+C49+C60+C80+C91+C95+C96)/(1-($B$106)))*$B$106</f>
        <v>0</v>
      </c>
      <c r="D106" s="205">
        <f>((D19+D49+D60+D80+D91+D95+D96)/(1-($B$106)))*$B$106</f>
        <v>0</v>
      </c>
      <c r="E106" s="208"/>
    </row>
    <row r="107" spans="1:5" ht="14.25" customHeight="1" x14ac:dyDescent="0.2">
      <c r="A107" s="363" t="s">
        <v>534</v>
      </c>
      <c r="B107" s="108">
        <f>0.0165+0.076</f>
        <v>9.2499999999999999E-2</v>
      </c>
      <c r="C107" s="206">
        <f>((C19+C49+C60+C80+C91+C95+C96)/(1-($B$106)))*$B$107</f>
        <v>0</v>
      </c>
      <c r="D107" s="206">
        <f>((D19+D49+D60+D80+D91+D95+D96)/(1-($B$106)))*$B$107</f>
        <v>0</v>
      </c>
      <c r="E107" s="208"/>
    </row>
    <row r="108" spans="1:5" ht="14.25" customHeight="1" x14ac:dyDescent="0.2">
      <c r="A108" s="363" t="s">
        <v>535</v>
      </c>
      <c r="B108" s="108">
        <v>3.5000000000000003E-2</v>
      </c>
      <c r="C108" s="207">
        <f>((C19+C49+C60+C80+C91+C95+C96)/(1-($B$106)))*$B$108</f>
        <v>0</v>
      </c>
      <c r="D108" s="207">
        <f>((D19+D49+D60+D80+D91+D95+D96)/(1-($B$106)))*$B$108</f>
        <v>0</v>
      </c>
      <c r="E108" s="208"/>
    </row>
    <row r="109" spans="1:5" ht="14.25" customHeight="1" x14ac:dyDescent="0.2">
      <c r="A109" s="385" t="s">
        <v>538</v>
      </c>
      <c r="B109" s="204">
        <f>B110+B111</f>
        <v>0.13250000000000001</v>
      </c>
      <c r="C109" s="205">
        <f>((C19+C49+C60+C80+C91+C95+C96)/(1-($B$109)))*$B$109</f>
        <v>0</v>
      </c>
      <c r="D109" s="386">
        <f t="shared" ref="D109" si="17">((D19+D49+D60+D80+D91+D95+D96)/(1-($B$109)))*$B$109</f>
        <v>0</v>
      </c>
    </row>
    <row r="110" spans="1:5" ht="14.25" customHeight="1" x14ac:dyDescent="0.2">
      <c r="A110" s="363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387">
        <f t="shared" ref="D110" si="18">((D19+D49+D60+D80+D91+D95+D96)/(1-($B$109)))*$B$110</f>
        <v>0</v>
      </c>
    </row>
    <row r="111" spans="1:5" ht="14.25" customHeight="1" x14ac:dyDescent="0.2">
      <c r="A111" s="363" t="s">
        <v>535</v>
      </c>
      <c r="B111" s="108">
        <v>0.04</v>
      </c>
      <c r="C111" s="207">
        <f>((C19+C49+C60+C80+C91+C95+C96)/(1-($B$109)))*$B$111</f>
        <v>0</v>
      </c>
      <c r="D111" s="388">
        <f t="shared" ref="D111" si="19">((D19+D49+D60+D80+D91+D95+D96)/(1-($B$109)))*$B$111</f>
        <v>0</v>
      </c>
    </row>
    <row r="112" spans="1:5" ht="14.25" customHeight="1" x14ac:dyDescent="0.2">
      <c r="A112" s="385" t="s">
        <v>539</v>
      </c>
      <c r="B112" s="204">
        <f>B113+B114</f>
        <v>0.14250000000000002</v>
      </c>
      <c r="C112" s="205">
        <f>((C19+C49+C60+C80+C91+C95+C96)/(1-($B$112)))*$B$112</f>
        <v>0</v>
      </c>
      <c r="D112" s="386">
        <f t="shared" ref="D112" si="20">((D19+D49+D60+D80+D91+D95+D96)/(1-($B$112)))*$B$112</f>
        <v>0</v>
      </c>
    </row>
    <row r="113" spans="1:5" ht="14.25" customHeight="1" x14ac:dyDescent="0.2">
      <c r="A113" s="363" t="s">
        <v>534</v>
      </c>
      <c r="B113" s="108">
        <f>0.0165+0.076</f>
        <v>9.2499999999999999E-2</v>
      </c>
      <c r="C113" s="206">
        <f>((C19+C49+C60+C80+C91+C95+C96)/(1-($B$112)))*$B$113</f>
        <v>0</v>
      </c>
      <c r="D113" s="387">
        <f t="shared" ref="D113" si="21">((D19+D49+D60+D80+D91+D95+D96)/(1-($B$112)))*$B$113</f>
        <v>0</v>
      </c>
    </row>
    <row r="114" spans="1:5" ht="14.25" customHeight="1" x14ac:dyDescent="0.2">
      <c r="A114" s="363" t="s">
        <v>535</v>
      </c>
      <c r="B114" s="209">
        <v>0.05</v>
      </c>
      <c r="C114" s="207">
        <f>((C19+C49+C60+C80+C91+C95+C96)/(1-($B$112)))*$B$114</f>
        <v>0</v>
      </c>
      <c r="D114" s="388">
        <f t="shared" ref="D114" si="22">((D19+D49+D60+D80+D91+D95+D96)/(1-($B$112)))*$B$114</f>
        <v>0</v>
      </c>
    </row>
    <row r="115" spans="1:5" ht="14.25" customHeight="1" x14ac:dyDescent="0.2">
      <c r="A115" s="1081" t="s">
        <v>540</v>
      </c>
      <c r="B115" s="210">
        <v>0.02</v>
      </c>
      <c r="C115" s="211">
        <f>C95+C96+C97</f>
        <v>0</v>
      </c>
      <c r="D115" s="389">
        <f>D95+D96+D97</f>
        <v>0</v>
      </c>
    </row>
    <row r="116" spans="1:5" ht="14.25" customHeight="1" x14ac:dyDescent="0.2">
      <c r="A116" s="1081"/>
      <c r="B116" s="212">
        <v>2.5000000000000001E-2</v>
      </c>
      <c r="C116" s="213">
        <f>C95+C96+C100</f>
        <v>0</v>
      </c>
      <c r="D116" s="390">
        <f>D95+D96+D100</f>
        <v>0</v>
      </c>
    </row>
    <row r="117" spans="1:5" ht="14.25" customHeight="1" x14ac:dyDescent="0.2">
      <c r="A117" s="1081"/>
      <c r="B117" s="212">
        <v>0.03</v>
      </c>
      <c r="C117" s="213">
        <f>C95+C96+C103</f>
        <v>0</v>
      </c>
      <c r="D117" s="390">
        <f>D95+D96+D103</f>
        <v>0</v>
      </c>
      <c r="E117" s="208"/>
    </row>
    <row r="118" spans="1:5" ht="14.25" customHeight="1" x14ac:dyDescent="0.2">
      <c r="A118" s="1081"/>
      <c r="B118" s="212">
        <v>3.5000000000000003E-2</v>
      </c>
      <c r="C118" s="213">
        <f>C95+C96+C106</f>
        <v>0</v>
      </c>
      <c r="D118" s="213">
        <f>D95+D96+D106</f>
        <v>0</v>
      </c>
      <c r="E118" s="208"/>
    </row>
    <row r="119" spans="1:5" ht="14.25" customHeight="1" x14ac:dyDescent="0.2">
      <c r="A119" s="1081"/>
      <c r="B119" s="212">
        <v>0.04</v>
      </c>
      <c r="C119" s="213">
        <f>C95+C96+C109</f>
        <v>0</v>
      </c>
      <c r="D119" s="390">
        <f>D95+D96+D109</f>
        <v>0</v>
      </c>
    </row>
    <row r="120" spans="1:5" ht="14.25" customHeight="1" x14ac:dyDescent="0.2">
      <c r="A120" s="1081"/>
      <c r="B120" s="214">
        <v>0.05</v>
      </c>
      <c r="C120" s="215">
        <f>C95+C96+C112</f>
        <v>0</v>
      </c>
      <c r="D120" s="391">
        <f>D95+D96+D112</f>
        <v>0</v>
      </c>
    </row>
    <row r="121" spans="1:5" ht="14.25" customHeight="1" x14ac:dyDescent="0.2">
      <c r="A121" s="363" t="s">
        <v>541</v>
      </c>
      <c r="B121" s="216"/>
      <c r="C121" s="217"/>
      <c r="D121" s="392"/>
    </row>
    <row r="122" spans="1:5" ht="14.25" customHeight="1" x14ac:dyDescent="0.2">
      <c r="A122" s="393"/>
      <c r="B122" s="220"/>
      <c r="C122" s="221"/>
      <c r="D122" s="394"/>
    </row>
    <row r="123" spans="1:5" ht="7.5" customHeight="1" x14ac:dyDescent="0.2">
      <c r="A123" s="1082"/>
      <c r="B123" s="1048"/>
      <c r="C123" s="1048"/>
      <c r="D123" s="1083"/>
    </row>
    <row r="124" spans="1:5" ht="7.5" customHeight="1" x14ac:dyDescent="0.2">
      <c r="A124" s="1084"/>
      <c r="B124" s="1049"/>
      <c r="C124" s="1049"/>
      <c r="D124" s="1085"/>
    </row>
    <row r="125" spans="1:5" ht="54.75" customHeight="1" x14ac:dyDescent="0.2">
      <c r="A125" s="1086" t="s">
        <v>542</v>
      </c>
      <c r="B125" s="1050"/>
      <c r="C125" s="224" t="str">
        <f>C10</f>
        <v>Servente 44h COVID</v>
      </c>
      <c r="D125" s="395" t="str">
        <f>D10</f>
        <v>Servente 30h COVID</v>
      </c>
    </row>
    <row r="126" spans="1:5" ht="15.75" customHeight="1" x14ac:dyDescent="0.2">
      <c r="A126" s="1087" t="s">
        <v>543</v>
      </c>
      <c r="B126" s="1051"/>
      <c r="C126" s="227" t="s">
        <v>472</v>
      </c>
      <c r="D126" s="396" t="s">
        <v>472</v>
      </c>
    </row>
    <row r="127" spans="1:5" ht="14.25" customHeight="1" x14ac:dyDescent="0.2">
      <c r="A127" s="1088" t="s">
        <v>544</v>
      </c>
      <c r="B127" s="1052"/>
      <c r="C127" s="229">
        <f>C19</f>
        <v>0</v>
      </c>
      <c r="D127" s="397">
        <f>D19</f>
        <v>0</v>
      </c>
    </row>
    <row r="128" spans="1:5" ht="14.25" customHeight="1" x14ac:dyDescent="0.2">
      <c r="A128" s="1080" t="s">
        <v>545</v>
      </c>
      <c r="B128" s="1053"/>
      <c r="C128" s="150">
        <f>C49</f>
        <v>0</v>
      </c>
      <c r="D128" s="398">
        <f>D49</f>
        <v>0</v>
      </c>
    </row>
    <row r="129" spans="1:4" ht="14.25" customHeight="1" x14ac:dyDescent="0.2">
      <c r="A129" s="1080" t="s">
        <v>546</v>
      </c>
      <c r="B129" s="1053"/>
      <c r="C129" s="150">
        <f>C60</f>
        <v>0</v>
      </c>
      <c r="D129" s="398">
        <f>D60</f>
        <v>0</v>
      </c>
    </row>
    <row r="130" spans="1:4" ht="14.25" customHeight="1" x14ac:dyDescent="0.2">
      <c r="A130" s="1080" t="s">
        <v>547</v>
      </c>
      <c r="B130" s="1053"/>
      <c r="C130" s="150">
        <f>C80</f>
        <v>0</v>
      </c>
      <c r="D130" s="398">
        <f>D80</f>
        <v>0</v>
      </c>
    </row>
    <row r="131" spans="1:4" ht="15.75" customHeight="1" x14ac:dyDescent="0.2">
      <c r="A131" s="1080" t="s">
        <v>548</v>
      </c>
      <c r="B131" s="1053"/>
      <c r="C131" s="150">
        <f>C91</f>
        <v>0</v>
      </c>
      <c r="D131" s="398">
        <f>D91</f>
        <v>0</v>
      </c>
    </row>
    <row r="132" spans="1:4" ht="15.75" customHeight="1" x14ac:dyDescent="0.2">
      <c r="A132" s="1090" t="s">
        <v>549</v>
      </c>
      <c r="B132" s="1056"/>
      <c r="C132" s="152">
        <f>SUM(C127:C131)</f>
        <v>0</v>
      </c>
      <c r="D132" s="399">
        <f>SUM(D127:D131)</f>
        <v>0</v>
      </c>
    </row>
    <row r="133" spans="1:4" ht="15.75" customHeight="1" x14ac:dyDescent="0.2">
      <c r="A133" s="1089" t="s">
        <v>550</v>
      </c>
      <c r="B133" s="1054"/>
      <c r="C133" s="232">
        <f t="shared" ref="C133:D138" si="23">C115</f>
        <v>0</v>
      </c>
      <c r="D133" s="400">
        <f t="shared" si="23"/>
        <v>0</v>
      </c>
    </row>
    <row r="134" spans="1:4" ht="15.75" customHeight="1" x14ac:dyDescent="0.2">
      <c r="A134" s="1080" t="s">
        <v>551</v>
      </c>
      <c r="B134" s="1053"/>
      <c r="C134" s="234">
        <f t="shared" si="23"/>
        <v>0</v>
      </c>
      <c r="D134" s="401">
        <f t="shared" si="23"/>
        <v>0</v>
      </c>
    </row>
    <row r="135" spans="1:4" ht="15.75" customHeight="1" x14ac:dyDescent="0.2">
      <c r="A135" s="1080" t="s">
        <v>552</v>
      </c>
      <c r="B135" s="1053"/>
      <c r="C135" s="234">
        <f t="shared" si="23"/>
        <v>0</v>
      </c>
      <c r="D135" s="644">
        <f t="shared" si="23"/>
        <v>0</v>
      </c>
    </row>
    <row r="136" spans="1:4" ht="15.75" customHeight="1" x14ac:dyDescent="0.2">
      <c r="A136" s="1125" t="s">
        <v>617</v>
      </c>
      <c r="B136" s="1126"/>
      <c r="C136" s="234">
        <f t="shared" si="23"/>
        <v>0</v>
      </c>
      <c r="D136" s="644">
        <f t="shared" si="23"/>
        <v>0</v>
      </c>
    </row>
    <row r="137" spans="1:4" ht="15.75" customHeight="1" x14ac:dyDescent="0.2">
      <c r="A137" s="1080" t="s">
        <v>553</v>
      </c>
      <c r="B137" s="1053"/>
      <c r="C137" s="234">
        <f t="shared" si="23"/>
        <v>0</v>
      </c>
      <c r="D137" s="401">
        <f t="shared" si="23"/>
        <v>0</v>
      </c>
    </row>
    <row r="138" spans="1:4" ht="15.75" customHeight="1" x14ac:dyDescent="0.2">
      <c r="A138" s="1089" t="s">
        <v>554</v>
      </c>
      <c r="B138" s="1054"/>
      <c r="C138" s="234">
        <f t="shared" si="23"/>
        <v>0</v>
      </c>
      <c r="D138" s="401">
        <f t="shared" si="23"/>
        <v>0</v>
      </c>
    </row>
    <row r="139" spans="1:4" ht="15.75" customHeight="1" x14ac:dyDescent="0.2">
      <c r="A139" s="402" t="s">
        <v>555</v>
      </c>
      <c r="B139" s="237"/>
      <c r="C139" s="238">
        <f>C132+C133</f>
        <v>0</v>
      </c>
      <c r="D139" s="403">
        <f>D132+D133</f>
        <v>0</v>
      </c>
    </row>
    <row r="140" spans="1:4" ht="15.75" customHeight="1" x14ac:dyDescent="0.2">
      <c r="A140" s="404" t="s">
        <v>556</v>
      </c>
      <c r="B140" s="241"/>
      <c r="C140" s="242">
        <f>C132+C134</f>
        <v>0</v>
      </c>
      <c r="D140" s="405">
        <f>D132+D134</f>
        <v>0</v>
      </c>
    </row>
    <row r="141" spans="1:4" ht="15.75" customHeight="1" x14ac:dyDescent="0.2">
      <c r="A141" s="404" t="s">
        <v>557</v>
      </c>
      <c r="B141" s="241"/>
      <c r="C141" s="242">
        <f>C132+C135</f>
        <v>0</v>
      </c>
      <c r="D141" s="405">
        <f>D132+D135</f>
        <v>0</v>
      </c>
    </row>
    <row r="142" spans="1:4" ht="15.75" customHeight="1" x14ac:dyDescent="0.2">
      <c r="A142" s="404" t="s">
        <v>618</v>
      </c>
      <c r="B142" s="241"/>
      <c r="C142" s="242">
        <f>C132+C136</f>
        <v>0</v>
      </c>
      <c r="D142" s="242">
        <f>D132+D136</f>
        <v>0</v>
      </c>
    </row>
    <row r="143" spans="1:4" ht="15.75" customHeight="1" x14ac:dyDescent="0.2">
      <c r="A143" s="404" t="s">
        <v>558</v>
      </c>
      <c r="B143" s="241"/>
      <c r="C143" s="242">
        <f>C132+C137</f>
        <v>0</v>
      </c>
      <c r="D143" s="405">
        <f>D132+D137</f>
        <v>0</v>
      </c>
    </row>
    <row r="144" spans="1:4" ht="15.75" customHeight="1" x14ac:dyDescent="0.2">
      <c r="A144" s="404" t="s">
        <v>559</v>
      </c>
      <c r="B144" s="241"/>
      <c r="C144" s="242">
        <f>C132+C138</f>
        <v>0</v>
      </c>
      <c r="D144" s="405">
        <f>D132+D138</f>
        <v>0</v>
      </c>
    </row>
    <row r="145" spans="1:4" ht="15.75" customHeight="1" x14ac:dyDescent="0.2">
      <c r="A145" s="406" t="s">
        <v>560</v>
      </c>
      <c r="B145" s="244"/>
      <c r="C145" s="245">
        <f t="shared" ref="C145:C150" si="24">C139/200</f>
        <v>0</v>
      </c>
      <c r="D145" s="407"/>
    </row>
    <row r="146" spans="1:4" ht="15.75" customHeight="1" x14ac:dyDescent="0.2">
      <c r="A146" s="408" t="s">
        <v>561</v>
      </c>
      <c r="B146" s="246"/>
      <c r="C146" s="247">
        <f t="shared" si="24"/>
        <v>0</v>
      </c>
      <c r="D146" s="409"/>
    </row>
    <row r="147" spans="1:4" ht="15.75" customHeight="1" x14ac:dyDescent="0.2">
      <c r="A147" s="408" t="s">
        <v>562</v>
      </c>
      <c r="B147" s="246"/>
      <c r="C147" s="247">
        <f t="shared" si="24"/>
        <v>0</v>
      </c>
      <c r="D147" s="409"/>
    </row>
    <row r="148" spans="1:4" ht="15.75" customHeight="1" x14ac:dyDescent="0.2">
      <c r="A148" s="408" t="s">
        <v>619</v>
      </c>
      <c r="B148" s="246"/>
      <c r="C148" s="247">
        <f t="shared" si="24"/>
        <v>0</v>
      </c>
      <c r="D148" s="409"/>
    </row>
    <row r="149" spans="1:4" ht="15.75" customHeight="1" x14ac:dyDescent="0.2">
      <c r="A149" s="408" t="s">
        <v>563</v>
      </c>
      <c r="B149" s="246"/>
      <c r="C149" s="247">
        <f t="shared" si="24"/>
        <v>0</v>
      </c>
      <c r="D149" s="409"/>
    </row>
    <row r="150" spans="1:4" ht="15.75" customHeight="1" x14ac:dyDescent="0.2">
      <c r="A150" s="410" t="s">
        <v>564</v>
      </c>
      <c r="B150" s="411"/>
      <c r="C150" s="412">
        <f t="shared" si="24"/>
        <v>0</v>
      </c>
      <c r="D150" s="413"/>
    </row>
    <row r="151" spans="1:4" x14ac:dyDescent="0.2">
      <c r="A151" s="248"/>
    </row>
  </sheetData>
  <mergeCells count="28">
    <mergeCell ref="A21:D21"/>
    <mergeCell ref="A1:D1"/>
    <mergeCell ref="A2:D2"/>
    <mergeCell ref="A3:D3"/>
    <mergeCell ref="A9:D9"/>
    <mergeCell ref="A20:B20"/>
    <mergeCell ref="A128:B128"/>
    <mergeCell ref="A50:B50"/>
    <mergeCell ref="A51:D51"/>
    <mergeCell ref="A61:B61"/>
    <mergeCell ref="A62:D62"/>
    <mergeCell ref="A92:B92"/>
    <mergeCell ref="A115:A120"/>
    <mergeCell ref="A123:D123"/>
    <mergeCell ref="A124:D124"/>
    <mergeCell ref="A125:B125"/>
    <mergeCell ref="A126:B126"/>
    <mergeCell ref="A127:B127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34:B134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C2E6"/>
  </sheetPr>
  <dimension ref="A1:ALW198"/>
  <sheetViews>
    <sheetView topLeftCell="A94" zoomScale="80" zoomScaleNormal="80" workbookViewId="0">
      <selection activeCell="E40" sqref="E40"/>
    </sheetView>
  </sheetViews>
  <sheetFormatPr defaultRowHeight="14.25" x14ac:dyDescent="0.2"/>
  <cols>
    <col min="1" max="1" width="50.25" style="92" customWidth="1"/>
    <col min="2" max="2" width="12.875" style="92" customWidth="1"/>
    <col min="3" max="3" width="13" style="92" customWidth="1"/>
    <col min="4" max="4" width="13.875" style="92" customWidth="1"/>
    <col min="5" max="5" width="15.375" style="92" customWidth="1"/>
    <col min="6" max="1011" width="9" style="92"/>
  </cols>
  <sheetData>
    <row r="1" spans="1:5" ht="15.75" x14ac:dyDescent="0.25">
      <c r="A1" s="1168" t="s">
        <v>454</v>
      </c>
      <c r="B1" s="1169"/>
      <c r="C1" s="1169"/>
      <c r="D1" s="1169"/>
      <c r="E1" s="1170"/>
    </row>
    <row r="2" spans="1:5" ht="15.75" x14ac:dyDescent="0.25">
      <c r="A2" s="1171" t="s">
        <v>455</v>
      </c>
      <c r="B2" s="1172"/>
      <c r="C2" s="1172"/>
      <c r="D2" s="1172"/>
      <c r="E2" s="1173"/>
    </row>
    <row r="3" spans="1:5" ht="15.75" customHeight="1" x14ac:dyDescent="0.25">
      <c r="A3" s="1171" t="s">
        <v>456</v>
      </c>
      <c r="B3" s="1172"/>
      <c r="C3" s="1172"/>
      <c r="D3" s="1172"/>
      <c r="E3" s="1173"/>
    </row>
    <row r="4" spans="1:5" x14ac:dyDescent="0.2">
      <c r="A4" s="830"/>
      <c r="B4" s="831"/>
      <c r="C4" s="857" t="s">
        <v>457</v>
      </c>
      <c r="D4" s="858" t="s">
        <v>458</v>
      </c>
      <c r="E4" s="859" t="s">
        <v>624</v>
      </c>
    </row>
    <row r="5" spans="1:5" x14ac:dyDescent="0.2">
      <c r="A5" s="830"/>
      <c r="B5" s="832" t="s">
        <v>461</v>
      </c>
      <c r="C5" s="860">
        <f>MC!G11</f>
        <v>0</v>
      </c>
      <c r="D5" s="860">
        <f>MC!I11</f>
        <v>0</v>
      </c>
      <c r="E5" s="833">
        <f>MC!G11</f>
        <v>0</v>
      </c>
    </row>
    <row r="6" spans="1:5" x14ac:dyDescent="0.2">
      <c r="A6" s="830"/>
      <c r="B6" s="832" t="s">
        <v>462</v>
      </c>
      <c r="C6" s="861">
        <f>MC!H8</f>
        <v>0</v>
      </c>
      <c r="D6" s="717">
        <f>C6</f>
        <v>0</v>
      </c>
      <c r="E6" s="834">
        <f>C6</f>
        <v>0</v>
      </c>
    </row>
    <row r="7" spans="1:5" x14ac:dyDescent="0.2">
      <c r="A7" s="830"/>
      <c r="B7" s="832" t="s">
        <v>463</v>
      </c>
      <c r="C7" s="862">
        <f>MC!G8</f>
        <v>0</v>
      </c>
      <c r="D7" s="716">
        <f>C7</f>
        <v>0</v>
      </c>
      <c r="E7" s="835">
        <f>C7</f>
        <v>0</v>
      </c>
    </row>
    <row r="8" spans="1:5" x14ac:dyDescent="0.2">
      <c r="A8" s="830"/>
      <c r="B8" s="832" t="s">
        <v>464</v>
      </c>
      <c r="C8" s="863" t="s">
        <v>10</v>
      </c>
      <c r="D8" s="864" t="s">
        <v>10</v>
      </c>
      <c r="E8" s="865" t="s">
        <v>10</v>
      </c>
    </row>
    <row r="9" spans="1:5" x14ac:dyDescent="0.2">
      <c r="A9" s="1174"/>
      <c r="B9" s="1175"/>
      <c r="C9" s="1175"/>
      <c r="D9" s="1175"/>
      <c r="E9" s="1176"/>
    </row>
    <row r="10" spans="1:5" ht="66.75" customHeight="1" x14ac:dyDescent="0.2">
      <c r="A10" s="867" t="s">
        <v>465</v>
      </c>
      <c r="B10" s="871" t="s">
        <v>466</v>
      </c>
      <c r="C10" s="871" t="s">
        <v>625</v>
      </c>
      <c r="D10" s="871" t="s">
        <v>458</v>
      </c>
      <c r="E10" s="872" t="s">
        <v>626</v>
      </c>
    </row>
    <row r="11" spans="1:5" ht="15.75" customHeight="1" x14ac:dyDescent="0.2">
      <c r="A11" s="866" t="s">
        <v>469</v>
      </c>
      <c r="B11" s="868"/>
      <c r="C11" s="868"/>
      <c r="D11" s="868"/>
      <c r="E11" s="869"/>
    </row>
    <row r="12" spans="1:5" ht="15.75" customHeight="1" x14ac:dyDescent="0.2">
      <c r="A12" s="836" t="s">
        <v>470</v>
      </c>
      <c r="B12" s="718" t="s">
        <v>471</v>
      </c>
      <c r="C12" s="718" t="s">
        <v>472</v>
      </c>
      <c r="D12" s="718" t="s">
        <v>472</v>
      </c>
      <c r="E12" s="870"/>
    </row>
    <row r="13" spans="1:5" ht="15.75" customHeight="1" x14ac:dyDescent="0.2">
      <c r="A13" s="838" t="s">
        <v>473</v>
      </c>
      <c r="B13" s="479"/>
      <c r="C13" s="720">
        <f>C5</f>
        <v>0</v>
      </c>
      <c r="D13" s="721">
        <f>D5</f>
        <v>0</v>
      </c>
      <c r="E13" s="839">
        <f>E5</f>
        <v>0</v>
      </c>
    </row>
    <row r="14" spans="1:5" ht="15.75" customHeight="1" x14ac:dyDescent="0.2">
      <c r="A14" s="838" t="s">
        <v>474</v>
      </c>
      <c r="B14" s="722">
        <v>0</v>
      </c>
      <c r="C14" s="723"/>
      <c r="D14" s="723"/>
      <c r="E14" s="840"/>
    </row>
    <row r="15" spans="1:5" ht="15.75" customHeight="1" x14ac:dyDescent="0.2">
      <c r="A15" s="838" t="s">
        <v>475</v>
      </c>
      <c r="B15" s="479"/>
      <c r="C15" s="479"/>
      <c r="D15" s="724"/>
      <c r="E15" s="841"/>
    </row>
    <row r="16" spans="1:5" ht="15.75" customHeight="1" x14ac:dyDescent="0.2">
      <c r="A16" s="838" t="s">
        <v>476</v>
      </c>
      <c r="B16" s="479"/>
      <c r="C16" s="479"/>
      <c r="D16" s="724"/>
      <c r="E16" s="841"/>
    </row>
    <row r="17" spans="1:5" ht="15.75" customHeight="1" x14ac:dyDescent="0.2">
      <c r="A17" s="838" t="s">
        <v>477</v>
      </c>
      <c r="B17" s="479"/>
      <c r="C17" s="479"/>
      <c r="D17" s="724"/>
      <c r="E17" s="841"/>
    </row>
    <row r="18" spans="1:5" ht="15.75" customHeight="1" x14ac:dyDescent="0.2">
      <c r="A18" s="838" t="s">
        <v>599</v>
      </c>
      <c r="B18" s="479"/>
      <c r="C18" s="479"/>
      <c r="D18" s="479"/>
      <c r="E18" s="848"/>
    </row>
    <row r="19" spans="1:5" ht="15.75" customHeight="1" x14ac:dyDescent="0.2">
      <c r="A19" s="842" t="s">
        <v>479</v>
      </c>
      <c r="B19" s="726"/>
      <c r="C19" s="742">
        <f>SUM(C13:C18)</f>
        <v>0</v>
      </c>
      <c r="D19" s="742">
        <f>SUM(D13:D18)</f>
        <v>0</v>
      </c>
      <c r="E19" s="843">
        <f>SUM(E13:E18)</f>
        <v>0</v>
      </c>
    </row>
    <row r="20" spans="1:5" ht="15.75" customHeight="1" x14ac:dyDescent="0.2">
      <c r="A20" s="1177"/>
      <c r="B20" s="1178"/>
      <c r="C20" s="479"/>
      <c r="D20" s="724"/>
      <c r="E20" s="841"/>
    </row>
    <row r="21" spans="1:5" ht="15.75" customHeight="1" x14ac:dyDescent="0.2">
      <c r="A21" s="1141" t="s">
        <v>480</v>
      </c>
      <c r="B21" s="1142"/>
      <c r="C21" s="1142"/>
      <c r="D21" s="1142"/>
      <c r="E21" s="1143"/>
    </row>
    <row r="22" spans="1:5" ht="15.75" customHeight="1" x14ac:dyDescent="0.2">
      <c r="A22" s="844" t="s">
        <v>481</v>
      </c>
      <c r="B22" s="728" t="s">
        <v>471</v>
      </c>
      <c r="C22" s="728" t="s">
        <v>472</v>
      </c>
      <c r="D22" s="728" t="s">
        <v>472</v>
      </c>
      <c r="E22" s="845" t="s">
        <v>472</v>
      </c>
    </row>
    <row r="23" spans="1:5" ht="15.75" customHeight="1" x14ac:dyDescent="0.2">
      <c r="A23" s="846" t="s">
        <v>482</v>
      </c>
      <c r="B23" s="108">
        <f>1/12</f>
        <v>8.3333333333333329E-2</v>
      </c>
      <c r="C23" s="106">
        <f>ROUND($B23*C$19,2)</f>
        <v>0</v>
      </c>
      <c r="D23" s="106">
        <f>ROUND($B23*D$19,2)</f>
        <v>0</v>
      </c>
      <c r="E23" s="364">
        <f>ROUND($B23*E$19,2)</f>
        <v>0</v>
      </c>
    </row>
    <row r="24" spans="1:5" ht="15.75" customHeight="1" x14ac:dyDescent="0.2">
      <c r="A24" s="846" t="s">
        <v>483</v>
      </c>
      <c r="B24" s="108">
        <f>1/3*1/12</f>
        <v>2.7777777777777776E-2</v>
      </c>
      <c r="C24" s="106">
        <f>C$19*$B$24</f>
        <v>0</v>
      </c>
      <c r="D24" s="106">
        <f>D$19*$B$24</f>
        <v>0</v>
      </c>
      <c r="E24" s="364">
        <f>E$19*$B$24</f>
        <v>0</v>
      </c>
    </row>
    <row r="25" spans="1:5" ht="15.75" customHeight="1" x14ac:dyDescent="0.2">
      <c r="A25" s="842" t="s">
        <v>479</v>
      </c>
      <c r="B25" s="120">
        <f>SUM(B23:B24)</f>
        <v>0.1111111111111111</v>
      </c>
      <c r="C25" s="121">
        <f>SUM(C23:C24)</f>
        <v>0</v>
      </c>
      <c r="D25" s="121">
        <f>SUM(D23:D24)</f>
        <v>0</v>
      </c>
      <c r="E25" s="366">
        <f>SUM(E23:E24)</f>
        <v>0</v>
      </c>
    </row>
    <row r="26" spans="1:5" ht="15.75" customHeight="1" x14ac:dyDescent="0.2">
      <c r="A26" s="844" t="s">
        <v>484</v>
      </c>
      <c r="B26" s="728" t="s">
        <v>471</v>
      </c>
      <c r="C26" s="728" t="s">
        <v>472</v>
      </c>
      <c r="D26" s="728" t="s">
        <v>472</v>
      </c>
      <c r="E26" s="845" t="s">
        <v>472</v>
      </c>
    </row>
    <row r="27" spans="1:5" ht="15.75" customHeight="1" x14ac:dyDescent="0.2">
      <c r="A27" s="844" t="s">
        <v>485</v>
      </c>
      <c r="B27" s="553"/>
      <c r="C27" s="553"/>
      <c r="D27" s="553"/>
      <c r="E27" s="847"/>
    </row>
    <row r="28" spans="1:5" ht="15.75" customHeight="1" x14ac:dyDescent="0.2">
      <c r="A28" s="846" t="s">
        <v>486</v>
      </c>
      <c r="B28" s="108">
        <v>0.2</v>
      </c>
      <c r="C28" s="125">
        <f t="shared" ref="C28:C35" si="0">ROUND(($C$19+$C$25)*B28,2)</f>
        <v>0</v>
      </c>
      <c r="D28" s="125">
        <f t="shared" ref="D28:D35" si="1">ROUND(($D$19+$D$25)*B28,2)</f>
        <v>0</v>
      </c>
      <c r="E28" s="373">
        <f t="shared" ref="E28:E35" si="2">ROUND(($E$19+$E$25)*B28,2)</f>
        <v>0</v>
      </c>
    </row>
    <row r="29" spans="1:5" ht="15.75" customHeight="1" x14ac:dyDescent="0.2">
      <c r="A29" s="846" t="s">
        <v>487</v>
      </c>
      <c r="B29" s="108">
        <v>2.5000000000000001E-2</v>
      </c>
      <c r="C29" s="125">
        <f t="shared" si="0"/>
        <v>0</v>
      </c>
      <c r="D29" s="125">
        <f t="shared" si="1"/>
        <v>0</v>
      </c>
      <c r="E29" s="373">
        <f t="shared" si="2"/>
        <v>0</v>
      </c>
    </row>
    <row r="30" spans="1:5" ht="15.75" customHeight="1" x14ac:dyDescent="0.2">
      <c r="A30" s="846" t="s">
        <v>488</v>
      </c>
      <c r="B30" s="108">
        <v>0.03</v>
      </c>
      <c r="C30" s="125">
        <f t="shared" si="0"/>
        <v>0</v>
      </c>
      <c r="D30" s="125">
        <f t="shared" si="1"/>
        <v>0</v>
      </c>
      <c r="E30" s="373">
        <f t="shared" si="2"/>
        <v>0</v>
      </c>
    </row>
    <row r="31" spans="1:5" ht="15.75" customHeight="1" x14ac:dyDescent="0.2">
      <c r="A31" s="846" t="s">
        <v>489</v>
      </c>
      <c r="B31" s="108">
        <v>1.4999999999999999E-2</v>
      </c>
      <c r="C31" s="125">
        <f t="shared" si="0"/>
        <v>0</v>
      </c>
      <c r="D31" s="125">
        <f t="shared" si="1"/>
        <v>0</v>
      </c>
      <c r="E31" s="373">
        <f t="shared" si="2"/>
        <v>0</v>
      </c>
    </row>
    <row r="32" spans="1:5" ht="15.75" customHeight="1" x14ac:dyDescent="0.2">
      <c r="A32" s="846" t="s">
        <v>490</v>
      </c>
      <c r="B32" s="108">
        <v>0.01</v>
      </c>
      <c r="C32" s="125">
        <f t="shared" si="0"/>
        <v>0</v>
      </c>
      <c r="D32" s="125">
        <f t="shared" si="1"/>
        <v>0</v>
      </c>
      <c r="E32" s="373">
        <f t="shared" si="2"/>
        <v>0</v>
      </c>
    </row>
    <row r="33" spans="1:27" ht="15.75" customHeight="1" x14ac:dyDescent="0.2">
      <c r="A33" s="846" t="s">
        <v>491</v>
      </c>
      <c r="B33" s="108">
        <v>6.0000000000000001E-3</v>
      </c>
      <c r="C33" s="125">
        <f t="shared" si="0"/>
        <v>0</v>
      </c>
      <c r="D33" s="125">
        <f t="shared" si="1"/>
        <v>0</v>
      </c>
      <c r="E33" s="373">
        <f t="shared" si="2"/>
        <v>0</v>
      </c>
    </row>
    <row r="34" spans="1:27" ht="15.75" customHeight="1" x14ac:dyDescent="0.2">
      <c r="A34" s="846" t="s">
        <v>492</v>
      </c>
      <c r="B34" s="108">
        <v>2E-3</v>
      </c>
      <c r="C34" s="125">
        <f t="shared" si="0"/>
        <v>0</v>
      </c>
      <c r="D34" s="125">
        <f t="shared" si="1"/>
        <v>0</v>
      </c>
      <c r="E34" s="373">
        <f t="shared" si="2"/>
        <v>0</v>
      </c>
    </row>
    <row r="35" spans="1:27" ht="15.75" customHeight="1" x14ac:dyDescent="0.2">
      <c r="A35" s="846" t="s">
        <v>493</v>
      </c>
      <c r="B35" s="108">
        <v>0.08</v>
      </c>
      <c r="C35" s="125">
        <f t="shared" si="0"/>
        <v>0</v>
      </c>
      <c r="D35" s="125">
        <f t="shared" si="1"/>
        <v>0</v>
      </c>
      <c r="E35" s="373">
        <f t="shared" si="2"/>
        <v>0</v>
      </c>
    </row>
    <row r="36" spans="1:27" ht="15.75" customHeight="1" x14ac:dyDescent="0.2">
      <c r="A36" s="842" t="s">
        <v>479</v>
      </c>
      <c r="B36" s="120">
        <f>SUM(B28:B35)</f>
        <v>0.36800000000000005</v>
      </c>
      <c r="C36" s="121">
        <f>SUM(C27:C35)</f>
        <v>0</v>
      </c>
      <c r="D36" s="121">
        <f>SUM(D27:D35)</f>
        <v>0</v>
      </c>
      <c r="E36" s="366">
        <f>SUM(E28:E35)</f>
        <v>0</v>
      </c>
    </row>
    <row r="37" spans="1:27" ht="15.75" customHeight="1" x14ac:dyDescent="0.2">
      <c r="A37" s="844" t="s">
        <v>494</v>
      </c>
      <c r="B37" s="728" t="s">
        <v>495</v>
      </c>
      <c r="C37" s="728" t="s">
        <v>472</v>
      </c>
      <c r="D37" s="728" t="s">
        <v>472</v>
      </c>
      <c r="E37" s="845" t="s">
        <v>472</v>
      </c>
    </row>
    <row r="38" spans="1:27" ht="15.75" customHeight="1" x14ac:dyDescent="0.2">
      <c r="A38" s="846" t="s">
        <v>496</v>
      </c>
      <c r="B38" s="729">
        <f>MC!P84</f>
        <v>0</v>
      </c>
      <c r="C38" s="719">
        <f>ROUND(((2*22*$B$38)-0.06*C$13),2)</f>
        <v>0</v>
      </c>
      <c r="D38" s="719">
        <f t="shared" ref="D38:E38" si="3">ROUND(((2*22*$B$38)-0.06*D$13),2)</f>
        <v>0</v>
      </c>
      <c r="E38" s="848">
        <f t="shared" si="3"/>
        <v>0</v>
      </c>
    </row>
    <row r="39" spans="1:27" ht="15.75" customHeight="1" x14ac:dyDescent="0.2">
      <c r="A39" s="846" t="s">
        <v>627</v>
      </c>
      <c r="B39" s="895">
        <f>MC!J21</f>
        <v>0</v>
      </c>
      <c r="C39" s="896">
        <f>B39</f>
        <v>0</v>
      </c>
      <c r="D39" s="719">
        <f>MC!J22</f>
        <v>0</v>
      </c>
      <c r="E39" s="897">
        <f>B39</f>
        <v>0</v>
      </c>
    </row>
    <row r="40" spans="1:27" ht="15.75" customHeight="1" x14ac:dyDescent="0.2">
      <c r="A40" s="846" t="s">
        <v>498</v>
      </c>
      <c r="B40" s="722">
        <v>1.4999999999999999E-2</v>
      </c>
      <c r="C40" s="479"/>
      <c r="D40" s="479"/>
      <c r="E40" s="848"/>
    </row>
    <row r="41" spans="1:27" ht="15.75" customHeight="1" x14ac:dyDescent="0.2">
      <c r="A41" s="846" t="s">
        <v>628</v>
      </c>
      <c r="B41" s="895">
        <f>MC!J28</f>
        <v>0</v>
      </c>
      <c r="C41" s="896">
        <f>B41</f>
        <v>0</v>
      </c>
      <c r="D41" s="896">
        <f>B41</f>
        <v>0</v>
      </c>
      <c r="E41" s="897">
        <f>B41</f>
        <v>0</v>
      </c>
    </row>
    <row r="42" spans="1:27" ht="15.75" customHeight="1" x14ac:dyDescent="0.2">
      <c r="A42" s="846" t="s">
        <v>629</v>
      </c>
      <c r="B42" s="895">
        <f>MC!J29</f>
        <v>0</v>
      </c>
      <c r="C42" s="896">
        <f>B42</f>
        <v>0</v>
      </c>
      <c r="D42" s="896">
        <f>B42</f>
        <v>0</v>
      </c>
      <c r="E42" s="897">
        <f>B42</f>
        <v>0</v>
      </c>
    </row>
    <row r="43" spans="1:27" ht="15.75" customHeight="1" x14ac:dyDescent="0.2">
      <c r="A43" s="846" t="s">
        <v>501</v>
      </c>
      <c r="B43" s="479"/>
      <c r="C43" s="479"/>
      <c r="D43" s="479"/>
      <c r="E43" s="841"/>
    </row>
    <row r="44" spans="1:27" ht="15.75" customHeight="1" x14ac:dyDescent="0.2">
      <c r="A44" s="842" t="s">
        <v>479</v>
      </c>
      <c r="B44" s="726"/>
      <c r="C44" s="727">
        <f>SUM(C38:C43)</f>
        <v>0</v>
      </c>
      <c r="D44" s="727">
        <f t="shared" ref="D44:E44" si="4">SUM(D38:D43)</f>
        <v>0</v>
      </c>
      <c r="E44" s="849">
        <f t="shared" si="4"/>
        <v>0</v>
      </c>
    </row>
    <row r="45" spans="1:27" ht="15.75" customHeight="1" x14ac:dyDescent="0.2">
      <c r="A45" s="361" t="s">
        <v>502</v>
      </c>
      <c r="B45" s="102" t="s">
        <v>471</v>
      </c>
      <c r="C45" s="102" t="s">
        <v>472</v>
      </c>
      <c r="D45" s="102" t="s">
        <v>472</v>
      </c>
      <c r="E45" s="362" t="s">
        <v>472</v>
      </c>
    </row>
    <row r="46" spans="1:27" ht="15.75" customHeight="1" x14ac:dyDescent="0.2">
      <c r="A46" s="371" t="s">
        <v>481</v>
      </c>
      <c r="B46" s="130">
        <f>B25</f>
        <v>0.1111111111111111</v>
      </c>
      <c r="C46" s="131">
        <f>C25</f>
        <v>0</v>
      </c>
      <c r="D46" s="131">
        <f>D25</f>
        <v>0</v>
      </c>
      <c r="E46" s="374">
        <f>E25</f>
        <v>0</v>
      </c>
    </row>
    <row r="47" spans="1:27" ht="15.75" customHeight="1" x14ac:dyDescent="0.2">
      <c r="A47" s="371" t="s">
        <v>503</v>
      </c>
      <c r="B47" s="130">
        <f>B36</f>
        <v>0.36800000000000005</v>
      </c>
      <c r="C47" s="131">
        <f>C36</f>
        <v>0</v>
      </c>
      <c r="D47" s="131">
        <f>D36</f>
        <v>0</v>
      </c>
      <c r="E47" s="374">
        <f>E36</f>
        <v>0</v>
      </c>
      <c r="AA47" s="92" t="e">
        <f>'Prod. GEXJVL'!S13*'GEXJVL L.Ord e Covid - APS PR'!#REF!</f>
        <v>#REF!</v>
      </c>
    </row>
    <row r="48" spans="1:27" ht="15.75" customHeight="1" x14ac:dyDescent="0.2">
      <c r="A48" s="371" t="s">
        <v>494</v>
      </c>
      <c r="B48" s="130"/>
      <c r="C48" s="131">
        <f>C44</f>
        <v>0</v>
      </c>
      <c r="D48" s="131">
        <f>D44</f>
        <v>0</v>
      </c>
      <c r="E48" s="374">
        <f>E44</f>
        <v>0</v>
      </c>
    </row>
    <row r="49" spans="1:5" ht="15.75" customHeight="1" x14ac:dyDescent="0.2">
      <c r="A49" s="365" t="s">
        <v>479</v>
      </c>
      <c r="B49" s="112"/>
      <c r="C49" s="121">
        <f>SUM(C46:C48)</f>
        <v>0</v>
      </c>
      <c r="D49" s="121">
        <f>SUM(D46:D48)</f>
        <v>0</v>
      </c>
      <c r="E49" s="366">
        <f>SUM(E46:E48)</f>
        <v>0</v>
      </c>
    </row>
    <row r="50" spans="1:5" ht="15.75" customHeight="1" x14ac:dyDescent="0.2">
      <c r="A50" s="1144"/>
      <c r="B50" s="1145"/>
      <c r="C50" s="479"/>
      <c r="D50" s="725"/>
      <c r="E50" s="841"/>
    </row>
    <row r="51" spans="1:5" s="133" customFormat="1" ht="15.75" customHeight="1" x14ac:dyDescent="0.2">
      <c r="A51" s="1146" t="s">
        <v>504</v>
      </c>
      <c r="B51" s="1147"/>
      <c r="C51" s="1147"/>
      <c r="D51" s="1147"/>
      <c r="E51" s="1148"/>
    </row>
    <row r="52" spans="1:5" ht="15.75" customHeight="1" x14ac:dyDescent="0.2">
      <c r="A52" s="361" t="s">
        <v>505</v>
      </c>
      <c r="B52" s="102" t="s">
        <v>471</v>
      </c>
      <c r="C52" s="102" t="s">
        <v>472</v>
      </c>
      <c r="D52" s="102" t="s">
        <v>472</v>
      </c>
      <c r="E52" s="362" t="s">
        <v>472</v>
      </c>
    </row>
    <row r="53" spans="1:5" ht="15.75" customHeight="1" x14ac:dyDescent="0.2">
      <c r="A53" s="369" t="s">
        <v>506</v>
      </c>
      <c r="B53" s="134"/>
      <c r="C53" s="134"/>
      <c r="D53" s="134"/>
      <c r="E53" s="375"/>
    </row>
    <row r="54" spans="1:5" ht="15.75" customHeight="1" x14ac:dyDescent="0.2">
      <c r="A54" s="371" t="s">
        <v>507</v>
      </c>
      <c r="B54" s="130">
        <f>1/12*0.05</f>
        <v>4.1666666666666666E-3</v>
      </c>
      <c r="C54" s="136">
        <f>C19*$B54</f>
        <v>0</v>
      </c>
      <c r="D54" s="136">
        <f t="shared" ref="D54:E54" si="5">D19*$B54</f>
        <v>0</v>
      </c>
      <c r="E54" s="376">
        <f t="shared" si="5"/>
        <v>0</v>
      </c>
    </row>
    <row r="55" spans="1:5" ht="15.75" customHeight="1" x14ac:dyDescent="0.2">
      <c r="A55" s="371" t="s">
        <v>508</v>
      </c>
      <c r="B55" s="130">
        <f>B35*B54</f>
        <v>3.3333333333333332E-4</v>
      </c>
      <c r="C55" s="136">
        <f>$B$55*C19</f>
        <v>0</v>
      </c>
      <c r="D55" s="136">
        <f t="shared" ref="D55:E55" si="6">$B$55*D19</f>
        <v>0</v>
      </c>
      <c r="E55" s="376">
        <f t="shared" si="6"/>
        <v>0</v>
      </c>
    </row>
    <row r="56" spans="1:5" ht="15.75" customHeight="1" x14ac:dyDescent="0.2">
      <c r="A56" s="371" t="s">
        <v>509</v>
      </c>
      <c r="B56" s="130">
        <v>0</v>
      </c>
      <c r="C56" s="136">
        <f>C35*$B56</f>
        <v>0</v>
      </c>
      <c r="D56" s="136">
        <f t="shared" ref="D56:E56" si="7">D35*$B56</f>
        <v>0</v>
      </c>
      <c r="E56" s="376">
        <f t="shared" si="7"/>
        <v>0</v>
      </c>
    </row>
    <row r="57" spans="1:5" ht="15.75" customHeight="1" x14ac:dyDescent="0.2">
      <c r="A57" s="371" t="s">
        <v>510</v>
      </c>
      <c r="B57" s="130">
        <f>1/12*1/30*7</f>
        <v>1.9444444444444441E-2</v>
      </c>
      <c r="C57" s="131">
        <f>C19*$B57</f>
        <v>0</v>
      </c>
      <c r="D57" s="131">
        <f t="shared" ref="D57:E57" si="8">D19*$B57</f>
        <v>0</v>
      </c>
      <c r="E57" s="374">
        <f t="shared" si="8"/>
        <v>0</v>
      </c>
    </row>
    <row r="58" spans="1:5" ht="15.75" customHeight="1" x14ac:dyDescent="0.2">
      <c r="A58" s="371" t="s">
        <v>511</v>
      </c>
      <c r="B58" s="130">
        <f>B36*B57</f>
        <v>7.1555555555555556E-3</v>
      </c>
      <c r="C58" s="131">
        <f>$B58*C19</f>
        <v>0</v>
      </c>
      <c r="D58" s="131">
        <f t="shared" ref="D58:E58" si="9">$B58*D19</f>
        <v>0</v>
      </c>
      <c r="E58" s="374">
        <f t="shared" si="9"/>
        <v>0</v>
      </c>
    </row>
    <row r="59" spans="1:5" ht="15.75" customHeight="1" x14ac:dyDescent="0.2">
      <c r="A59" s="371" t="s">
        <v>512</v>
      </c>
      <c r="B59" s="130">
        <f>B35*40/100*90/100*(1+1/12+1/12+1/3*1/12)</f>
        <v>3.4399999999999993E-2</v>
      </c>
      <c r="C59" s="131">
        <f>C19*$B59</f>
        <v>0</v>
      </c>
      <c r="D59" s="131">
        <f t="shared" ref="D59:E59" si="10">D19*$B59</f>
        <v>0</v>
      </c>
      <c r="E59" s="374">
        <f t="shared" si="10"/>
        <v>0</v>
      </c>
    </row>
    <row r="60" spans="1:5" ht="15.75" customHeight="1" x14ac:dyDescent="0.2">
      <c r="A60" s="365" t="s">
        <v>479</v>
      </c>
      <c r="B60" s="120">
        <f>SUM(B54:B59)</f>
        <v>6.5499999999999989E-2</v>
      </c>
      <c r="C60" s="137">
        <f>SUM(C54:C59)</f>
        <v>0</v>
      </c>
      <c r="D60" s="137">
        <f>SUM(D54:D59)</f>
        <v>0</v>
      </c>
      <c r="E60" s="377">
        <f>SUM(E54:E59)</f>
        <v>0</v>
      </c>
    </row>
    <row r="61" spans="1:5" ht="15.75" customHeight="1" x14ac:dyDescent="0.2">
      <c r="A61" s="1144"/>
      <c r="B61" s="1145"/>
      <c r="C61" s="730"/>
      <c r="D61" s="730"/>
      <c r="E61" s="850"/>
    </row>
    <row r="62" spans="1:5" ht="15.75" customHeight="1" x14ac:dyDescent="0.2">
      <c r="A62" s="1146" t="s">
        <v>513</v>
      </c>
      <c r="B62" s="1147"/>
      <c r="C62" s="1147"/>
      <c r="D62" s="1147"/>
      <c r="E62" s="1148"/>
    </row>
    <row r="63" spans="1:5" ht="15.75" customHeight="1" x14ac:dyDescent="0.2">
      <c r="A63" s="369" t="s">
        <v>48</v>
      </c>
      <c r="B63" s="117"/>
      <c r="C63" s="117"/>
      <c r="D63" s="117"/>
      <c r="E63" s="370"/>
    </row>
    <row r="64" spans="1:5" ht="15.75" customHeight="1" x14ac:dyDescent="0.2">
      <c r="A64" s="371" t="s">
        <v>49</v>
      </c>
      <c r="B64" s="108">
        <f>1/12</f>
        <v>8.3333333333333329E-2</v>
      </c>
      <c r="C64" s="125">
        <f>B64*($C$19+$C$49+$C$60)</f>
        <v>0</v>
      </c>
      <c r="D64" s="125">
        <f>B64*($D$19+$D$49+$D$60)</f>
        <v>0</v>
      </c>
      <c r="E64" s="373">
        <f>B64*($E$19+$E$49+$E$60)</f>
        <v>0</v>
      </c>
    </row>
    <row r="65" spans="1:5" ht="15.75" customHeight="1" x14ac:dyDescent="0.2">
      <c r="A65" s="371" t="s">
        <v>514</v>
      </c>
      <c r="B65" s="108">
        <f>MC!E56/30/12</f>
        <v>1.3538888888888885E-2</v>
      </c>
      <c r="C65" s="125">
        <f>B65*($C$19+$C$49+$C$60)</f>
        <v>0</v>
      </c>
      <c r="D65" s="125">
        <f>B65*($D$19+$D$49+$D$60)</f>
        <v>0</v>
      </c>
      <c r="E65" s="373">
        <f>B65*($E$19+$E$49+$E$60)</f>
        <v>0</v>
      </c>
    </row>
    <row r="66" spans="1:5" ht="15.75" customHeight="1" x14ac:dyDescent="0.2">
      <c r="A66" s="371" t="s">
        <v>515</v>
      </c>
      <c r="B66" s="139">
        <f>(5/30)/12*MC!F58*MC!C59</f>
        <v>1.0764583333333333E-4</v>
      </c>
      <c r="C66" s="125">
        <f>B66*($C$19+$C$49+$C$60)</f>
        <v>0</v>
      </c>
      <c r="D66" s="125">
        <f>B66*($D$19+$D$49+$D$60)</f>
        <v>0</v>
      </c>
      <c r="E66" s="373">
        <f>B66*($E$19+$E$49+$E$60)</f>
        <v>0</v>
      </c>
    </row>
    <row r="67" spans="1:5" ht="15.75" customHeight="1" x14ac:dyDescent="0.2">
      <c r="A67" s="371" t="s">
        <v>516</v>
      </c>
      <c r="B67" s="139">
        <f>MC!C61/30/12</f>
        <v>2.6830555555555553E-3</v>
      </c>
      <c r="C67" s="125">
        <f>B67*($C$19+$C$49+$C$60)</f>
        <v>0</v>
      </c>
      <c r="D67" s="125">
        <f>B67*($D$19+$D$49+$D$60)</f>
        <v>0</v>
      </c>
      <c r="E67" s="373">
        <f>B67*($E$19+$E$49+$E$60)</f>
        <v>0</v>
      </c>
    </row>
    <row r="68" spans="1:5" ht="15.75" customHeight="1" x14ac:dyDescent="0.2">
      <c r="A68" s="371" t="s">
        <v>517</v>
      </c>
      <c r="B68" s="108"/>
      <c r="C68" s="125"/>
      <c r="D68" s="125"/>
      <c r="E68" s="373">
        <f>B68*($E$19+$E$49+$E$60)</f>
        <v>0</v>
      </c>
    </row>
    <row r="69" spans="1:5" ht="15.75" customHeight="1" x14ac:dyDescent="0.2">
      <c r="A69" s="379" t="s">
        <v>518</v>
      </c>
      <c r="B69" s="141">
        <f>SUM(B64:B68)</f>
        <v>9.9662923611111107E-2</v>
      </c>
      <c r="C69" s="142">
        <f>SUM(C64:C68)</f>
        <v>0</v>
      </c>
      <c r="D69" s="142">
        <f>SUM(D64:D68)</f>
        <v>0</v>
      </c>
      <c r="E69" s="380">
        <f>SUM(E64:E68)</f>
        <v>0</v>
      </c>
    </row>
    <row r="70" spans="1:5" ht="15.75" customHeight="1" x14ac:dyDescent="0.2">
      <c r="A70" s="369" t="s">
        <v>519</v>
      </c>
      <c r="B70" s="117"/>
      <c r="C70" s="117"/>
      <c r="D70" s="117"/>
      <c r="E70" s="370"/>
    </row>
    <row r="71" spans="1:5" ht="15.75" customHeight="1" x14ac:dyDescent="0.2">
      <c r="A71" s="371" t="s">
        <v>520</v>
      </c>
      <c r="B71" s="108"/>
      <c r="C71" s="125"/>
      <c r="D71" s="125"/>
      <c r="E71" s="373"/>
    </row>
    <row r="72" spans="1:5" ht="15.75" customHeight="1" x14ac:dyDescent="0.2">
      <c r="A72" s="379" t="s">
        <v>518</v>
      </c>
      <c r="B72" s="141"/>
      <c r="C72" s="142">
        <f>C71</f>
        <v>0</v>
      </c>
      <c r="D72" s="142"/>
      <c r="E72" s="380"/>
    </row>
    <row r="73" spans="1:5" ht="15.75" customHeight="1" x14ac:dyDescent="0.2">
      <c r="A73" s="369" t="s">
        <v>70</v>
      </c>
      <c r="B73" s="117"/>
      <c r="C73" s="117"/>
      <c r="D73" s="117"/>
      <c r="E73" s="370"/>
    </row>
    <row r="74" spans="1:5" ht="15.75" customHeight="1" x14ac:dyDescent="0.2">
      <c r="A74" s="371" t="s">
        <v>71</v>
      </c>
      <c r="B74" s="108">
        <f>120/30*MC!C64*MC!C65</f>
        <v>6.18624E-3</v>
      </c>
      <c r="C74" s="125">
        <f>(((C19*2)+ (C19*1/3))+(C36)+(C44-C38-C39))*$B$74</f>
        <v>0</v>
      </c>
      <c r="D74" s="125">
        <f>(((D19*2)+ (D19*1/3))+(D36)+(D44-D38-D39))*$B$74</f>
        <v>0</v>
      </c>
      <c r="E74" s="373">
        <f>(((E19*2)+ (E19*1/3))+(E36)+(E44-E38-E39))*$B$74</f>
        <v>0</v>
      </c>
    </row>
    <row r="75" spans="1:5" ht="15.75" customHeight="1" x14ac:dyDescent="0.2">
      <c r="A75" s="379" t="s">
        <v>479</v>
      </c>
      <c r="B75" s="141"/>
      <c r="C75" s="142"/>
      <c r="D75" s="142"/>
      <c r="E75" s="380"/>
    </row>
    <row r="76" spans="1:5" ht="15.75" customHeight="1" x14ac:dyDescent="0.2">
      <c r="A76" s="361" t="s">
        <v>521</v>
      </c>
      <c r="B76" s="102"/>
      <c r="C76" s="102"/>
      <c r="D76" s="102"/>
      <c r="E76" s="362"/>
    </row>
    <row r="77" spans="1:5" ht="15.75" customHeight="1" x14ac:dyDescent="0.2">
      <c r="A77" s="371" t="s">
        <v>48</v>
      </c>
      <c r="B77" s="130">
        <f>B69</f>
        <v>9.9662923611111107E-2</v>
      </c>
      <c r="C77" s="131">
        <f>C69</f>
        <v>0</v>
      </c>
      <c r="D77" s="131">
        <f>D69</f>
        <v>0</v>
      </c>
      <c r="E77" s="374">
        <f>E69</f>
        <v>0</v>
      </c>
    </row>
    <row r="78" spans="1:5" ht="15.75" customHeight="1" x14ac:dyDescent="0.2">
      <c r="A78" s="371" t="s">
        <v>519</v>
      </c>
      <c r="B78" s="130">
        <f>B72</f>
        <v>0</v>
      </c>
      <c r="C78" s="131">
        <f>C72</f>
        <v>0</v>
      </c>
      <c r="D78" s="131">
        <f>D72</f>
        <v>0</v>
      </c>
      <c r="E78" s="374">
        <f>E72</f>
        <v>0</v>
      </c>
    </row>
    <row r="79" spans="1:5" ht="15.75" customHeight="1" x14ac:dyDescent="0.2">
      <c r="A79" s="371" t="s">
        <v>70</v>
      </c>
      <c r="B79" s="130">
        <f>B74</f>
        <v>6.18624E-3</v>
      </c>
      <c r="C79" s="131">
        <f>C74</f>
        <v>0</v>
      </c>
      <c r="D79" s="131">
        <f>D74</f>
        <v>0</v>
      </c>
      <c r="E79" s="374">
        <f>E74</f>
        <v>0</v>
      </c>
    </row>
    <row r="80" spans="1:5" ht="15.75" customHeight="1" x14ac:dyDescent="0.2">
      <c r="A80" s="365" t="s">
        <v>479</v>
      </c>
      <c r="B80" s="112"/>
      <c r="C80" s="121">
        <f>SUM(C77:C79)</f>
        <v>0</v>
      </c>
      <c r="D80" s="121">
        <f>SUM(D77:D79)</f>
        <v>0</v>
      </c>
      <c r="E80" s="366">
        <f>SUM(E77:E79)</f>
        <v>0</v>
      </c>
    </row>
    <row r="81" spans="1:5" ht="15.75" customHeight="1" x14ac:dyDescent="0.2">
      <c r="A81" s="851"/>
      <c r="B81" s="479"/>
      <c r="C81" s="479"/>
      <c r="D81" s="479"/>
      <c r="E81" s="841"/>
    </row>
    <row r="82" spans="1:5" ht="15.75" customHeight="1" x14ac:dyDescent="0.2">
      <c r="A82" s="852" t="s">
        <v>522</v>
      </c>
      <c r="B82" s="732"/>
      <c r="C82" s="732"/>
      <c r="D82" s="732"/>
      <c r="E82" s="853"/>
    </row>
    <row r="83" spans="1:5" ht="15.75" customHeight="1" x14ac:dyDescent="0.2">
      <c r="A83" s="836" t="s">
        <v>523</v>
      </c>
      <c r="B83" s="718" t="s">
        <v>495</v>
      </c>
      <c r="C83" s="718" t="s">
        <v>472</v>
      </c>
      <c r="D83" s="718" t="s">
        <v>472</v>
      </c>
      <c r="E83" s="837" t="s">
        <v>472</v>
      </c>
    </row>
    <row r="84" spans="1:5" ht="15.75" customHeight="1" x14ac:dyDescent="0.2">
      <c r="A84" s="846" t="s">
        <v>524</v>
      </c>
      <c r="B84" s="729">
        <f>Insumos!G105</f>
        <v>0</v>
      </c>
      <c r="C84" s="733">
        <f>B84</f>
        <v>0</v>
      </c>
      <c r="D84" s="733">
        <f>B84</f>
        <v>0</v>
      </c>
      <c r="E84" s="873">
        <f>B84</f>
        <v>0</v>
      </c>
    </row>
    <row r="85" spans="1:5" ht="15.75" customHeight="1" x14ac:dyDescent="0.2">
      <c r="A85" s="846" t="s">
        <v>525</v>
      </c>
      <c r="B85" s="729">
        <f>Insumos!G59</f>
        <v>0</v>
      </c>
      <c r="C85" s="733">
        <f>B85</f>
        <v>0</v>
      </c>
      <c r="D85" s="733">
        <f>B85</f>
        <v>0</v>
      </c>
      <c r="E85" s="364">
        <f>Insumos!G69</f>
        <v>0</v>
      </c>
    </row>
    <row r="86" spans="1:5" ht="15.75" customHeight="1" x14ac:dyDescent="0.2">
      <c r="A86" s="846" t="s">
        <v>526</v>
      </c>
      <c r="B86" s="729">
        <f>Insumos!K99</f>
        <v>0</v>
      </c>
      <c r="C86" s="733">
        <f>B86</f>
        <v>0</v>
      </c>
      <c r="D86" s="733">
        <f>B86</f>
        <v>0</v>
      </c>
      <c r="E86" s="364"/>
    </row>
    <row r="87" spans="1:5" ht="15.75" customHeight="1" x14ac:dyDescent="0.2">
      <c r="A87" s="846" t="s">
        <v>527</v>
      </c>
      <c r="B87" s="729"/>
      <c r="C87" s="106">
        <f>Insumos!I129</f>
        <v>0</v>
      </c>
      <c r="D87" s="106">
        <f>Insumos!H129</f>
        <v>0</v>
      </c>
      <c r="E87" s="364">
        <f>Insumos!I122</f>
        <v>0</v>
      </c>
    </row>
    <row r="88" spans="1:5" ht="15.75" customHeight="1" x14ac:dyDescent="0.2">
      <c r="A88" s="846" t="s">
        <v>528</v>
      </c>
      <c r="B88" s="722">
        <v>0.12</v>
      </c>
      <c r="C88" s="479"/>
      <c r="D88" s="479"/>
      <c r="E88" s="848"/>
    </row>
    <row r="89" spans="1:5" ht="15.75" customHeight="1" x14ac:dyDescent="0.2">
      <c r="A89" s="846" t="s">
        <v>630</v>
      </c>
      <c r="B89" s="729">
        <v>50.32</v>
      </c>
      <c r="C89" s="479"/>
      <c r="D89" s="479"/>
      <c r="E89" s="841"/>
    </row>
    <row r="90" spans="1:5" ht="15.75" customHeight="1" x14ac:dyDescent="0.2">
      <c r="A90" s="846" t="s">
        <v>530</v>
      </c>
      <c r="B90" s="479"/>
      <c r="C90" s="479"/>
      <c r="D90" s="479"/>
      <c r="E90" s="841"/>
    </row>
    <row r="91" spans="1:5" ht="15.75" customHeight="1" x14ac:dyDescent="0.2">
      <c r="A91" s="854" t="s">
        <v>479</v>
      </c>
      <c r="B91" s="731"/>
      <c r="C91" s="734">
        <f>SUM(C84:C90)</f>
        <v>0</v>
      </c>
      <c r="D91" s="734">
        <f t="shared" ref="D91:E91" si="11">SUM(D84:D90)</f>
        <v>0</v>
      </c>
      <c r="E91" s="855">
        <f t="shared" si="11"/>
        <v>0</v>
      </c>
    </row>
    <row r="92" spans="1:5" ht="15.75" customHeight="1" x14ac:dyDescent="0.2">
      <c r="A92" s="1149"/>
      <c r="B92" s="1150"/>
      <c r="C92" s="486"/>
      <c r="D92" s="486"/>
      <c r="E92" s="856"/>
    </row>
    <row r="93" spans="1:5" ht="15.75" customHeight="1" x14ac:dyDescent="0.2">
      <c r="A93" s="381" t="s">
        <v>531</v>
      </c>
      <c r="B93" s="200"/>
      <c r="C93" s="200"/>
      <c r="D93" s="200"/>
      <c r="E93" s="382"/>
    </row>
    <row r="94" spans="1:5" ht="15.75" customHeight="1" x14ac:dyDescent="0.2">
      <c r="A94" s="361" t="s">
        <v>532</v>
      </c>
      <c r="B94" s="102" t="s">
        <v>471</v>
      </c>
      <c r="C94" s="102" t="s">
        <v>472</v>
      </c>
      <c r="D94" s="102" t="s">
        <v>472</v>
      </c>
      <c r="E94" s="362" t="s">
        <v>472</v>
      </c>
    </row>
    <row r="95" spans="1:5" ht="15.75" customHeight="1" x14ac:dyDescent="0.2">
      <c r="A95" s="363" t="s">
        <v>76</v>
      </c>
      <c r="B95" s="108">
        <f>MC!C68</f>
        <v>0</v>
      </c>
      <c r="C95" s="125">
        <f>($C$19+$C$49+$C$60+$C$80+$C$91)*$B$95</f>
        <v>0</v>
      </c>
      <c r="D95" s="125">
        <f>($D$19+$D$49+$D$60+$D$80+$D$91)*$B$95</f>
        <v>0</v>
      </c>
      <c r="E95" s="373">
        <f>($E$19+$E$49+$E$60+$E$80+$E$91)*$B$95</f>
        <v>0</v>
      </c>
    </row>
    <row r="96" spans="1:5" ht="15.75" customHeight="1" x14ac:dyDescent="0.2">
      <c r="A96" s="363" t="s">
        <v>77</v>
      </c>
      <c r="B96" s="108">
        <f>MC!C69</f>
        <v>0</v>
      </c>
      <c r="C96" s="125">
        <f>($C$19+$C$49+$C$60+$C$80+$C$91+C95)*B96</f>
        <v>0</v>
      </c>
      <c r="D96" s="125">
        <f>($D$19+$D$49+$D$60+$D$80+$D$91+$D$95)*$B$96</f>
        <v>0</v>
      </c>
      <c r="E96" s="373">
        <f>($E$19+$E$49+$E$60+$E$80+$E$91+$E$95)*$B$96</f>
        <v>0</v>
      </c>
    </row>
    <row r="97" spans="1:6" ht="15.75" customHeight="1" x14ac:dyDescent="0.2">
      <c r="A97" s="385" t="s">
        <v>533</v>
      </c>
      <c r="B97" s="204">
        <f>B98+B99</f>
        <v>0.1125</v>
      </c>
      <c r="C97" s="205">
        <f>((C19+C49+C60+C80+C91+C95+C96)/(1-($B$97)))*$B$97</f>
        <v>0</v>
      </c>
      <c r="D97" s="205">
        <f>((D19+D49+D60+D80+D91+D95+D96)/(1-($B$97)))*$B$97</f>
        <v>0</v>
      </c>
      <c r="E97" s="386">
        <f>((E19+E49+E60+E80+E91+E95+E96)/(1-($B$97)))*$B$97</f>
        <v>0</v>
      </c>
    </row>
    <row r="98" spans="1:6" ht="15.75" customHeight="1" x14ac:dyDescent="0.2">
      <c r="A98" s="363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206">
        <f t="shared" ref="D98:E98" si="12">((D$19+D$49+D$60+D$80+D$91+D$95+D$96)/(1-($B$97)))*$B$98</f>
        <v>0</v>
      </c>
      <c r="E98" s="387">
        <f t="shared" si="12"/>
        <v>0</v>
      </c>
    </row>
    <row r="99" spans="1:6" ht="15.75" customHeight="1" x14ac:dyDescent="0.2">
      <c r="A99" s="363" t="s">
        <v>535</v>
      </c>
      <c r="B99" s="108">
        <v>0.02</v>
      </c>
      <c r="C99" s="207">
        <f>((C$19+C$49+C$60+C$80+C$91+C$95+C$96)/(1-($B$97)))*$B$99</f>
        <v>0</v>
      </c>
      <c r="D99" s="207">
        <f t="shared" ref="D99:E99" si="13">((D$19+D$49+D$60+D$80+D$91+D$95+D$96)/(1-($B$97)))*$B$99</f>
        <v>0</v>
      </c>
      <c r="E99" s="388">
        <f t="shared" si="13"/>
        <v>0</v>
      </c>
    </row>
    <row r="100" spans="1:6" ht="15.75" customHeight="1" x14ac:dyDescent="0.2">
      <c r="A100" s="385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205">
        <f t="shared" ref="D100:E100" si="14">((D19+D49+D60+D80+D91+D95+D96)/(1-($B$100)))*$B$100</f>
        <v>0</v>
      </c>
      <c r="E100" s="386">
        <f t="shared" si="14"/>
        <v>0</v>
      </c>
    </row>
    <row r="101" spans="1:6" ht="15.75" customHeight="1" x14ac:dyDescent="0.2">
      <c r="A101" s="363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206">
        <f t="shared" ref="D101:E101" si="15">((D19+D49+D60+D80+D91+D95+D96)/(1-($B$100)))*$B$101</f>
        <v>0</v>
      </c>
      <c r="E101" s="387">
        <f t="shared" si="15"/>
        <v>0</v>
      </c>
    </row>
    <row r="102" spans="1:6" ht="15.75" customHeight="1" x14ac:dyDescent="0.2">
      <c r="A102" s="363" t="s">
        <v>535</v>
      </c>
      <c r="B102" s="108">
        <v>2.5000000000000001E-2</v>
      </c>
      <c r="C102" s="207">
        <f>((C$19+C$49+C$60+C$80+C$91+C$95+C$96)/(1-($B$100)))*$B$102</f>
        <v>0</v>
      </c>
      <c r="D102" s="207">
        <f t="shared" ref="D102:E102" si="16">((D$19+D$49+D$60+D$80+D$91+D$95+D$96)/(1-($B$100)))*$B$102</f>
        <v>0</v>
      </c>
      <c r="E102" s="388">
        <f t="shared" si="16"/>
        <v>0</v>
      </c>
    </row>
    <row r="103" spans="1:6" ht="15.75" customHeight="1" x14ac:dyDescent="0.2">
      <c r="A103" s="385" t="s">
        <v>537</v>
      </c>
      <c r="B103" s="204">
        <f>B104+B105</f>
        <v>0.1225</v>
      </c>
      <c r="C103" s="205">
        <f>((C19+C49+C60+C80+C91+C95+C96)/(1-($B$103)))*$B$103</f>
        <v>0</v>
      </c>
      <c r="D103" s="205">
        <f t="shared" ref="D103:E103" si="17">((D19+D49+D60+D80+D91+D95+D96)/(1-($B$103)))*$B$103</f>
        <v>0</v>
      </c>
      <c r="E103" s="386">
        <f t="shared" si="17"/>
        <v>0</v>
      </c>
    </row>
    <row r="104" spans="1:6" ht="15.75" customHeight="1" x14ac:dyDescent="0.2">
      <c r="A104" s="363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206">
        <f t="shared" ref="D104:E104" si="18">((D19+D49+D60+D80+D91+D95+D96)/(1-($B$103)))*$B$104</f>
        <v>0</v>
      </c>
      <c r="E104" s="387">
        <f t="shared" si="18"/>
        <v>0</v>
      </c>
    </row>
    <row r="105" spans="1:6" ht="15.75" customHeight="1" x14ac:dyDescent="0.2">
      <c r="A105" s="363" t="s">
        <v>535</v>
      </c>
      <c r="B105" s="108">
        <v>0.03</v>
      </c>
      <c r="C105" s="207">
        <f>((C19+C49+C60+C80+C91+C95+C96)/(1-($B$103)))*$B$105</f>
        <v>0</v>
      </c>
      <c r="D105" s="207">
        <f t="shared" ref="D105:E105" si="19">((D19+D49+D60+D80+D91+D95+D96)/(1-($B$103)))*$B$105</f>
        <v>0</v>
      </c>
      <c r="E105" s="388">
        <f t="shared" si="19"/>
        <v>0</v>
      </c>
      <c r="F105" s="208"/>
    </row>
    <row r="106" spans="1:6" ht="15.75" customHeight="1" x14ac:dyDescent="0.2">
      <c r="A106" s="385" t="s">
        <v>616</v>
      </c>
      <c r="B106" s="204">
        <f>B107+B108</f>
        <v>0.1275</v>
      </c>
      <c r="C106" s="205">
        <f>((C19+C49+C60+C80+C91+C95+C96)/(1-($B$106)))*$B$106</f>
        <v>0</v>
      </c>
      <c r="D106" s="205">
        <f t="shared" ref="D106:E106" si="20">((D19+D49+D60+D80+D91+D95+D96)/(1-($B$106)))*$B$106</f>
        <v>0</v>
      </c>
      <c r="E106" s="386">
        <f t="shared" si="20"/>
        <v>0</v>
      </c>
      <c r="F106" s="208"/>
    </row>
    <row r="107" spans="1:6" ht="15.75" customHeight="1" x14ac:dyDescent="0.2">
      <c r="A107" s="363" t="s">
        <v>534</v>
      </c>
      <c r="B107" s="108">
        <f>0.0165+0.076</f>
        <v>9.2499999999999999E-2</v>
      </c>
      <c r="C107" s="206">
        <f>((C19+C49+C60+C80+C91+C95+C96)/(1-($B$1065)))*$B$107</f>
        <v>0</v>
      </c>
      <c r="D107" s="206">
        <f t="shared" ref="D107:E107" si="21">((D19+D49+D60+D80+D91+D95+D96)/(1-($B$1065)))*$B$107</f>
        <v>0</v>
      </c>
      <c r="E107" s="387">
        <f t="shared" si="21"/>
        <v>0</v>
      </c>
      <c r="F107" s="208"/>
    </row>
    <row r="108" spans="1:6" ht="15.75" customHeight="1" x14ac:dyDescent="0.2">
      <c r="A108" s="363" t="s">
        <v>535</v>
      </c>
      <c r="B108" s="108">
        <v>3.5000000000000003E-2</v>
      </c>
      <c r="C108" s="207">
        <f>((C19+C49+C60+C80+C91+C95+C96)/(1-($B$106)))*$B$108</f>
        <v>0</v>
      </c>
      <c r="D108" s="207">
        <f t="shared" ref="D108:E108" si="22">((D19+D49+D60+D80+D91+D95+D96)/(1-($B$106)))*$B$108</f>
        <v>0</v>
      </c>
      <c r="E108" s="388">
        <f t="shared" si="22"/>
        <v>0</v>
      </c>
      <c r="F108" s="208"/>
    </row>
    <row r="109" spans="1:6" ht="15.75" customHeight="1" x14ac:dyDescent="0.2">
      <c r="A109" s="385" t="s">
        <v>538</v>
      </c>
      <c r="B109" s="204">
        <f>B110+B111</f>
        <v>0.13250000000000001</v>
      </c>
      <c r="C109" s="205">
        <f>((C19+C49+C60+C80+C91+C95+C96)/(1-($B$109)))*$B$109</f>
        <v>0</v>
      </c>
      <c r="D109" s="205">
        <f t="shared" ref="D109:E109" si="23">((D19+D49+D60+D80+D91+D95+D96)/(1-($B$109)))*$B$109</f>
        <v>0</v>
      </c>
      <c r="E109" s="386">
        <f t="shared" si="23"/>
        <v>0</v>
      </c>
    </row>
    <row r="110" spans="1:6" ht="15.75" customHeight="1" x14ac:dyDescent="0.2">
      <c r="A110" s="363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206">
        <f t="shared" ref="D110:E110" si="24">((D19+D49+D60+D80+D91+D95+D96)/(1-($B$109)))*$B$110</f>
        <v>0</v>
      </c>
      <c r="E110" s="387">
        <f t="shared" si="24"/>
        <v>0</v>
      </c>
    </row>
    <row r="111" spans="1:6" ht="15.75" customHeight="1" x14ac:dyDescent="0.2">
      <c r="A111" s="363" t="s">
        <v>535</v>
      </c>
      <c r="B111" s="108">
        <v>0.04</v>
      </c>
      <c r="C111" s="207">
        <f>((C19+C49+C60+C80+C91+C95+C96)/(1-($B$109)))*$B$111</f>
        <v>0</v>
      </c>
      <c r="D111" s="207">
        <f t="shared" ref="D111:E111" si="25">((D19+D49+D60+D80+D91+D95+D96)/(1-($B$109)))*$B$111</f>
        <v>0</v>
      </c>
      <c r="E111" s="388">
        <f t="shared" si="25"/>
        <v>0</v>
      </c>
    </row>
    <row r="112" spans="1:6" ht="15.75" customHeight="1" x14ac:dyDescent="0.2">
      <c r="A112" s="385" t="s">
        <v>539</v>
      </c>
      <c r="B112" s="204">
        <f>B113+B114</f>
        <v>0.14250000000000002</v>
      </c>
      <c r="C112" s="205">
        <f>((C19+C49+C60+C80+C91+C95+C96)/(1-($B$112)))*$B$112</f>
        <v>0</v>
      </c>
      <c r="D112" s="205">
        <f t="shared" ref="D112:E112" si="26">((D19+D49+D60+D80+D91+D95+D96)/(1-($B$112)))*$B$112</f>
        <v>0</v>
      </c>
      <c r="E112" s="386">
        <f t="shared" si="26"/>
        <v>0</v>
      </c>
    </row>
    <row r="113" spans="1:6" ht="15.75" customHeight="1" x14ac:dyDescent="0.2">
      <c r="A113" s="363" t="s">
        <v>534</v>
      </c>
      <c r="B113" s="108">
        <f>0.0165+0.076</f>
        <v>9.2499999999999999E-2</v>
      </c>
      <c r="C113" s="206">
        <f>((C19+C49+C60+C80+C91+C95+C96)/(1-($B$112)))*$B$113</f>
        <v>0</v>
      </c>
      <c r="D113" s="206">
        <f t="shared" ref="D113:E113" si="27">((D19+D49+D60+D80+D91+D95+D96)/(1-($B$112)))*$B$113</f>
        <v>0</v>
      </c>
      <c r="E113" s="387">
        <f t="shared" si="27"/>
        <v>0</v>
      </c>
    </row>
    <row r="114" spans="1:6" ht="15.75" customHeight="1" x14ac:dyDescent="0.2">
      <c r="A114" s="363" t="s">
        <v>535</v>
      </c>
      <c r="B114" s="209">
        <v>0.05</v>
      </c>
      <c r="C114" s="207">
        <f>((C19+C49+C60+C80+C91+C95+C96)/(1-($B$112)))*$B$114</f>
        <v>0</v>
      </c>
      <c r="D114" s="207">
        <f t="shared" ref="D114:E114" si="28">((D19+D49+D60+D80+D91+D95+D96)/(1-($B$112)))*$B$114</f>
        <v>0</v>
      </c>
      <c r="E114" s="388">
        <f t="shared" si="28"/>
        <v>0</v>
      </c>
    </row>
    <row r="115" spans="1:6" ht="15.75" customHeight="1" x14ac:dyDescent="0.2">
      <c r="A115" s="1151" t="s">
        <v>540</v>
      </c>
      <c r="B115" s="210">
        <v>0.02</v>
      </c>
      <c r="C115" s="211">
        <f>C95+C96+C97</f>
        <v>0</v>
      </c>
      <c r="D115" s="211">
        <f>D95+D96+D97</f>
        <v>0</v>
      </c>
      <c r="E115" s="389">
        <f>E95+E96+E97</f>
        <v>0</v>
      </c>
    </row>
    <row r="116" spans="1:6" ht="15.75" customHeight="1" x14ac:dyDescent="0.2">
      <c r="A116" s="1152"/>
      <c r="B116" s="212">
        <v>2.5000000000000001E-2</v>
      </c>
      <c r="C116" s="213">
        <f>C95+C96+C100</f>
        <v>0</v>
      </c>
      <c r="D116" s="213">
        <f>D95+D96+D100</f>
        <v>0</v>
      </c>
      <c r="E116" s="390">
        <f>E95+E96+E100</f>
        <v>0</v>
      </c>
    </row>
    <row r="117" spans="1:6" ht="15.75" customHeight="1" x14ac:dyDescent="0.2">
      <c r="A117" s="1152"/>
      <c r="B117" s="212">
        <v>0.03</v>
      </c>
      <c r="C117" s="213">
        <f>C95+C96+C103</f>
        <v>0</v>
      </c>
      <c r="D117" s="213">
        <f>D95+D96+D103</f>
        <v>0</v>
      </c>
      <c r="E117" s="390">
        <f>E95+E96+E103</f>
        <v>0</v>
      </c>
      <c r="F117" s="208"/>
    </row>
    <row r="118" spans="1:6" ht="15.75" customHeight="1" x14ac:dyDescent="0.2">
      <c r="A118" s="1152"/>
      <c r="B118" s="641">
        <v>3.5000000000000003E-2</v>
      </c>
      <c r="C118" s="213">
        <f>C95+C96+C106</f>
        <v>0</v>
      </c>
      <c r="D118" s="213">
        <f t="shared" ref="D118:E118" si="29">D95+D96+D106</f>
        <v>0</v>
      </c>
      <c r="E118" s="390">
        <f t="shared" si="29"/>
        <v>0</v>
      </c>
      <c r="F118" s="208"/>
    </row>
    <row r="119" spans="1:6" ht="15.75" customHeight="1" x14ac:dyDescent="0.2">
      <c r="A119" s="1152"/>
      <c r="B119" s="212">
        <v>0.04</v>
      </c>
      <c r="C119" s="213">
        <f>C95+C96+C109</f>
        <v>0</v>
      </c>
      <c r="D119" s="213">
        <f>D95+D96+D109</f>
        <v>0</v>
      </c>
      <c r="E119" s="390">
        <f>E95+E96+E109</f>
        <v>0</v>
      </c>
    </row>
    <row r="120" spans="1:6" ht="15.75" customHeight="1" x14ac:dyDescent="0.2">
      <c r="A120" s="1153"/>
      <c r="B120" s="214">
        <v>0.05</v>
      </c>
      <c r="C120" s="215">
        <f>C95+C96+C112</f>
        <v>0</v>
      </c>
      <c r="D120" s="215">
        <f>D95+D96+D112</f>
        <v>0</v>
      </c>
      <c r="E120" s="391">
        <f>E95+E96+E112</f>
        <v>0</v>
      </c>
    </row>
    <row r="121" spans="1:6" ht="45.75" customHeight="1" x14ac:dyDescent="0.2">
      <c r="A121" s="363" t="s">
        <v>541</v>
      </c>
      <c r="B121" s="216"/>
      <c r="C121" s="217"/>
      <c r="D121" s="217"/>
      <c r="E121" s="392"/>
    </row>
    <row r="122" spans="1:6" ht="15.75" customHeight="1" x14ac:dyDescent="0.2">
      <c r="A122" s="393"/>
      <c r="B122" s="220"/>
      <c r="C122" s="221"/>
      <c r="D122" s="221"/>
      <c r="E122" s="394"/>
    </row>
    <row r="123" spans="1:6" ht="15.75" customHeight="1" x14ac:dyDescent="0.2">
      <c r="A123" s="1154"/>
      <c r="B123" s="1155"/>
      <c r="C123" s="1155"/>
      <c r="D123" s="1155"/>
      <c r="E123" s="1156"/>
    </row>
    <row r="124" spans="1:6" ht="15.75" customHeight="1" x14ac:dyDescent="0.2">
      <c r="A124" s="1157"/>
      <c r="B124" s="1158"/>
      <c r="C124" s="1158"/>
      <c r="D124" s="1158"/>
      <c r="E124" s="1159"/>
    </row>
    <row r="125" spans="1:6" ht="15.75" customHeight="1" x14ac:dyDescent="0.2">
      <c r="A125" s="1160" t="s">
        <v>542</v>
      </c>
      <c r="B125" s="1161"/>
      <c r="C125" s="224" t="str">
        <f>C10</f>
        <v>Servente 40h</v>
      </c>
      <c r="D125" s="224" t="str">
        <f>D10</f>
        <v>Servente 30h</v>
      </c>
      <c r="E125" s="395" t="str">
        <f>E10</f>
        <v>Servente 44h Covid</v>
      </c>
    </row>
    <row r="126" spans="1:6" ht="15.75" customHeight="1" x14ac:dyDescent="0.2">
      <c r="A126" s="1162" t="s">
        <v>543</v>
      </c>
      <c r="B126" s="1163"/>
      <c r="C126" s="227" t="s">
        <v>472</v>
      </c>
      <c r="D126" s="227" t="s">
        <v>472</v>
      </c>
      <c r="E126" s="396" t="s">
        <v>472</v>
      </c>
    </row>
    <row r="127" spans="1:6" ht="15.75" customHeight="1" x14ac:dyDescent="0.2">
      <c r="A127" s="1164" t="s">
        <v>544</v>
      </c>
      <c r="B127" s="1165"/>
      <c r="C127" s="229">
        <f>C19</f>
        <v>0</v>
      </c>
      <c r="D127" s="229">
        <f>D19</f>
        <v>0</v>
      </c>
      <c r="E127" s="397">
        <f>E19</f>
        <v>0</v>
      </c>
    </row>
    <row r="128" spans="1:6" ht="15.75" customHeight="1" x14ac:dyDescent="0.2">
      <c r="A128" s="1166" t="s">
        <v>545</v>
      </c>
      <c r="B128" s="1167"/>
      <c r="C128" s="150">
        <f>C49</f>
        <v>0</v>
      </c>
      <c r="D128" s="150">
        <f>D49</f>
        <v>0</v>
      </c>
      <c r="E128" s="398">
        <f>E49</f>
        <v>0</v>
      </c>
    </row>
    <row r="129" spans="1:5" ht="15.75" customHeight="1" x14ac:dyDescent="0.2">
      <c r="A129" s="1166" t="s">
        <v>546</v>
      </c>
      <c r="B129" s="1167"/>
      <c r="C129" s="150">
        <f>C60</f>
        <v>0</v>
      </c>
      <c r="D129" s="150">
        <f>D60</f>
        <v>0</v>
      </c>
      <c r="E129" s="398">
        <f>E60</f>
        <v>0</v>
      </c>
    </row>
    <row r="130" spans="1:5" ht="15.75" customHeight="1" x14ac:dyDescent="0.2">
      <c r="A130" s="1166" t="s">
        <v>547</v>
      </c>
      <c r="B130" s="1167"/>
      <c r="C130" s="150">
        <f>C80</f>
        <v>0</v>
      </c>
      <c r="D130" s="150">
        <f>D80</f>
        <v>0</v>
      </c>
      <c r="E130" s="398">
        <f>E80</f>
        <v>0</v>
      </c>
    </row>
    <row r="131" spans="1:5" ht="15.75" customHeight="1" x14ac:dyDescent="0.2">
      <c r="A131" s="1166" t="s">
        <v>548</v>
      </c>
      <c r="B131" s="1167"/>
      <c r="C131" s="150">
        <f>C91</f>
        <v>0</v>
      </c>
      <c r="D131" s="150">
        <f>D91</f>
        <v>0</v>
      </c>
      <c r="E131" s="398">
        <f>E91</f>
        <v>0</v>
      </c>
    </row>
    <row r="132" spans="1:5" ht="15.75" customHeight="1" x14ac:dyDescent="0.2">
      <c r="A132" s="1179" t="s">
        <v>549</v>
      </c>
      <c r="B132" s="1180"/>
      <c r="C132" s="152">
        <f>SUM(C127:C131)</f>
        <v>0</v>
      </c>
      <c r="D132" s="152">
        <f>SUM(D127:D131)</f>
        <v>0</v>
      </c>
      <c r="E132" s="399">
        <f>SUM(E127:E131)</f>
        <v>0</v>
      </c>
    </row>
    <row r="133" spans="1:5" ht="15.75" customHeight="1" x14ac:dyDescent="0.2">
      <c r="A133" s="1166" t="s">
        <v>550</v>
      </c>
      <c r="B133" s="1167"/>
      <c r="C133" s="232">
        <f t="shared" ref="C133:E134" si="30">C115</f>
        <v>0</v>
      </c>
      <c r="D133" s="232">
        <f t="shared" si="30"/>
        <v>0</v>
      </c>
      <c r="E133" s="400">
        <f t="shared" si="30"/>
        <v>0</v>
      </c>
    </row>
    <row r="134" spans="1:5" ht="15.75" customHeight="1" x14ac:dyDescent="0.2">
      <c r="A134" s="1166" t="s">
        <v>551</v>
      </c>
      <c r="B134" s="1167"/>
      <c r="C134" s="234">
        <f t="shared" si="30"/>
        <v>0</v>
      </c>
      <c r="D134" s="234">
        <f t="shared" si="30"/>
        <v>0</v>
      </c>
      <c r="E134" s="401">
        <f t="shared" si="30"/>
        <v>0</v>
      </c>
    </row>
    <row r="135" spans="1:5" ht="15.75" customHeight="1" x14ac:dyDescent="0.2">
      <c r="A135" s="1166" t="s">
        <v>552</v>
      </c>
      <c r="B135" s="1167"/>
      <c r="C135" s="234">
        <f>C117</f>
        <v>0</v>
      </c>
      <c r="D135" s="234">
        <f t="shared" ref="D135:E136" si="31">D117</f>
        <v>0</v>
      </c>
      <c r="E135" s="401">
        <f t="shared" si="31"/>
        <v>0</v>
      </c>
    </row>
    <row r="136" spans="1:5" ht="15.75" customHeight="1" x14ac:dyDescent="0.2">
      <c r="A136" s="1166" t="s">
        <v>617</v>
      </c>
      <c r="B136" s="1167"/>
      <c r="C136" s="234">
        <f>C118</f>
        <v>0</v>
      </c>
      <c r="D136" s="234">
        <f t="shared" si="31"/>
        <v>0</v>
      </c>
      <c r="E136" s="401">
        <f t="shared" si="31"/>
        <v>0</v>
      </c>
    </row>
    <row r="137" spans="1:5" ht="15.75" customHeight="1" x14ac:dyDescent="0.2">
      <c r="A137" s="1166" t="s">
        <v>553</v>
      </c>
      <c r="B137" s="1167"/>
      <c r="C137" s="234">
        <f>C119</f>
        <v>0</v>
      </c>
      <c r="D137" s="234">
        <f>D119</f>
        <v>0</v>
      </c>
      <c r="E137" s="401">
        <f>E119</f>
        <v>0</v>
      </c>
    </row>
    <row r="138" spans="1:5" ht="15.75" customHeight="1" x14ac:dyDescent="0.2">
      <c r="A138" s="1181" t="s">
        <v>554</v>
      </c>
      <c r="B138" s="1182"/>
      <c r="C138" s="234">
        <f>C120</f>
        <v>0</v>
      </c>
      <c r="D138" s="234">
        <f>D120</f>
        <v>0</v>
      </c>
      <c r="E138" s="401">
        <f>E120</f>
        <v>0</v>
      </c>
    </row>
    <row r="139" spans="1:5" ht="15.75" customHeight="1" x14ac:dyDescent="0.2">
      <c r="A139" s="743" t="s">
        <v>555</v>
      </c>
      <c r="B139" s="744"/>
      <c r="C139" s="745">
        <f>C132+C133</f>
        <v>0</v>
      </c>
      <c r="D139" s="745">
        <f>D132+D133</f>
        <v>0</v>
      </c>
      <c r="E139" s="746">
        <f>E132+E133</f>
        <v>0</v>
      </c>
    </row>
    <row r="140" spans="1:5" ht="15.75" customHeight="1" x14ac:dyDescent="0.2">
      <c r="A140" s="404" t="s">
        <v>556</v>
      </c>
      <c r="B140" s="241"/>
      <c r="C140" s="242">
        <f>C132+C134</f>
        <v>0</v>
      </c>
      <c r="D140" s="242">
        <f>D132+D134</f>
        <v>0</v>
      </c>
      <c r="E140" s="405">
        <f>E132+E134</f>
        <v>0</v>
      </c>
    </row>
    <row r="141" spans="1:5" ht="15.75" customHeight="1" x14ac:dyDescent="0.2">
      <c r="A141" s="404" t="s">
        <v>557</v>
      </c>
      <c r="B141" s="241"/>
      <c r="C141" s="242">
        <f>C132+C135</f>
        <v>0</v>
      </c>
      <c r="D141" s="242">
        <f>D132+D135</f>
        <v>0</v>
      </c>
      <c r="E141" s="405">
        <f>E132+E135</f>
        <v>0</v>
      </c>
    </row>
    <row r="142" spans="1:5" ht="15.75" customHeight="1" x14ac:dyDescent="0.2">
      <c r="A142" s="404" t="s">
        <v>618</v>
      </c>
      <c r="B142" s="241"/>
      <c r="C142" s="242">
        <f>C132+C136</f>
        <v>0</v>
      </c>
      <c r="D142" s="242">
        <f t="shared" ref="D142:E142" si="32">D132+D136</f>
        <v>0</v>
      </c>
      <c r="E142" s="405">
        <f t="shared" si="32"/>
        <v>0</v>
      </c>
    </row>
    <row r="143" spans="1:5" ht="15.75" customHeight="1" x14ac:dyDescent="0.2">
      <c r="A143" s="404" t="s">
        <v>558</v>
      </c>
      <c r="B143" s="241"/>
      <c r="C143" s="242">
        <f>C132+C137</f>
        <v>0</v>
      </c>
      <c r="D143" s="242">
        <f>D132+D137</f>
        <v>0</v>
      </c>
      <c r="E143" s="405">
        <f>E132+E137</f>
        <v>0</v>
      </c>
    </row>
    <row r="144" spans="1:5" x14ac:dyDescent="0.2">
      <c r="A144" s="747" t="s">
        <v>559</v>
      </c>
      <c r="B144" s="748"/>
      <c r="C144" s="749">
        <f>C132+C138</f>
        <v>0</v>
      </c>
      <c r="D144" s="749">
        <f>D132+D138</f>
        <v>0</v>
      </c>
      <c r="E144" s="750">
        <f>E132+E138</f>
        <v>0</v>
      </c>
    </row>
    <row r="145" spans="1:7" ht="14.25" customHeight="1" x14ac:dyDescent="0.2">
      <c r="A145" s="408" t="s">
        <v>560</v>
      </c>
      <c r="B145" s="246"/>
      <c r="C145" s="247">
        <f>C139/220</f>
        <v>0</v>
      </c>
      <c r="D145" s="247"/>
      <c r="E145" s="409">
        <f>E139/220</f>
        <v>0</v>
      </c>
    </row>
    <row r="146" spans="1:7" x14ac:dyDescent="0.2">
      <c r="A146" s="408" t="s">
        <v>561</v>
      </c>
      <c r="B146" s="246"/>
      <c r="C146" s="247">
        <f t="shared" ref="C146:C150" si="33">C140/220</f>
        <v>0</v>
      </c>
      <c r="D146" s="247"/>
      <c r="E146" s="409">
        <f t="shared" ref="E146:E150" si="34">E140/220</f>
        <v>0</v>
      </c>
    </row>
    <row r="147" spans="1:7" x14ac:dyDescent="0.2">
      <c r="A147" s="408" t="s">
        <v>562</v>
      </c>
      <c r="B147" s="246"/>
      <c r="C147" s="247">
        <f t="shared" si="33"/>
        <v>0</v>
      </c>
      <c r="D147" s="247"/>
      <c r="E147" s="409">
        <f t="shared" si="34"/>
        <v>0</v>
      </c>
    </row>
    <row r="148" spans="1:7" x14ac:dyDescent="0.2">
      <c r="A148" s="408" t="s">
        <v>619</v>
      </c>
      <c r="B148" s="246"/>
      <c r="C148" s="247">
        <f t="shared" si="33"/>
        <v>0</v>
      </c>
      <c r="D148" s="247"/>
      <c r="E148" s="409">
        <f t="shared" si="34"/>
        <v>0</v>
      </c>
    </row>
    <row r="149" spans="1:7" x14ac:dyDescent="0.2">
      <c r="A149" s="408" t="s">
        <v>563</v>
      </c>
      <c r="B149" s="246"/>
      <c r="C149" s="247">
        <f t="shared" si="33"/>
        <v>0</v>
      </c>
      <c r="D149" s="247"/>
      <c r="E149" s="409">
        <f t="shared" si="34"/>
        <v>0</v>
      </c>
    </row>
    <row r="150" spans="1:7" x14ac:dyDescent="0.2">
      <c r="A150" s="410" t="s">
        <v>564</v>
      </c>
      <c r="B150" s="411"/>
      <c r="C150" s="412">
        <f t="shared" si="33"/>
        <v>0</v>
      </c>
      <c r="D150" s="412"/>
      <c r="E150" s="413">
        <f t="shared" si="34"/>
        <v>0</v>
      </c>
    </row>
    <row r="151" spans="1:7" ht="14.25" customHeight="1" x14ac:dyDescent="0.2">
      <c r="A151" s="248"/>
      <c r="B151"/>
      <c r="C151"/>
      <c r="D151"/>
      <c r="E151"/>
      <c r="F151"/>
      <c r="G151"/>
    </row>
    <row r="152" spans="1:7" x14ac:dyDescent="0.2">
      <c r="A152" s="1059" t="s">
        <v>565</v>
      </c>
      <c r="B152" s="1060"/>
      <c r="C152" s="1059"/>
      <c r="D152" s="1060"/>
      <c r="E152" s="827"/>
      <c r="F152" s="1057" t="s">
        <v>568</v>
      </c>
      <c r="G152" s="1057"/>
    </row>
    <row r="153" spans="1:7" ht="38.25" x14ac:dyDescent="0.2">
      <c r="A153" s="271" t="s">
        <v>571</v>
      </c>
      <c r="B153" s="272" t="s">
        <v>572</v>
      </c>
      <c r="C153" s="272"/>
      <c r="D153" s="272"/>
      <c r="E153" s="272"/>
      <c r="F153" s="272" t="s">
        <v>573</v>
      </c>
      <c r="G153" s="272" t="s">
        <v>574</v>
      </c>
    </row>
    <row r="154" spans="1:7" x14ac:dyDescent="0.2">
      <c r="A154" s="273" t="s">
        <v>575</v>
      </c>
      <c r="B154" s="274">
        <f>1/'Prod. GEXJVL'!C15</f>
        <v>1.25E-3</v>
      </c>
      <c r="C154" s="275"/>
      <c r="D154" s="275"/>
      <c r="E154" s="275"/>
      <c r="F154" s="275">
        <f>C141</f>
        <v>0</v>
      </c>
      <c r="G154" s="275">
        <f>B154*F154</f>
        <v>0</v>
      </c>
    </row>
    <row r="155" spans="1:7" x14ac:dyDescent="0.2">
      <c r="A155" s="276" t="s">
        <v>576</v>
      </c>
      <c r="B155" s="274">
        <f>B154/'Prod. GEXJVL'!O15</f>
        <v>7.8125000000000002E-5</v>
      </c>
      <c r="C155" s="275"/>
      <c r="D155" s="275"/>
      <c r="E155" s="275"/>
      <c r="F155" s="275">
        <f>'GEXJVL Limp.Ord.'!F140</f>
        <v>0</v>
      </c>
      <c r="G155" s="275">
        <f>B155*F155</f>
        <v>0</v>
      </c>
    </row>
    <row r="156" spans="1:7" x14ac:dyDescent="0.2">
      <c r="A156" s="277" t="s">
        <v>577</v>
      </c>
      <c r="B156" s="278"/>
      <c r="C156" s="279"/>
      <c r="D156" s="279"/>
      <c r="E156" s="279"/>
      <c r="F156" s="279"/>
      <c r="G156" s="279">
        <f>SUM(G154:G155)</f>
        <v>0</v>
      </c>
    </row>
    <row r="157" spans="1:7" ht="14.25" customHeight="1" x14ac:dyDescent="0.2">
      <c r="A157" s="249"/>
      <c r="B157" s="250"/>
      <c r="C157" s="250"/>
      <c r="D157" s="251"/>
      <c r="E157" s="251"/>
      <c r="F157"/>
      <c r="G157"/>
    </row>
    <row r="158" spans="1:7" x14ac:dyDescent="0.2">
      <c r="A158" s="1059" t="s">
        <v>578</v>
      </c>
      <c r="B158" s="1060"/>
      <c r="C158" s="1059"/>
      <c r="D158" s="1060"/>
      <c r="E158" s="826"/>
      <c r="F158" s="1058" t="s">
        <v>568</v>
      </c>
      <c r="G158" s="1058"/>
    </row>
    <row r="159" spans="1:7" ht="38.25" x14ac:dyDescent="0.2">
      <c r="A159" s="271" t="s">
        <v>571</v>
      </c>
      <c r="B159" s="272" t="s">
        <v>579</v>
      </c>
      <c r="C159" s="272"/>
      <c r="D159" s="272"/>
      <c r="E159" s="272"/>
      <c r="F159" s="272" t="s">
        <v>573</v>
      </c>
      <c r="G159" s="272" t="s">
        <v>574</v>
      </c>
    </row>
    <row r="160" spans="1:7" x14ac:dyDescent="0.2">
      <c r="A160" s="273" t="s">
        <v>575</v>
      </c>
      <c r="B160" s="280">
        <f>1/'Prod. GEXJVL'!D15</f>
        <v>6.6666666666666664E-4</v>
      </c>
      <c r="C160" s="281"/>
      <c r="D160" s="275"/>
      <c r="E160" s="275"/>
      <c r="F160" s="275">
        <f>C141</f>
        <v>0</v>
      </c>
      <c r="G160" s="275">
        <f>B160*F160</f>
        <v>0</v>
      </c>
    </row>
    <row r="161" spans="1:7" x14ac:dyDescent="0.2">
      <c r="A161" s="276" t="s">
        <v>576</v>
      </c>
      <c r="B161" s="274">
        <f>B160/'Prod. GEXJVL'!O15</f>
        <v>4.1666666666666665E-5</v>
      </c>
      <c r="C161" s="275"/>
      <c r="D161" s="275"/>
      <c r="E161" s="275"/>
      <c r="F161" s="275">
        <f>'GEXJVL Limp.Ord.'!F140</f>
        <v>0</v>
      </c>
      <c r="G161" s="275">
        <f>B161*F161</f>
        <v>0</v>
      </c>
    </row>
    <row r="162" spans="1:7" x14ac:dyDescent="0.2">
      <c r="A162" s="277" t="s">
        <v>580</v>
      </c>
      <c r="B162" s="278"/>
      <c r="C162" s="279"/>
      <c r="D162" s="279"/>
      <c r="E162" s="279"/>
      <c r="F162" s="279"/>
      <c r="G162" s="279">
        <f>SUM(G160:G161)</f>
        <v>0</v>
      </c>
    </row>
    <row r="163" spans="1:7" ht="14.25" customHeight="1" x14ac:dyDescent="0.2">
      <c r="A163" s="249"/>
      <c r="B163" s="252"/>
      <c r="C163" s="252"/>
      <c r="D163" s="252"/>
      <c r="E163" s="252"/>
      <c r="F163"/>
      <c r="G163"/>
    </row>
    <row r="164" spans="1:7" x14ac:dyDescent="0.2">
      <c r="A164" s="1059" t="s">
        <v>581</v>
      </c>
      <c r="B164" s="1060"/>
      <c r="C164" s="1059"/>
      <c r="D164" s="1060"/>
      <c r="E164" s="826"/>
      <c r="F164" s="1058" t="s">
        <v>568</v>
      </c>
      <c r="G164" s="1058"/>
    </row>
    <row r="165" spans="1:7" ht="38.25" x14ac:dyDescent="0.2">
      <c r="A165" s="271" t="s">
        <v>571</v>
      </c>
      <c r="B165" s="272" t="s">
        <v>579</v>
      </c>
      <c r="C165" s="272"/>
      <c r="D165" s="272"/>
      <c r="E165" s="272"/>
      <c r="F165" s="272" t="s">
        <v>573</v>
      </c>
      <c r="G165" s="272" t="s">
        <v>574</v>
      </c>
    </row>
    <row r="166" spans="1:7" x14ac:dyDescent="0.2">
      <c r="A166" s="273" t="s">
        <v>575</v>
      </c>
      <c r="B166" s="280">
        <f>1/'Prod. GEXJVL'!E15</f>
        <v>1E-3</v>
      </c>
      <c r="C166" s="281"/>
      <c r="D166" s="275"/>
      <c r="E166" s="275"/>
      <c r="F166" s="275">
        <f>C141</f>
        <v>0</v>
      </c>
      <c r="G166" s="275">
        <f>B166*F166</f>
        <v>0</v>
      </c>
    </row>
    <row r="167" spans="1:7" x14ac:dyDescent="0.2">
      <c r="A167" s="276" t="s">
        <v>576</v>
      </c>
      <c r="B167" s="274">
        <f>B166/'Prod. GEXJVL'!O15</f>
        <v>6.2500000000000001E-5</v>
      </c>
      <c r="C167" s="275"/>
      <c r="D167" s="275"/>
      <c r="E167" s="275"/>
      <c r="F167" s="275">
        <f>'GEXJVL Limp.Ord.'!F140</f>
        <v>0</v>
      </c>
      <c r="G167" s="275">
        <f>B167*F167</f>
        <v>0</v>
      </c>
    </row>
    <row r="168" spans="1:7" x14ac:dyDescent="0.2">
      <c r="A168" s="277" t="s">
        <v>580</v>
      </c>
      <c r="B168" s="278"/>
      <c r="C168" s="279"/>
      <c r="D168" s="279"/>
      <c r="E168" s="279"/>
      <c r="F168" s="279"/>
      <c r="G168" s="279">
        <f>SUM(G166:G167)</f>
        <v>0</v>
      </c>
    </row>
    <row r="169" spans="1:7" ht="14.25" customHeight="1" x14ac:dyDescent="0.2">
      <c r="A169" s="249"/>
      <c r="B169" s="252"/>
      <c r="C169" s="252"/>
      <c r="D169" s="252"/>
      <c r="E169" s="252"/>
      <c r="F169"/>
      <c r="G169"/>
    </row>
    <row r="170" spans="1:7" x14ac:dyDescent="0.2">
      <c r="A170" s="1059" t="s">
        <v>582</v>
      </c>
      <c r="B170" s="1060"/>
      <c r="C170" s="1059"/>
      <c r="D170" s="1060"/>
      <c r="E170" s="826"/>
      <c r="F170" s="1058" t="s">
        <v>568</v>
      </c>
      <c r="G170" s="1058"/>
    </row>
    <row r="171" spans="1:7" ht="38.25" x14ac:dyDescent="0.2">
      <c r="A171" s="271" t="s">
        <v>571</v>
      </c>
      <c r="B171" s="272" t="s">
        <v>579</v>
      </c>
      <c r="C171" s="272"/>
      <c r="D171" s="272"/>
      <c r="E171" s="272"/>
      <c r="F171" s="272" t="s">
        <v>573</v>
      </c>
      <c r="G171" s="272" t="s">
        <v>574</v>
      </c>
    </row>
    <row r="172" spans="1:7" x14ac:dyDescent="0.2">
      <c r="A172" s="273" t="s">
        <v>575</v>
      </c>
      <c r="B172" s="280">
        <f>1/'Prod. GEXJVL'!F15</f>
        <v>5.0000000000000001E-3</v>
      </c>
      <c r="C172" s="275"/>
      <c r="D172" s="275"/>
      <c r="E172" s="275"/>
      <c r="F172" s="275">
        <f>C141</f>
        <v>0</v>
      </c>
      <c r="G172" s="275">
        <f>B172*F172</f>
        <v>0</v>
      </c>
    </row>
    <row r="173" spans="1:7" x14ac:dyDescent="0.2">
      <c r="A173" s="276" t="s">
        <v>576</v>
      </c>
      <c r="B173" s="274">
        <f>B172/'Prod. GEXJVL'!O15</f>
        <v>3.1250000000000001E-4</v>
      </c>
      <c r="C173" s="275"/>
      <c r="D173" s="275"/>
      <c r="E173" s="275"/>
      <c r="F173" s="275">
        <f>'GEXJVL Limp.Ord.'!F140</f>
        <v>0</v>
      </c>
      <c r="G173" s="275">
        <f>B173*F173</f>
        <v>0</v>
      </c>
    </row>
    <row r="174" spans="1:7" x14ac:dyDescent="0.2">
      <c r="A174" s="277" t="s">
        <v>580</v>
      </c>
      <c r="B174" s="278"/>
      <c r="C174" s="279"/>
      <c r="D174" s="279"/>
      <c r="E174" s="279"/>
      <c r="F174" s="279"/>
      <c r="G174" s="279">
        <f>SUM(G172:G173)</f>
        <v>0</v>
      </c>
    </row>
    <row r="175" spans="1:7" x14ac:dyDescent="0.2">
      <c r="A175" s="249"/>
      <c r="B175" s="253"/>
      <c r="C175" s="253"/>
      <c r="D175" s="253"/>
      <c r="E175" s="253"/>
    </row>
    <row r="176" spans="1:7" x14ac:dyDescent="0.2">
      <c r="A176" s="1066" t="s">
        <v>583</v>
      </c>
      <c r="B176" s="1067"/>
      <c r="C176" s="1066"/>
      <c r="D176" s="1067"/>
      <c r="E176" s="829"/>
      <c r="F176" s="1063" t="s">
        <v>568</v>
      </c>
      <c r="G176" s="1063"/>
    </row>
    <row r="177" spans="1:7" ht="38.25" x14ac:dyDescent="0.2">
      <c r="A177" s="271" t="s">
        <v>571</v>
      </c>
      <c r="B177" s="272" t="s">
        <v>579</v>
      </c>
      <c r="C177" s="272"/>
      <c r="D177" s="272"/>
      <c r="E177" s="272"/>
      <c r="F177" s="272" t="s">
        <v>573</v>
      </c>
      <c r="G177" s="272" t="s">
        <v>574</v>
      </c>
    </row>
    <row r="178" spans="1:7" x14ac:dyDescent="0.2">
      <c r="A178" s="273" t="s">
        <v>584</v>
      </c>
      <c r="B178" s="280">
        <f>1/'Prod. GEXJVL'!G15</f>
        <v>5.5555555555555556E-4</v>
      </c>
      <c r="C178" s="275"/>
      <c r="D178" s="275"/>
      <c r="E178" s="275"/>
      <c r="F178" s="275">
        <f>C141</f>
        <v>0</v>
      </c>
      <c r="G178" s="275">
        <f>B178*F178</f>
        <v>0</v>
      </c>
    </row>
    <row r="179" spans="1:7" x14ac:dyDescent="0.2">
      <c r="A179" s="276" t="s">
        <v>576</v>
      </c>
      <c r="B179" s="274">
        <f>B178/'Prod. GEXJVL'!O15</f>
        <v>3.4722222222222222E-5</v>
      </c>
      <c r="C179" s="275"/>
      <c r="D179" s="275"/>
      <c r="E179" s="275"/>
      <c r="F179" s="275">
        <f>'GEXJVL Limp.Ord.'!F140</f>
        <v>0</v>
      </c>
      <c r="G179" s="275">
        <f>B179*F179</f>
        <v>0</v>
      </c>
    </row>
    <row r="180" spans="1:7" x14ac:dyDescent="0.2">
      <c r="A180" s="282" t="s">
        <v>585</v>
      </c>
      <c r="B180" s="283"/>
      <c r="C180" s="284"/>
      <c r="D180" s="285"/>
      <c r="E180" s="284"/>
      <c r="F180" s="284"/>
      <c r="G180" s="285">
        <f>SUM(G178:G179)</f>
        <v>0</v>
      </c>
    </row>
    <row r="181" spans="1:7" ht="14.25" customHeight="1" x14ac:dyDescent="0.2">
      <c r="A181" s="273" t="s">
        <v>586</v>
      </c>
      <c r="B181" s="280">
        <f>1/'Prod. GEXJVL'!H15</f>
        <v>1.0000000000000001E-5</v>
      </c>
      <c r="C181" s="275"/>
      <c r="D181" s="275"/>
      <c r="E181" s="275"/>
      <c r="F181" s="275">
        <f>C141</f>
        <v>0</v>
      </c>
      <c r="G181" s="275">
        <f>B181*F181</f>
        <v>0</v>
      </c>
    </row>
    <row r="182" spans="1:7" x14ac:dyDescent="0.2">
      <c r="A182" s="276" t="s">
        <v>576</v>
      </c>
      <c r="B182" s="274">
        <f>B181/'Prod. GEXJVL'!O15</f>
        <v>6.2500000000000005E-7</v>
      </c>
      <c r="C182" s="275"/>
      <c r="D182" s="275"/>
      <c r="E182" s="275"/>
      <c r="F182" s="275">
        <f>'GEXJVL Limp.Ord.'!F140</f>
        <v>0</v>
      </c>
      <c r="G182" s="275">
        <f>B182*F182</f>
        <v>0</v>
      </c>
    </row>
    <row r="183" spans="1:7" x14ac:dyDescent="0.2">
      <c r="A183" s="282" t="s">
        <v>587</v>
      </c>
      <c r="B183" s="286"/>
      <c r="C183" s="284"/>
      <c r="D183" s="285"/>
      <c r="E183" s="284"/>
      <c r="F183" s="284"/>
      <c r="G183" s="285">
        <f>SUM(G181:G182)</f>
        <v>0</v>
      </c>
    </row>
    <row r="184" spans="1:7" x14ac:dyDescent="0.2">
      <c r="A184" s="273" t="s">
        <v>588</v>
      </c>
      <c r="B184" s="280">
        <f>1/'Prod. GEXJVL'!I15</f>
        <v>1.6666666666666666E-4</v>
      </c>
      <c r="C184" s="275"/>
      <c r="D184" s="275"/>
      <c r="E184" s="275"/>
      <c r="F184" s="275">
        <f>C141</f>
        <v>0</v>
      </c>
      <c r="G184" s="275">
        <f>B184*F184</f>
        <v>0</v>
      </c>
    </row>
    <row r="185" spans="1:7" ht="15.75" customHeight="1" x14ac:dyDescent="0.2">
      <c r="A185" s="276" t="s">
        <v>576</v>
      </c>
      <c r="B185" s="274">
        <f>B184/'Prod. GEXJVL'!O15</f>
        <v>1.0416666666666666E-5</v>
      </c>
      <c r="C185" s="275"/>
      <c r="D185" s="275"/>
      <c r="E185" s="275"/>
      <c r="F185" s="275">
        <f>'GEXJVL Limp.Ord.'!F140</f>
        <v>0</v>
      </c>
      <c r="G185" s="275">
        <f>B185*F185</f>
        <v>0</v>
      </c>
    </row>
    <row r="186" spans="1:7" x14ac:dyDescent="0.2">
      <c r="A186" s="282" t="s">
        <v>589</v>
      </c>
      <c r="B186" s="286"/>
      <c r="C186" s="284"/>
      <c r="D186" s="285"/>
      <c r="E186" s="284"/>
      <c r="F186" s="284"/>
      <c r="G186" s="285">
        <f>SUM(G184:G185)</f>
        <v>0</v>
      </c>
    </row>
    <row r="187" spans="1:7" x14ac:dyDescent="0.2">
      <c r="A187" s="249"/>
      <c r="B187" s="252"/>
      <c r="C187" s="252"/>
      <c r="D187" s="252"/>
      <c r="E187" s="252"/>
    </row>
    <row r="188" spans="1:7" x14ac:dyDescent="0.2">
      <c r="A188" s="1064" t="s">
        <v>590</v>
      </c>
      <c r="B188" s="1065"/>
      <c r="C188" s="1064"/>
      <c r="D188" s="1065"/>
      <c r="E188" s="828"/>
      <c r="F188" s="1040" t="s">
        <v>568</v>
      </c>
      <c r="G188" s="1040"/>
    </row>
    <row r="189" spans="1:7" ht="38.25" x14ac:dyDescent="0.2">
      <c r="A189" s="271" t="s">
        <v>571</v>
      </c>
      <c r="B189" s="272" t="s">
        <v>579</v>
      </c>
      <c r="C189" s="272"/>
      <c r="D189" s="272"/>
      <c r="E189" s="272"/>
      <c r="F189" s="272" t="s">
        <v>573</v>
      </c>
      <c r="G189" s="272" t="s">
        <v>574</v>
      </c>
    </row>
    <row r="190" spans="1:7" x14ac:dyDescent="0.2">
      <c r="A190" s="287" t="s">
        <v>591</v>
      </c>
      <c r="B190" s="280">
        <f>(1/'Prod. GEXJVL'!J15)*(1/(30/7*44*6))*8</f>
        <v>4.4191919191919199E-5</v>
      </c>
      <c r="C190" s="275"/>
      <c r="D190" s="275"/>
      <c r="E190" s="275"/>
      <c r="F190" s="275">
        <f>E141</f>
        <v>0</v>
      </c>
      <c r="G190" s="275">
        <f>B190*F190</f>
        <v>0</v>
      </c>
    </row>
    <row r="191" spans="1:7" x14ac:dyDescent="0.2">
      <c r="A191" s="276" t="s">
        <v>576</v>
      </c>
      <c r="B191" s="280">
        <f>B190/4</f>
        <v>1.10479797979798E-5</v>
      </c>
      <c r="C191" s="275"/>
      <c r="D191" s="275"/>
      <c r="E191" s="275"/>
      <c r="F191" s="275">
        <f>'GEXJVL Limp.Ord.'!F140</f>
        <v>0</v>
      </c>
      <c r="G191" s="275">
        <f>B191*F191</f>
        <v>0</v>
      </c>
    </row>
    <row r="192" spans="1:7" x14ac:dyDescent="0.2">
      <c r="A192" s="288" t="s">
        <v>592</v>
      </c>
      <c r="B192" s="289"/>
      <c r="C192" s="290"/>
      <c r="D192" s="291"/>
      <c r="E192" s="290"/>
      <c r="F192" s="290"/>
      <c r="G192" s="291">
        <f>SUM(G190:G191)</f>
        <v>0</v>
      </c>
    </row>
    <row r="193" spans="1:7" x14ac:dyDescent="0.2">
      <c r="A193" s="287" t="s">
        <v>593</v>
      </c>
      <c r="B193" s="280">
        <f>1/'Prod. GEXJVL'!K15*16*(1/188.76)</f>
        <v>2.8254573709119167E-4</v>
      </c>
      <c r="C193" s="275"/>
      <c r="D193" s="275"/>
      <c r="E193" s="275"/>
      <c r="F193" s="275">
        <f>C141</f>
        <v>0</v>
      </c>
      <c r="G193" s="275">
        <f>B193*F193</f>
        <v>0</v>
      </c>
    </row>
    <row r="194" spans="1:7" x14ac:dyDescent="0.2">
      <c r="A194" s="276" t="s">
        <v>576</v>
      </c>
      <c r="B194" s="280">
        <f>1/('Prod. GEXJVL'!K15*'Prod. GEXJVL'!O15)*16*(1/188.76)</f>
        <v>1.7659108568199479E-5</v>
      </c>
      <c r="C194" s="275"/>
      <c r="D194" s="275"/>
      <c r="E194" s="275"/>
      <c r="F194" s="275">
        <f>'GEXJVL Limp.Ord.'!F140</f>
        <v>0</v>
      </c>
      <c r="G194" s="275">
        <f>B194*F194</f>
        <v>0</v>
      </c>
    </row>
    <row r="195" spans="1:7" x14ac:dyDescent="0.2">
      <c r="A195" s="288" t="s">
        <v>594</v>
      </c>
      <c r="B195" s="289"/>
      <c r="C195" s="290"/>
      <c r="D195" s="291"/>
      <c r="E195" s="290"/>
      <c r="F195" s="290"/>
      <c r="G195" s="291">
        <f>SUM(G193:G194)</f>
        <v>0</v>
      </c>
    </row>
    <row r="196" spans="1:7" x14ac:dyDescent="0.2">
      <c r="A196" s="273" t="s">
        <v>595</v>
      </c>
      <c r="B196" s="280">
        <f>1/'Prod. GEXJVL'!L15*16*(1/188.76)</f>
        <v>2.8254573709119167E-4</v>
      </c>
      <c r="C196" s="275"/>
      <c r="D196" s="275"/>
      <c r="E196" s="275"/>
      <c r="F196" s="275">
        <f>C141</f>
        <v>0</v>
      </c>
      <c r="G196" s="275">
        <f>B196*F196</f>
        <v>0</v>
      </c>
    </row>
    <row r="197" spans="1:7" x14ac:dyDescent="0.2">
      <c r="A197" s="276" t="s">
        <v>576</v>
      </c>
      <c r="B197" s="280">
        <f>1/('Prod. GEXJVL'!L15*'Prod. GEXJVL'!O15)*16*(1/188.76)</f>
        <v>1.7659108568199479E-5</v>
      </c>
      <c r="C197" s="275"/>
      <c r="D197" s="275"/>
      <c r="E197" s="275"/>
      <c r="F197" s="275">
        <f>'GEXJVL Limp.Ord.'!F140</f>
        <v>0</v>
      </c>
      <c r="G197" s="275">
        <f>B197*F197</f>
        <v>0</v>
      </c>
    </row>
    <row r="198" spans="1:7" x14ac:dyDescent="0.2">
      <c r="A198" s="288" t="s">
        <v>596</v>
      </c>
      <c r="B198" s="289"/>
      <c r="C198" s="290"/>
      <c r="D198" s="291"/>
      <c r="E198" s="290"/>
      <c r="F198" s="290"/>
      <c r="G198" s="291">
        <f>SUM(G196:G197)</f>
        <v>0</v>
      </c>
    </row>
  </sheetData>
  <mergeCells count="46">
    <mergeCell ref="F188:G188"/>
    <mergeCell ref="A138:B138"/>
    <mergeCell ref="A152:B152"/>
    <mergeCell ref="C152:D152"/>
    <mergeCell ref="F152:G152"/>
    <mergeCell ref="A164:B164"/>
    <mergeCell ref="C164:D164"/>
    <mergeCell ref="F164:G164"/>
    <mergeCell ref="A158:B158"/>
    <mergeCell ref="C158:D158"/>
    <mergeCell ref="F158:G158"/>
    <mergeCell ref="A176:B176"/>
    <mergeCell ref="C176:D176"/>
    <mergeCell ref="F176:G176"/>
    <mergeCell ref="C170:D170"/>
    <mergeCell ref="A136:B136"/>
    <mergeCell ref="A137:B137"/>
    <mergeCell ref="A188:B188"/>
    <mergeCell ref="A170:B170"/>
    <mergeCell ref="C188:D188"/>
    <mergeCell ref="A131:B131"/>
    <mergeCell ref="A132:B132"/>
    <mergeCell ref="A133:B133"/>
    <mergeCell ref="A134:B134"/>
    <mergeCell ref="A135:B135"/>
    <mergeCell ref="A1:E1"/>
    <mergeCell ref="A2:E2"/>
    <mergeCell ref="A3:E3"/>
    <mergeCell ref="A9:E9"/>
    <mergeCell ref="A20:B20"/>
    <mergeCell ref="F170:G170"/>
    <mergeCell ref="A21:E21"/>
    <mergeCell ref="A50:B50"/>
    <mergeCell ref="A51:E51"/>
    <mergeCell ref="A61:B61"/>
    <mergeCell ref="A62:E62"/>
    <mergeCell ref="A92:B92"/>
    <mergeCell ref="A115:A120"/>
    <mergeCell ref="A123:E123"/>
    <mergeCell ref="A124:E124"/>
    <mergeCell ref="A125:B125"/>
    <mergeCell ref="A126:B126"/>
    <mergeCell ref="A127:B127"/>
    <mergeCell ref="A128:B128"/>
    <mergeCell ref="A129:B129"/>
    <mergeCell ref="A130:B13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3C0B"/>
  </sheetPr>
  <dimension ref="A1:AMK1048516"/>
  <sheetViews>
    <sheetView zoomScale="80" zoomScaleNormal="80" workbookViewId="0">
      <selection activeCell="C16" sqref="C16"/>
    </sheetView>
  </sheetViews>
  <sheetFormatPr defaultRowHeight="14.25" x14ac:dyDescent="0.2"/>
  <cols>
    <col min="1" max="1" width="4.375" style="4"/>
    <col min="2" max="2" width="39.75" style="4"/>
    <col min="3" max="3" width="11" style="4"/>
    <col min="4" max="4" width="15.625" style="4"/>
    <col min="5" max="5" width="10" style="5"/>
    <col min="6" max="6" width="10.75" style="5"/>
    <col min="7" max="7" width="20.375" style="5" customWidth="1"/>
    <col min="8" max="8" width="26.625" style="5"/>
    <col min="9" max="9" width="12.75" style="5"/>
    <col min="10" max="10" width="10.75" style="5"/>
    <col min="11" max="11" width="8.875" style="5"/>
    <col min="12" max="12" width="10.75" style="5"/>
    <col min="13" max="13" width="8.875" style="5" customWidth="1"/>
    <col min="14" max="14" width="36" style="5" bestFit="1" customWidth="1"/>
    <col min="15" max="15" width="8.875" style="4"/>
    <col min="16" max="16" width="10.375" style="4"/>
    <col min="17" max="17" width="8.25" style="4" customWidth="1"/>
    <col min="18" max="18" width="6.25" style="4"/>
    <col min="19" max="20" width="11.125" style="4"/>
    <col min="21" max="21" width="12.5" style="4"/>
    <col min="22" max="22" width="3.75" style="4"/>
    <col min="23" max="23" width="8.125" style="4"/>
    <col min="24" max="24" width="8" style="4"/>
    <col min="25" max="1025" width="10.5" style="4"/>
  </cols>
  <sheetData>
    <row r="1" spans="1:17" ht="23.25" x14ac:dyDescent="0.2">
      <c r="A1" s="2"/>
      <c r="B1" s="906" t="s">
        <v>0</v>
      </c>
      <c r="C1" s="906"/>
      <c r="D1" s="906"/>
      <c r="E1" s="906"/>
      <c r="F1" s="906"/>
      <c r="G1" s="906"/>
      <c r="H1" s="906"/>
      <c r="I1" s="906"/>
      <c r="J1" s="906"/>
      <c r="K1" s="906"/>
      <c r="L1" s="906"/>
      <c r="M1"/>
      <c r="N1"/>
      <c r="O1"/>
      <c r="P1"/>
      <c r="Q1"/>
    </row>
    <row r="2" spans="1:17" x14ac:dyDescent="0.2">
      <c r="B2" s="6"/>
      <c r="C2" s="6"/>
      <c r="D2" s="6"/>
      <c r="E2" s="6"/>
      <c r="F2"/>
      <c r="G2"/>
      <c r="H2"/>
      <c r="I2"/>
      <c r="J2"/>
      <c r="K2"/>
      <c r="L2"/>
      <c r="M2"/>
      <c r="N2"/>
      <c r="O2"/>
      <c r="P2"/>
      <c r="Q2"/>
    </row>
    <row r="3" spans="1:17" x14ac:dyDescent="0.2">
      <c r="B3" s="7" t="s">
        <v>1</v>
      </c>
      <c r="C3" s="907" t="s">
        <v>2</v>
      </c>
      <c r="D3" s="907"/>
      <c r="E3" s="3">
        <v>22</v>
      </c>
      <c r="F3"/>
      <c r="G3"/>
      <c r="H3"/>
      <c r="I3"/>
      <c r="J3"/>
      <c r="K3"/>
      <c r="L3"/>
      <c r="M3"/>
      <c r="N3"/>
      <c r="O3"/>
      <c r="P3"/>
      <c r="Q3"/>
    </row>
    <row r="4" spans="1:17" x14ac:dyDescent="0.2">
      <c r="B4"/>
      <c r="C4" s="908" t="s">
        <v>3</v>
      </c>
      <c r="D4" s="908"/>
      <c r="E4" s="8">
        <v>30</v>
      </c>
      <c r="F4"/>
      <c r="G4"/>
      <c r="H4"/>
      <c r="I4"/>
      <c r="J4"/>
      <c r="K4"/>
      <c r="L4"/>
      <c r="M4"/>
      <c r="N4"/>
      <c r="O4"/>
      <c r="P4"/>
      <c r="Q4"/>
    </row>
    <row r="5" spans="1:17" x14ac:dyDescent="0.2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7.100000000000001" customHeight="1" x14ac:dyDescent="0.2">
      <c r="A6" s="2"/>
      <c r="B6" s="909" t="s">
        <v>4</v>
      </c>
      <c r="C6" s="909"/>
      <c r="D6" s="909"/>
      <c r="E6" s="909"/>
      <c r="F6" s="909"/>
      <c r="G6" s="909"/>
      <c r="H6" s="909"/>
      <c r="I6" s="909"/>
      <c r="J6" s="909"/>
      <c r="K6" s="909"/>
      <c r="L6" s="909"/>
      <c r="M6"/>
      <c r="N6"/>
      <c r="O6"/>
      <c r="P6"/>
      <c r="Q6"/>
    </row>
    <row r="7" spans="1:17" x14ac:dyDescent="0.2">
      <c r="B7" s="9" t="s">
        <v>5</v>
      </c>
      <c r="C7" s="10" t="s">
        <v>6</v>
      </c>
      <c r="D7" s="10" t="s">
        <v>7</v>
      </c>
      <c r="E7" s="11" t="s">
        <v>8</v>
      </c>
      <c r="F7"/>
      <c r="G7" s="10" t="s">
        <v>6</v>
      </c>
      <c r="H7" s="10" t="s">
        <v>7</v>
      </c>
      <c r="I7" s="11" t="s">
        <v>8</v>
      </c>
      <c r="J7"/>
      <c r="K7"/>
      <c r="L7"/>
      <c r="M7"/>
      <c r="N7"/>
      <c r="O7"/>
      <c r="P7"/>
      <c r="Q7"/>
    </row>
    <row r="8" spans="1:17" x14ac:dyDescent="0.2">
      <c r="B8"/>
      <c r="C8" s="7"/>
      <c r="D8" s="12"/>
      <c r="E8" s="13"/>
      <c r="F8"/>
      <c r="G8" s="7"/>
      <c r="H8" s="12"/>
      <c r="I8" s="13"/>
      <c r="J8"/>
      <c r="K8"/>
      <c r="L8"/>
      <c r="M8"/>
      <c r="N8"/>
      <c r="O8"/>
      <c r="P8"/>
      <c r="Q8"/>
    </row>
    <row r="9" spans="1:17" x14ac:dyDescent="0.2">
      <c r="B9"/>
      <c r="C9" s="910" t="s">
        <v>11</v>
      </c>
      <c r="D9" s="910"/>
      <c r="E9" s="910"/>
      <c r="F9"/>
      <c r="G9" s="910" t="s">
        <v>11</v>
      </c>
      <c r="H9" s="910"/>
      <c r="I9" s="910"/>
      <c r="J9"/>
      <c r="K9"/>
      <c r="L9"/>
      <c r="M9"/>
      <c r="N9"/>
      <c r="O9"/>
      <c r="P9"/>
      <c r="Q9"/>
    </row>
    <row r="10" spans="1:17" x14ac:dyDescent="0.2">
      <c r="B10" s="9" t="s">
        <v>12</v>
      </c>
      <c r="C10" s="3">
        <v>44</v>
      </c>
      <c r="D10" s="3">
        <v>40</v>
      </c>
      <c r="E10" s="3">
        <v>30</v>
      </c>
      <c r="F10"/>
      <c r="G10" s="3">
        <v>44</v>
      </c>
      <c r="H10" s="3">
        <v>40</v>
      </c>
      <c r="I10" s="3">
        <v>30</v>
      </c>
      <c r="J10"/>
      <c r="K10"/>
      <c r="L10"/>
      <c r="M10"/>
      <c r="N10"/>
      <c r="O10"/>
      <c r="P10"/>
      <c r="Q10"/>
    </row>
    <row r="11" spans="1:17" x14ac:dyDescent="0.2">
      <c r="C11" s="14"/>
      <c r="D11" s="15">
        <f>C11/C10*D10</f>
        <v>0</v>
      </c>
      <c r="E11" s="15">
        <f>C11/220*180</f>
        <v>0</v>
      </c>
      <c r="F11"/>
      <c r="G11" s="14"/>
      <c r="H11" s="15">
        <f>G11/G10*H10</f>
        <v>0</v>
      </c>
      <c r="I11" s="15">
        <f>G11/G10*I10</f>
        <v>0</v>
      </c>
      <c r="J11"/>
      <c r="K11"/>
      <c r="L11"/>
      <c r="M11"/>
      <c r="N11"/>
      <c r="O11"/>
      <c r="P11"/>
      <c r="Q11"/>
    </row>
    <row r="12" spans="1:17" x14ac:dyDescent="0.2">
      <c r="B12" s="9" t="s">
        <v>13</v>
      </c>
      <c r="C12" s="16"/>
      <c r="D12" s="15" t="s">
        <v>14</v>
      </c>
      <c r="E12" s="15"/>
      <c r="F12"/>
      <c r="G12" s="16"/>
      <c r="H12" s="15">
        <f>G12/G10*H10</f>
        <v>0</v>
      </c>
      <c r="I12" s="15"/>
      <c r="J12"/>
      <c r="K12"/>
      <c r="L12"/>
      <c r="M12"/>
      <c r="N12"/>
      <c r="O12"/>
      <c r="P12"/>
      <c r="Q12"/>
    </row>
    <row r="13" spans="1:17" x14ac:dyDescent="0.2">
      <c r="B13" s="9" t="s">
        <v>15</v>
      </c>
      <c r="C13" s="16"/>
      <c r="D13" s="15" t="s">
        <v>14</v>
      </c>
      <c r="E13" s="15"/>
      <c r="F13"/>
      <c r="G13" s="16"/>
      <c r="H13" s="15"/>
      <c r="I13" s="15">
        <f>G13</f>
        <v>0</v>
      </c>
      <c r="J13"/>
      <c r="K13"/>
      <c r="L13"/>
      <c r="M13"/>
      <c r="N13"/>
      <c r="O13"/>
      <c r="P13"/>
      <c r="Q13"/>
    </row>
    <row r="14" spans="1:17" x14ac:dyDescent="0.2">
      <c r="B14" s="9" t="s">
        <v>16</v>
      </c>
      <c r="C14" s="16"/>
      <c r="D14" s="15" t="s">
        <v>17</v>
      </c>
      <c r="E14" s="15"/>
      <c r="F14"/>
      <c r="G14" s="16"/>
      <c r="H14" s="15" t="s">
        <v>17</v>
      </c>
      <c r="I14" s="15"/>
      <c r="J14"/>
      <c r="K14"/>
      <c r="L14"/>
      <c r="M14"/>
      <c r="N14"/>
      <c r="O14"/>
      <c r="P14"/>
      <c r="Q14"/>
    </row>
    <row r="15" spans="1:17" x14ac:dyDescent="0.2">
      <c r="C15" s="824"/>
      <c r="D15" s="825"/>
      <c r="E15" s="82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2">
      <c r="B16" s="425" t="s">
        <v>18</v>
      </c>
      <c r="C16" s="426"/>
      <c r="D16" s="825"/>
      <c r="E16" s="825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B17" s="424" t="s">
        <v>19</v>
      </c>
      <c r="C17"/>
      <c r="D17" s="825"/>
      <c r="E17" s="825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2">
      <c r="C18" s="824"/>
      <c r="D18" s="825"/>
      <c r="E18" s="825"/>
      <c r="F18"/>
      <c r="G18"/>
      <c r="H18"/>
      <c r="I18"/>
      <c r="J18"/>
      <c r="K18"/>
      <c r="L18"/>
      <c r="M18"/>
      <c r="N18"/>
      <c r="O18"/>
      <c r="P18"/>
      <c r="Q18"/>
    </row>
    <row r="19" spans="1:17" ht="15.75" x14ac:dyDescent="0.2">
      <c r="A19" s="2"/>
      <c r="B19" s="909" t="s">
        <v>20</v>
      </c>
      <c r="C19" s="909"/>
      <c r="D19" s="909"/>
      <c r="E19" s="909"/>
      <c r="F19" s="909"/>
      <c r="G19" s="909"/>
      <c r="H19" s="909"/>
      <c r="I19" s="909"/>
      <c r="J19" s="909"/>
      <c r="K19" s="909"/>
      <c r="L19" s="909"/>
      <c r="M19"/>
      <c r="N19"/>
      <c r="O19"/>
      <c r="P19"/>
      <c r="Q19"/>
    </row>
    <row r="20" spans="1:17" ht="24" x14ac:dyDescent="0.2">
      <c r="B20" s="263" t="s">
        <v>21</v>
      </c>
      <c r="C20" s="264"/>
      <c r="D20" s="264" t="s">
        <v>22</v>
      </c>
      <c r="E20" s="265" t="s">
        <v>23</v>
      </c>
      <c r="F20"/>
      <c r="G20" s="263" t="s">
        <v>21</v>
      </c>
      <c r="H20" s="264"/>
      <c r="I20" s="264" t="s">
        <v>22</v>
      </c>
      <c r="J20" s="265" t="s">
        <v>23</v>
      </c>
      <c r="K20"/>
      <c r="L20"/>
      <c r="M20"/>
      <c r="N20"/>
      <c r="O20"/>
      <c r="P20"/>
      <c r="Q20"/>
    </row>
    <row r="21" spans="1:17" x14ac:dyDescent="0.2">
      <c r="B21" s="262" t="s">
        <v>24</v>
      </c>
      <c r="C21" s="316"/>
      <c r="D21" s="317">
        <v>0.01</v>
      </c>
      <c r="E21" s="17">
        <f>ROUND(C21*(1-D21),2)</f>
        <v>0</v>
      </c>
      <c r="F21"/>
      <c r="G21" s="262" t="s">
        <v>25</v>
      </c>
      <c r="H21" s="316"/>
      <c r="I21" s="317">
        <v>0.2</v>
      </c>
      <c r="J21" s="17">
        <f>ROUND(H21*0.8,2)</f>
        <v>0</v>
      </c>
      <c r="K21"/>
      <c r="L21"/>
      <c r="M21"/>
      <c r="N21"/>
      <c r="O21"/>
      <c r="P21"/>
      <c r="Q21"/>
    </row>
    <row r="22" spans="1:17" ht="17.100000000000001" customHeight="1" x14ac:dyDescent="0.2">
      <c r="B22" s="7" t="s">
        <v>26</v>
      </c>
      <c r="C22" s="318"/>
      <c r="D22" s="319">
        <f>D21</f>
        <v>0.01</v>
      </c>
      <c r="E22" s="17">
        <f>ROUND(C22*(1-D22),2)</f>
        <v>0</v>
      </c>
      <c r="F22"/>
      <c r="G22" s="7" t="s">
        <v>27</v>
      </c>
      <c r="H22" s="318"/>
      <c r="I22" s="319">
        <f>I21</f>
        <v>0.2</v>
      </c>
      <c r="J22" s="318">
        <f>ROUND(H22*0.8,2)</f>
        <v>0</v>
      </c>
      <c r="K22"/>
      <c r="L22"/>
      <c r="M22"/>
      <c r="N22"/>
      <c r="O22"/>
      <c r="P22"/>
      <c r="Q22"/>
    </row>
    <row r="23" spans="1:17" x14ac:dyDescent="0.2">
      <c r="B23" s="7" t="s">
        <v>28</v>
      </c>
      <c r="C23" s="318"/>
      <c r="D23" s="319">
        <v>0.06</v>
      </c>
      <c r="E23" s="318"/>
      <c r="F23"/>
      <c r="G23" s="7" t="s">
        <v>28</v>
      </c>
      <c r="H23" s="318"/>
      <c r="I23" s="319">
        <v>0.06</v>
      </c>
      <c r="J23" s="318"/>
      <c r="K23"/>
      <c r="L23"/>
      <c r="M23"/>
      <c r="N23"/>
      <c r="O23"/>
      <c r="P23"/>
      <c r="Q23"/>
    </row>
    <row r="24" spans="1:17" ht="12.95" customHeight="1" x14ac:dyDescent="0.2">
      <c r="B24" s="7" t="s">
        <v>29</v>
      </c>
      <c r="C24" s="319"/>
      <c r="D24" s="319"/>
      <c r="E24" s="318"/>
      <c r="F24"/>
      <c r="G24" s="7" t="s">
        <v>30</v>
      </c>
      <c r="H24" s="318"/>
      <c r="I24" s="319"/>
      <c r="J24" s="318"/>
      <c r="K24"/>
      <c r="L24"/>
      <c r="M24"/>
      <c r="N24"/>
      <c r="O24"/>
      <c r="P24"/>
      <c r="Q24"/>
    </row>
    <row r="25" spans="1:17" x14ac:dyDescent="0.2">
      <c r="B25" s="7" t="s">
        <v>31</v>
      </c>
      <c r="C25" s="15"/>
      <c r="D25" s="318"/>
      <c r="E25" s="15">
        <f>C25</f>
        <v>0</v>
      </c>
      <c r="F25"/>
      <c r="G25" s="7" t="s">
        <v>32</v>
      </c>
      <c r="H25" s="15"/>
      <c r="I25" s="318"/>
      <c r="J25" s="15"/>
      <c r="K25"/>
      <c r="L25"/>
      <c r="M25"/>
      <c r="N25"/>
      <c r="O25"/>
      <c r="P25"/>
      <c r="Q25"/>
    </row>
    <row r="26" spans="1:17" x14ac:dyDescent="0.2">
      <c r="B26" s="18"/>
      <c r="C26" s="270"/>
      <c r="D26" s="15"/>
      <c r="E26" s="15"/>
      <c r="F26"/>
      <c r="G26" s="18" t="s">
        <v>33</v>
      </c>
      <c r="H26" s="270"/>
      <c r="I26" s="15"/>
      <c r="J26" s="15">
        <f>(H26*H16)*22</f>
        <v>0</v>
      </c>
      <c r="K26"/>
      <c r="L26"/>
      <c r="M26"/>
      <c r="N26"/>
      <c r="O26"/>
      <c r="P26"/>
      <c r="Q26"/>
    </row>
    <row r="27" spans="1:17" x14ac:dyDescent="0.2">
      <c r="B27" s="18"/>
      <c r="C27" s="320"/>
      <c r="D27" s="318"/>
      <c r="E27" s="15"/>
      <c r="F27"/>
      <c r="G27" s="18"/>
      <c r="H27" s="320"/>
      <c r="I27" s="318"/>
      <c r="J27" s="15"/>
      <c r="K27"/>
      <c r="L27"/>
      <c r="M27"/>
      <c r="N27"/>
      <c r="O27"/>
      <c r="P27"/>
      <c r="Q27"/>
    </row>
    <row r="28" spans="1:17" ht="12.95" customHeight="1" x14ac:dyDescent="0.2">
      <c r="B28" s="302"/>
      <c r="C28" s="19"/>
      <c r="D28" s="319"/>
      <c r="E28" s="19"/>
      <c r="F28"/>
      <c r="G28" s="302" t="s">
        <v>34</v>
      </c>
      <c r="H28" s="19"/>
      <c r="I28" s="319"/>
      <c r="J28" s="19">
        <f>H28</f>
        <v>0</v>
      </c>
      <c r="K28"/>
      <c r="L28"/>
      <c r="M28"/>
      <c r="N28"/>
      <c r="O28"/>
      <c r="P28"/>
      <c r="Q28"/>
    </row>
    <row r="29" spans="1:17" ht="12.95" customHeight="1" x14ac:dyDescent="0.2">
      <c r="B29" s="303"/>
      <c r="C29" s="304"/>
      <c r="D29" s="319"/>
      <c r="E29" s="19"/>
      <c r="F29"/>
      <c r="G29" s="303" t="s">
        <v>35</v>
      </c>
      <c r="H29" s="304"/>
      <c r="I29" s="319"/>
      <c r="J29" s="19">
        <f>H29</f>
        <v>0</v>
      </c>
      <c r="K29"/>
      <c r="L29"/>
      <c r="M29"/>
      <c r="N29"/>
      <c r="O29"/>
      <c r="P29"/>
      <c r="Q29"/>
    </row>
    <row r="30" spans="1:17" x14ac:dyDescent="0.2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B31"/>
      <c r="C31"/>
      <c r="D31" s="5"/>
      <c r="E31"/>
      <c r="F31"/>
      <c r="G31"/>
      <c r="H31"/>
      <c r="I31"/>
      <c r="J31" s="20"/>
      <c r="K31"/>
      <c r="L31"/>
      <c r="M31"/>
      <c r="N31"/>
    </row>
    <row r="32" spans="1:17" s="4" customFormat="1" ht="15.75" x14ac:dyDescent="0.2">
      <c r="A32" s="2"/>
      <c r="B32" s="909" t="s">
        <v>36</v>
      </c>
      <c r="C32" s="909"/>
      <c r="D32" s="909"/>
      <c r="E32" s="909"/>
      <c r="F32" s="909"/>
      <c r="G32" s="909"/>
      <c r="H32" s="909"/>
      <c r="I32" s="909"/>
      <c r="J32" s="909"/>
      <c r="K32" s="909"/>
      <c r="L32" s="909"/>
    </row>
    <row r="33" spans="1:14" s="4" customFormat="1" ht="12" x14ac:dyDescent="0.2">
      <c r="B33" s="911" t="s">
        <v>37</v>
      </c>
      <c r="C33" s="911"/>
      <c r="D33" s="911"/>
      <c r="E33" s="911"/>
      <c r="F33" s="911"/>
      <c r="G33" s="911"/>
      <c r="H33" s="911"/>
      <c r="I33" s="911"/>
      <c r="J33" s="911"/>
      <c r="K33" s="911"/>
      <c r="L33" s="911"/>
    </row>
    <row r="34" spans="1:14" s="4" customFormat="1" ht="12" x14ac:dyDescent="0.2">
      <c r="B34" s="912" t="s">
        <v>38</v>
      </c>
      <c r="C34" s="912"/>
      <c r="D34" s="912"/>
      <c r="E34" s="912"/>
      <c r="F34" s="912"/>
      <c r="G34" s="912"/>
      <c r="H34" s="912"/>
      <c r="I34" s="912"/>
      <c r="J34" s="912"/>
      <c r="K34" s="912"/>
      <c r="L34" s="912"/>
    </row>
    <row r="35" spans="1:14" s="4" customFormat="1" ht="12" x14ac:dyDescent="0.2">
      <c r="B35" s="911" t="s">
        <v>39</v>
      </c>
      <c r="C35" s="911"/>
      <c r="D35" s="911"/>
      <c r="E35" s="911"/>
      <c r="F35" s="911"/>
      <c r="G35" s="911"/>
      <c r="H35" s="911"/>
      <c r="I35" s="911"/>
      <c r="J35" s="911"/>
      <c r="K35" s="911"/>
      <c r="L35" s="911"/>
    </row>
    <row r="36" spans="1:14" s="4" customFormat="1" ht="12" x14ac:dyDescent="0.2">
      <c r="B36" s="913" t="s">
        <v>40</v>
      </c>
      <c r="C36" s="913"/>
      <c r="D36" s="913"/>
      <c r="E36" s="913"/>
      <c r="F36" s="913"/>
      <c r="G36" s="913"/>
      <c r="H36" s="913"/>
      <c r="I36" s="913"/>
      <c r="J36" s="913"/>
      <c r="K36" s="913"/>
      <c r="L36" s="913"/>
    </row>
    <row r="37" spans="1:14" s="4" customFormat="1" ht="12" x14ac:dyDescent="0.2">
      <c r="B37" s="911" t="s">
        <v>41</v>
      </c>
      <c r="C37" s="911"/>
      <c r="D37" s="911"/>
      <c r="E37" s="911"/>
      <c r="F37" s="911"/>
      <c r="G37" s="911"/>
      <c r="H37" s="911"/>
      <c r="I37" s="911"/>
      <c r="J37" s="911"/>
      <c r="K37" s="911"/>
      <c r="L37" s="911"/>
    </row>
    <row r="38" spans="1:14" s="4" customFormat="1" ht="12" x14ac:dyDescent="0.2">
      <c r="B38" s="914" t="s">
        <v>42</v>
      </c>
      <c r="C38" s="914"/>
      <c r="D38" s="914"/>
      <c r="E38" s="914"/>
      <c r="F38" s="914"/>
      <c r="G38" s="914"/>
      <c r="H38" s="914"/>
      <c r="I38" s="914"/>
      <c r="J38" s="914"/>
      <c r="K38" s="914"/>
      <c r="L38" s="914"/>
    </row>
    <row r="39" spans="1:14" s="4" customFormat="1" ht="12" x14ac:dyDescent="0.2">
      <c r="B39" s="913" t="s">
        <v>43</v>
      </c>
      <c r="C39" s="913"/>
      <c r="D39" s="913"/>
      <c r="E39" s="913"/>
      <c r="F39" s="913"/>
      <c r="G39" s="913"/>
      <c r="H39" s="913"/>
      <c r="I39" s="913"/>
      <c r="J39" s="913"/>
      <c r="K39" s="913"/>
      <c r="L39" s="913"/>
    </row>
    <row r="40" spans="1:14" s="4" customFormat="1" ht="12" x14ac:dyDescent="0.2">
      <c r="B40" s="913" t="s">
        <v>44</v>
      </c>
      <c r="C40" s="913"/>
      <c r="D40" s="913"/>
      <c r="E40" s="913"/>
      <c r="F40" s="913"/>
      <c r="G40" s="913"/>
      <c r="H40" s="913"/>
      <c r="I40" s="913"/>
      <c r="J40" s="913"/>
      <c r="K40" s="913"/>
      <c r="L40" s="913"/>
    </row>
    <row r="41" spans="1:14" s="4" customFormat="1" ht="12" x14ac:dyDescent="0.2">
      <c r="B41" s="911" t="s">
        <v>45</v>
      </c>
      <c r="C41" s="911"/>
      <c r="D41" s="911"/>
      <c r="E41" s="911"/>
      <c r="F41" s="911"/>
      <c r="G41" s="911"/>
      <c r="H41" s="911"/>
      <c r="I41" s="911"/>
      <c r="J41" s="911"/>
      <c r="K41" s="911"/>
      <c r="L41" s="911"/>
    </row>
    <row r="42" spans="1:14" s="4" customFormat="1" ht="12" x14ac:dyDescent="0.2">
      <c r="B42" s="913" t="s">
        <v>46</v>
      </c>
      <c r="C42" s="913"/>
      <c r="D42" s="913"/>
      <c r="E42" s="913"/>
      <c r="F42" s="913"/>
      <c r="G42" s="913"/>
      <c r="H42" s="913"/>
      <c r="I42" s="913"/>
      <c r="J42" s="913"/>
      <c r="K42" s="913"/>
      <c r="L42" s="913"/>
      <c r="N42" s="20"/>
    </row>
    <row r="43" spans="1:14" s="4" customFormat="1" x14ac:dyDescent="0.2">
      <c r="B43"/>
      <c r="C43"/>
      <c r="D43" s="5"/>
      <c r="E43"/>
      <c r="F43"/>
      <c r="G43"/>
      <c r="H43"/>
      <c r="I43"/>
      <c r="J43"/>
      <c r="N43" s="20"/>
    </row>
    <row r="44" spans="1:14" ht="15.75" x14ac:dyDescent="0.2">
      <c r="A44" s="2"/>
      <c r="B44" s="909" t="s">
        <v>47</v>
      </c>
      <c r="C44" s="909"/>
      <c r="D44" s="909"/>
      <c r="E44" s="909"/>
      <c r="F44" s="909"/>
      <c r="G44" s="909"/>
      <c r="H44" s="909"/>
      <c r="I44" s="909"/>
      <c r="J44" s="909"/>
      <c r="K44" s="909"/>
      <c r="L44" s="909"/>
      <c r="M44" s="20"/>
      <c r="N44" s="20"/>
    </row>
    <row r="45" spans="1:14" x14ac:dyDescent="0.2">
      <c r="B45" s="911" t="s">
        <v>48</v>
      </c>
      <c r="C45" s="911"/>
      <c r="D45" s="911"/>
      <c r="E45" s="911"/>
      <c r="F45" s="911"/>
      <c r="G45" s="911"/>
      <c r="H45" s="911"/>
      <c r="I45" s="911"/>
      <c r="J45" s="911"/>
      <c r="K45" s="911"/>
      <c r="L45" s="911"/>
      <c r="M45" s="20"/>
      <c r="N45" s="20"/>
    </row>
    <row r="46" spans="1:14" ht="26.1" customHeight="1" x14ac:dyDescent="0.2">
      <c r="B46" s="1" t="s">
        <v>49</v>
      </c>
      <c r="C46" s="917" t="s">
        <v>50</v>
      </c>
      <c r="D46" s="917"/>
      <c r="E46" s="917"/>
      <c r="F46" s="917"/>
      <c r="G46" s="917"/>
      <c r="H46" s="917"/>
      <c r="I46" s="917"/>
      <c r="J46" s="917"/>
      <c r="K46" s="917"/>
      <c r="L46" s="917"/>
      <c r="M46" s="20"/>
      <c r="N46" s="20"/>
    </row>
    <row r="47" spans="1:14" ht="26.1" customHeight="1" x14ac:dyDescent="0.2">
      <c r="B47" s="255" t="s">
        <v>51</v>
      </c>
      <c r="C47" s="915" t="s">
        <v>52</v>
      </c>
      <c r="D47" s="915"/>
      <c r="E47" s="915"/>
      <c r="F47" s="915"/>
      <c r="G47" s="915"/>
      <c r="H47" s="915"/>
      <c r="I47" s="915"/>
      <c r="J47" s="915"/>
      <c r="K47" s="915"/>
      <c r="L47" s="915"/>
      <c r="M47" s="20"/>
      <c r="N47" s="20"/>
    </row>
    <row r="48" spans="1:14" x14ac:dyDescent="0.2">
      <c r="B48" s="21"/>
      <c r="C48" s="916" t="s">
        <v>53</v>
      </c>
      <c r="D48" s="916"/>
      <c r="E48" s="22">
        <v>1</v>
      </c>
      <c r="F48" s="20"/>
      <c r="G48" s="20"/>
      <c r="H48" s="20"/>
      <c r="I48" s="20"/>
      <c r="J48" s="20"/>
      <c r="K48" s="20"/>
      <c r="L48" s="20"/>
      <c r="M48" s="20"/>
      <c r="N48" s="20"/>
    </row>
    <row r="49" spans="2:14" x14ac:dyDescent="0.2">
      <c r="B49"/>
      <c r="C49" s="916" t="s">
        <v>54</v>
      </c>
      <c r="D49" s="916"/>
      <c r="E49" s="22">
        <v>3.4931999999999999</v>
      </c>
      <c r="F49" s="20"/>
      <c r="G49" s="20" t="s">
        <v>55</v>
      </c>
      <c r="H49" s="20"/>
      <c r="I49" s="20"/>
      <c r="J49" s="20"/>
      <c r="K49" s="20"/>
      <c r="L49" s="20"/>
      <c r="M49" s="20"/>
      <c r="N49" s="20"/>
    </row>
    <row r="50" spans="2:14" x14ac:dyDescent="0.2">
      <c r="B50"/>
      <c r="C50" s="916" t="s">
        <v>56</v>
      </c>
      <c r="D50" s="916"/>
      <c r="E50" s="22">
        <v>0.26879999999999998</v>
      </c>
      <c r="F50" s="20"/>
      <c r="G50" s="20"/>
      <c r="H50" s="20"/>
      <c r="I50" s="20"/>
      <c r="J50" s="20"/>
      <c r="K50" s="20"/>
      <c r="L50" s="20"/>
      <c r="M50" s="20"/>
      <c r="N50" s="20"/>
    </row>
    <row r="51" spans="2:14" x14ac:dyDescent="0.2">
      <c r="B51"/>
      <c r="C51" s="916" t="s">
        <v>57</v>
      </c>
      <c r="D51" s="916"/>
      <c r="E51" s="22">
        <v>4.2700000000000002E-2</v>
      </c>
      <c r="F51" s="20"/>
      <c r="G51" s="20"/>
      <c r="H51" s="20"/>
      <c r="I51" s="20"/>
      <c r="J51" s="20"/>
      <c r="K51" s="20"/>
      <c r="L51" s="20"/>
      <c r="M51" s="20"/>
      <c r="N51" s="20"/>
    </row>
    <row r="52" spans="2:14" x14ac:dyDescent="0.2">
      <c r="B52"/>
      <c r="C52" s="916" t="s">
        <v>58</v>
      </c>
      <c r="D52" s="916"/>
      <c r="E52" s="22">
        <v>3.5499999999999997E-2</v>
      </c>
      <c r="F52" s="20"/>
      <c r="G52" s="20"/>
      <c r="H52" s="20"/>
      <c r="I52" s="20"/>
      <c r="J52" s="20"/>
      <c r="K52" s="20"/>
      <c r="L52" s="20"/>
      <c r="M52" s="20"/>
      <c r="N52" s="20"/>
    </row>
    <row r="53" spans="2:14" x14ac:dyDescent="0.2">
      <c r="B53"/>
      <c r="C53" s="916" t="s">
        <v>59</v>
      </c>
      <c r="D53" s="916"/>
      <c r="E53" s="266">
        <v>0.02</v>
      </c>
      <c r="F53" s="20"/>
      <c r="G53" s="20"/>
      <c r="H53" s="20"/>
      <c r="I53" s="20"/>
      <c r="J53" s="20"/>
      <c r="K53" s="20"/>
      <c r="L53" s="20"/>
      <c r="M53" s="20"/>
      <c r="N53" s="20"/>
    </row>
    <row r="54" spans="2:14" x14ac:dyDescent="0.2">
      <c r="B54"/>
      <c r="C54" s="916" t="s">
        <v>60</v>
      </c>
      <c r="D54" s="916"/>
      <c r="E54" s="266">
        <v>4.0000000000000001E-3</v>
      </c>
      <c r="F54" s="20"/>
      <c r="G54" s="20"/>
      <c r="H54" s="20"/>
      <c r="I54" s="20"/>
      <c r="J54" s="20"/>
      <c r="K54" s="20"/>
      <c r="L54" s="20"/>
      <c r="M54" s="20"/>
      <c r="N54" s="20"/>
    </row>
    <row r="55" spans="2:14" x14ac:dyDescent="0.2">
      <c r="B55"/>
      <c r="C55" s="916" t="s">
        <v>61</v>
      </c>
      <c r="D55" s="916"/>
      <c r="E55" s="22">
        <v>9.7999999999999997E-3</v>
      </c>
      <c r="F55" s="20"/>
      <c r="G55" s="20"/>
      <c r="H55" s="20"/>
      <c r="I55" s="20"/>
      <c r="J55" s="20"/>
      <c r="K55" s="20"/>
      <c r="L55" s="20"/>
      <c r="M55" s="20"/>
      <c r="N55" s="20"/>
    </row>
    <row r="56" spans="2:14" s="4" customFormat="1" x14ac:dyDescent="0.2">
      <c r="B56"/>
      <c r="C56" s="918" t="s">
        <v>62</v>
      </c>
      <c r="D56" s="918"/>
      <c r="E56" s="23">
        <f>SUM(E48:E55)</f>
        <v>4.8739999999999988</v>
      </c>
      <c r="F56"/>
      <c r="G56"/>
      <c r="H56"/>
      <c r="I56"/>
      <c r="J56"/>
      <c r="M56" s="20"/>
      <c r="N56" s="20"/>
    </row>
    <row r="57" spans="2:14" x14ac:dyDescent="0.2">
      <c r="B57" s="432" t="s">
        <v>63</v>
      </c>
      <c r="C57" s="919" t="s">
        <v>64</v>
      </c>
      <c r="D57" s="920"/>
      <c r="E57" s="920"/>
      <c r="F57" s="920"/>
      <c r="G57" s="920"/>
      <c r="H57" s="920"/>
      <c r="I57" s="920"/>
      <c r="J57" s="920"/>
      <c r="K57" s="920"/>
      <c r="L57" s="921"/>
      <c r="M57" s="20"/>
      <c r="N57" s="20"/>
    </row>
    <row r="58" spans="2:14" x14ac:dyDescent="0.2">
      <c r="B58" s="927" t="s">
        <v>65</v>
      </c>
      <c r="C58" s="928"/>
      <c r="D58" s="928"/>
      <c r="E58" s="929"/>
      <c r="F58" s="433">
        <v>1.4999999999999999E-2</v>
      </c>
      <c r="G58" s="311"/>
      <c r="H58" s="311"/>
      <c r="I58" s="311"/>
      <c r="J58" s="311"/>
      <c r="K58" s="311"/>
      <c r="L58" s="312"/>
      <c r="M58" s="20"/>
      <c r="N58" s="20"/>
    </row>
    <row r="59" spans="2:14" ht="12.75" customHeight="1" x14ac:dyDescent="0.2">
      <c r="B59" s="430" t="s">
        <v>66</v>
      </c>
      <c r="C59" s="431">
        <v>0.51670000000000005</v>
      </c>
      <c r="D59" s="311"/>
      <c r="E59" s="311"/>
      <c r="F59" s="311"/>
      <c r="G59" s="311"/>
      <c r="H59" s="311"/>
      <c r="I59" s="311"/>
      <c r="J59" s="311"/>
      <c r="K59" s="311"/>
      <c r="L59" s="312"/>
      <c r="M59" s="20"/>
      <c r="N59" s="20"/>
    </row>
    <row r="60" spans="2:14" ht="26.1" customHeight="1" x14ac:dyDescent="0.2">
      <c r="B60" s="25" t="s">
        <v>67</v>
      </c>
      <c r="C60" s="922" t="s">
        <v>68</v>
      </c>
      <c r="D60" s="922"/>
      <c r="E60" s="922"/>
      <c r="F60" s="922"/>
      <c r="G60" s="922"/>
      <c r="H60" s="922"/>
      <c r="I60" s="922"/>
      <c r="J60" s="922"/>
      <c r="K60" s="922"/>
      <c r="L60" s="922"/>
      <c r="M60" s="20"/>
      <c r="N60" s="20"/>
    </row>
    <row r="61" spans="2:14" ht="12.75" customHeight="1" x14ac:dyDescent="0.2">
      <c r="B61" s="305" t="s">
        <v>69</v>
      </c>
      <c r="C61" s="308">
        <v>0.96589999999999998</v>
      </c>
      <c r="D61" s="306"/>
      <c r="E61" s="306"/>
      <c r="F61" s="306"/>
      <c r="G61" s="306"/>
      <c r="H61" s="306"/>
      <c r="I61" s="306"/>
      <c r="J61" s="306"/>
      <c r="K61" s="306"/>
      <c r="L61" s="307"/>
      <c r="M61" s="20"/>
      <c r="N61" s="20"/>
    </row>
    <row r="62" spans="2:14" x14ac:dyDescent="0.2">
      <c r="B62" s="924" t="s">
        <v>70</v>
      </c>
      <c r="C62" s="924"/>
      <c r="D62" s="924"/>
      <c r="E62" s="924"/>
      <c r="F62" s="924"/>
      <c r="G62" s="924"/>
      <c r="H62" s="924"/>
      <c r="I62" s="924"/>
      <c r="J62" s="924"/>
      <c r="K62" s="924"/>
      <c r="L62" s="924"/>
      <c r="M62" s="20"/>
      <c r="N62" s="20"/>
    </row>
    <row r="63" spans="2:14" ht="33" customHeight="1" x14ac:dyDescent="0.2">
      <c r="B63" s="24" t="s">
        <v>71</v>
      </c>
      <c r="C63" s="925" t="s">
        <v>72</v>
      </c>
      <c r="D63" s="925"/>
      <c r="E63" s="925"/>
      <c r="F63" s="925"/>
      <c r="G63" s="925"/>
      <c r="H63" s="925"/>
      <c r="I63" s="925"/>
      <c r="J63" s="925"/>
      <c r="K63" s="925"/>
      <c r="L63" s="925"/>
      <c r="M63" s="20"/>
      <c r="N63" s="20"/>
    </row>
    <row r="64" spans="2:14" ht="12.75" customHeight="1" x14ac:dyDescent="0.2">
      <c r="B64" s="310" t="s">
        <v>73</v>
      </c>
      <c r="C64" s="315">
        <v>0.48330000000000001</v>
      </c>
      <c r="D64" s="313"/>
      <c r="E64" s="313"/>
      <c r="F64" s="313"/>
      <c r="G64" s="313"/>
      <c r="H64" s="313"/>
      <c r="I64" s="313"/>
      <c r="J64" s="313"/>
      <c r="K64" s="313"/>
      <c r="L64" s="314"/>
      <c r="M64" s="20"/>
      <c r="N64" s="20"/>
    </row>
    <row r="65" spans="1:1025" ht="12.75" customHeight="1" x14ac:dyDescent="0.2">
      <c r="B65" s="305" t="s">
        <v>74</v>
      </c>
      <c r="C65" s="308">
        <v>3.2000000000000002E-3</v>
      </c>
      <c r="D65" s="309"/>
      <c r="E65" s="306"/>
      <c r="F65" s="306"/>
      <c r="G65" s="306"/>
      <c r="H65" s="306"/>
      <c r="I65" s="306"/>
      <c r="J65" s="306"/>
      <c r="K65" s="306"/>
      <c r="L65" s="307"/>
      <c r="M65" s="20"/>
      <c r="N65" s="20"/>
    </row>
    <row r="66" spans="1:1025" ht="12.75" customHeight="1" x14ac:dyDescent="0.2">
      <c r="B66" s="419"/>
      <c r="C66" s="420"/>
      <c r="D66" s="420"/>
      <c r="E66" s="419"/>
      <c r="F66" s="419"/>
      <c r="G66" s="419"/>
      <c r="H66" s="419"/>
      <c r="I66" s="419"/>
      <c r="J66" s="419"/>
      <c r="K66" s="419"/>
      <c r="L66" s="419"/>
      <c r="M66" s="20"/>
      <c r="N66" s="20"/>
    </row>
    <row r="67" spans="1:1025" ht="12.75" customHeight="1" x14ac:dyDescent="0.2">
      <c r="A67" s="2"/>
      <c r="B67" s="926" t="s">
        <v>75</v>
      </c>
      <c r="C67" s="926"/>
      <c r="D67" s="926"/>
      <c r="E67" s="926"/>
      <c r="F67" s="926"/>
      <c r="G67" s="926"/>
      <c r="H67" s="926"/>
      <c r="I67" s="926"/>
      <c r="J67" s="926"/>
      <c r="K67" s="926"/>
      <c r="L67" s="926"/>
      <c r="M67" s="20"/>
      <c r="N67" s="20"/>
    </row>
    <row r="68" spans="1:1025" ht="12.75" customHeight="1" x14ac:dyDescent="0.2">
      <c r="B68" s="423" t="s">
        <v>76</v>
      </c>
      <c r="C68" s="422"/>
      <c r="D68" s="420"/>
      <c r="E68" s="419"/>
      <c r="F68" s="419"/>
      <c r="G68" s="419"/>
      <c r="H68" s="419"/>
      <c r="I68" s="419"/>
      <c r="J68" s="419"/>
      <c r="K68" s="419"/>
      <c r="L68" s="419"/>
      <c r="M68" s="20"/>
      <c r="N68" s="20"/>
    </row>
    <row r="69" spans="1:1025" ht="12.75" customHeight="1" x14ac:dyDescent="0.2">
      <c r="B69" s="421" t="s">
        <v>77</v>
      </c>
      <c r="C69" s="422"/>
      <c r="D69" s="420"/>
      <c r="E69" s="419"/>
      <c r="F69" s="419"/>
      <c r="G69" s="419"/>
      <c r="H69" s="419"/>
      <c r="I69" s="419"/>
      <c r="J69" s="419"/>
      <c r="K69" s="419"/>
      <c r="L69" s="419"/>
      <c r="M69" s="20"/>
      <c r="N69" s="20"/>
    </row>
    <row r="70" spans="1:1025" x14ac:dyDescent="0.2">
      <c r="M70" s="20"/>
      <c r="N70" s="20"/>
    </row>
    <row r="71" spans="1:1025" ht="15.75" x14ac:dyDescent="0.2">
      <c r="A71" s="2"/>
      <c r="B71" s="923" t="s">
        <v>78</v>
      </c>
      <c r="C71" s="923"/>
      <c r="D71" s="923"/>
      <c r="E71" s="909"/>
      <c r="F71" s="909"/>
      <c r="G71" s="909"/>
      <c r="H71" s="923"/>
      <c r="I71" s="923"/>
      <c r="J71" s="923"/>
      <c r="K71" s="909"/>
      <c r="L71" s="909"/>
    </row>
    <row r="72" spans="1:1025" s="497" customFormat="1" ht="15.75" x14ac:dyDescent="0.2">
      <c r="A72" s="494"/>
      <c r="B72" s="680" t="s">
        <v>79</v>
      </c>
      <c r="C72" s="681" t="s">
        <v>80</v>
      </c>
      <c r="D72" s="681" t="s">
        <v>81</v>
      </c>
      <c r="E72" s="26" t="s">
        <v>82</v>
      </c>
      <c r="F72" s="27" t="s">
        <v>83</v>
      </c>
      <c r="G72" s="494"/>
      <c r="H72" s="680" t="s">
        <v>84</v>
      </c>
      <c r="I72" s="681" t="s">
        <v>80</v>
      </c>
      <c r="J72" s="681" t="s">
        <v>81</v>
      </c>
      <c r="K72" s="26" t="s">
        <v>82</v>
      </c>
      <c r="L72" s="27" t="s">
        <v>83</v>
      </c>
      <c r="M72" s="495"/>
      <c r="N72" s="680" t="s">
        <v>85</v>
      </c>
      <c r="O72" s="681"/>
      <c r="P72" s="681"/>
      <c r="Q72" s="26" t="s">
        <v>82</v>
      </c>
      <c r="R72" s="27" t="s">
        <v>83</v>
      </c>
      <c r="S72" s="496"/>
      <c r="T72" s="496"/>
      <c r="U72" s="496"/>
      <c r="V72" s="496"/>
      <c r="W72" s="496"/>
      <c r="X72" s="496"/>
      <c r="Y72" s="496"/>
      <c r="Z72" s="496"/>
      <c r="AA72" s="496"/>
      <c r="AB72" s="496"/>
      <c r="AC72" s="496"/>
      <c r="AD72" s="496"/>
      <c r="AE72" s="496"/>
      <c r="AF72" s="496"/>
      <c r="AG72" s="496"/>
      <c r="AH72" s="496"/>
      <c r="AI72" s="496"/>
      <c r="AJ72" s="496"/>
      <c r="AK72" s="496"/>
      <c r="AL72" s="496"/>
      <c r="AM72" s="496"/>
      <c r="AN72" s="496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  <c r="BA72" s="496"/>
      <c r="BB72" s="496"/>
      <c r="BC72" s="496"/>
      <c r="BD72" s="496"/>
      <c r="BE72" s="496"/>
      <c r="BF72" s="496"/>
      <c r="BG72" s="496"/>
      <c r="BH72" s="496"/>
      <c r="BI72" s="496"/>
      <c r="BJ72" s="496"/>
      <c r="BK72" s="496"/>
      <c r="BL72" s="496"/>
      <c r="BM72" s="496"/>
      <c r="BN72" s="496"/>
      <c r="BO72" s="496"/>
      <c r="BP72" s="496"/>
      <c r="BQ72" s="496"/>
      <c r="BR72" s="496"/>
      <c r="BS72" s="496"/>
      <c r="BT72" s="496"/>
      <c r="BU72" s="496"/>
      <c r="BV72" s="496"/>
      <c r="BW72" s="496"/>
      <c r="BX72" s="496"/>
      <c r="BY72" s="496"/>
      <c r="BZ72" s="496"/>
      <c r="CA72" s="496"/>
      <c r="CB72" s="496"/>
      <c r="CC72" s="496"/>
      <c r="CD72" s="496"/>
      <c r="CE72" s="496"/>
      <c r="CF72" s="496"/>
      <c r="CG72" s="496"/>
      <c r="CH72" s="496"/>
      <c r="CI72" s="496"/>
      <c r="CJ72" s="496"/>
      <c r="CK72" s="496"/>
      <c r="CL72" s="496"/>
      <c r="CM72" s="496"/>
      <c r="CN72" s="496"/>
      <c r="CO72" s="496"/>
      <c r="CP72" s="496"/>
      <c r="CQ72" s="496"/>
      <c r="CR72" s="496"/>
      <c r="CS72" s="496"/>
      <c r="CT72" s="496"/>
      <c r="CU72" s="496"/>
      <c r="CV72" s="496"/>
      <c r="CW72" s="496"/>
      <c r="CX72" s="496"/>
      <c r="CY72" s="496"/>
      <c r="CZ72" s="496"/>
      <c r="DA72" s="496"/>
      <c r="DB72" s="496"/>
      <c r="DC72" s="496"/>
      <c r="DD72" s="496"/>
      <c r="DE72" s="496"/>
      <c r="DF72" s="496"/>
      <c r="DG72" s="496"/>
      <c r="DH72" s="496"/>
      <c r="DI72" s="496"/>
      <c r="DJ72" s="496"/>
      <c r="DK72" s="496"/>
      <c r="DL72" s="496"/>
      <c r="DM72" s="496"/>
      <c r="DN72" s="496"/>
      <c r="DO72" s="496"/>
      <c r="DP72" s="496"/>
      <c r="DQ72" s="496"/>
      <c r="DR72" s="496"/>
      <c r="DS72" s="496"/>
      <c r="DT72" s="496"/>
      <c r="DU72" s="496"/>
      <c r="DV72" s="496"/>
      <c r="DW72" s="496"/>
      <c r="DX72" s="496"/>
      <c r="DY72" s="496"/>
      <c r="DZ72" s="496"/>
      <c r="EA72" s="496"/>
      <c r="EB72" s="496"/>
      <c r="EC72" s="496"/>
      <c r="ED72" s="496"/>
      <c r="EE72" s="496"/>
      <c r="EF72" s="496"/>
      <c r="EG72" s="496"/>
      <c r="EH72" s="496"/>
      <c r="EI72" s="496"/>
      <c r="EJ72" s="496"/>
      <c r="EK72" s="496"/>
      <c r="EL72" s="496"/>
      <c r="EM72" s="496"/>
      <c r="EN72" s="496"/>
      <c r="EO72" s="496"/>
      <c r="EP72" s="496"/>
      <c r="EQ72" s="496"/>
      <c r="ER72" s="496"/>
      <c r="ES72" s="496"/>
      <c r="ET72" s="496"/>
      <c r="EU72" s="496"/>
      <c r="EV72" s="496"/>
      <c r="EW72" s="496"/>
      <c r="EX72" s="496"/>
      <c r="EY72" s="496"/>
      <c r="EZ72" s="496"/>
      <c r="FA72" s="496"/>
      <c r="FB72" s="496"/>
      <c r="FC72" s="496"/>
      <c r="FD72" s="496"/>
      <c r="FE72" s="496"/>
      <c r="FF72" s="496"/>
      <c r="FG72" s="496"/>
      <c r="FH72" s="496"/>
      <c r="FI72" s="496"/>
      <c r="FJ72" s="496"/>
      <c r="FK72" s="496"/>
      <c r="FL72" s="496"/>
      <c r="FM72" s="496"/>
      <c r="FN72" s="496"/>
      <c r="FO72" s="496"/>
      <c r="FP72" s="496"/>
      <c r="FQ72" s="496"/>
      <c r="FR72" s="496"/>
      <c r="FS72" s="496"/>
      <c r="FT72" s="496"/>
      <c r="FU72" s="496"/>
      <c r="FV72" s="496"/>
      <c r="FW72" s="496"/>
      <c r="FX72" s="496"/>
      <c r="FY72" s="496"/>
      <c r="FZ72" s="496"/>
      <c r="GA72" s="496"/>
      <c r="GB72" s="496"/>
      <c r="GC72" s="496"/>
      <c r="GD72" s="496"/>
      <c r="GE72" s="496"/>
      <c r="GF72" s="496"/>
      <c r="GG72" s="496"/>
      <c r="GH72" s="496"/>
      <c r="GI72" s="496"/>
      <c r="GJ72" s="496"/>
      <c r="GK72" s="496"/>
      <c r="GL72" s="496"/>
      <c r="GM72" s="496"/>
      <c r="GN72" s="496"/>
      <c r="GO72" s="496"/>
      <c r="GP72" s="496"/>
      <c r="GQ72" s="496"/>
      <c r="GR72" s="496"/>
      <c r="GS72" s="496"/>
      <c r="GT72" s="496"/>
      <c r="GU72" s="496"/>
      <c r="GV72" s="496"/>
      <c r="GW72" s="496"/>
      <c r="GX72" s="496"/>
      <c r="GY72" s="496"/>
      <c r="GZ72" s="496"/>
      <c r="HA72" s="496"/>
      <c r="HB72" s="496"/>
      <c r="HC72" s="496"/>
      <c r="HD72" s="496"/>
      <c r="HE72" s="496"/>
      <c r="HF72" s="496"/>
      <c r="HG72" s="496"/>
      <c r="HH72" s="496"/>
      <c r="HI72" s="496"/>
      <c r="HJ72" s="496"/>
      <c r="HK72" s="496"/>
      <c r="HL72" s="496"/>
      <c r="HM72" s="496"/>
      <c r="HN72" s="496"/>
      <c r="HO72" s="496"/>
      <c r="HP72" s="496"/>
      <c r="HQ72" s="496"/>
      <c r="HR72" s="496"/>
      <c r="HS72" s="496"/>
      <c r="HT72" s="496"/>
      <c r="HU72" s="496"/>
      <c r="HV72" s="496"/>
      <c r="HW72" s="496"/>
      <c r="HX72" s="496"/>
      <c r="HY72" s="496"/>
      <c r="HZ72" s="496"/>
      <c r="IA72" s="496"/>
      <c r="IB72" s="496"/>
      <c r="IC72" s="496"/>
      <c r="ID72" s="496"/>
      <c r="IE72" s="496"/>
      <c r="IF72" s="496"/>
      <c r="IG72" s="496"/>
      <c r="IH72" s="496"/>
      <c r="II72" s="496"/>
      <c r="IJ72" s="496"/>
      <c r="IK72" s="496"/>
      <c r="IL72" s="496"/>
      <c r="IM72" s="496"/>
      <c r="IN72" s="496"/>
      <c r="IO72" s="496"/>
      <c r="IP72" s="496"/>
      <c r="IQ72" s="496"/>
      <c r="IR72" s="496"/>
      <c r="IS72" s="496"/>
      <c r="IT72" s="496"/>
      <c r="IU72" s="496"/>
      <c r="IV72" s="496"/>
      <c r="IW72" s="496"/>
      <c r="IX72" s="496"/>
      <c r="IY72" s="496"/>
      <c r="IZ72" s="496"/>
      <c r="JA72" s="496"/>
      <c r="JB72" s="496"/>
      <c r="JC72" s="496"/>
      <c r="JD72" s="496"/>
      <c r="JE72" s="496"/>
      <c r="JF72" s="496"/>
      <c r="JG72" s="496"/>
      <c r="JH72" s="496"/>
      <c r="JI72" s="496"/>
      <c r="JJ72" s="496"/>
      <c r="JK72" s="496"/>
      <c r="JL72" s="496"/>
      <c r="JM72" s="496"/>
      <c r="JN72" s="496"/>
      <c r="JO72" s="496"/>
      <c r="JP72" s="496"/>
      <c r="JQ72" s="496"/>
      <c r="JR72" s="496"/>
      <c r="JS72" s="496"/>
      <c r="JT72" s="496"/>
      <c r="JU72" s="496"/>
      <c r="JV72" s="496"/>
      <c r="JW72" s="496"/>
      <c r="JX72" s="496"/>
      <c r="JY72" s="496"/>
      <c r="JZ72" s="496"/>
      <c r="KA72" s="496"/>
      <c r="KB72" s="496"/>
      <c r="KC72" s="496"/>
      <c r="KD72" s="496"/>
      <c r="KE72" s="496"/>
      <c r="KF72" s="496"/>
      <c r="KG72" s="496"/>
      <c r="KH72" s="496"/>
      <c r="KI72" s="496"/>
      <c r="KJ72" s="496"/>
      <c r="KK72" s="496"/>
      <c r="KL72" s="496"/>
      <c r="KM72" s="496"/>
      <c r="KN72" s="496"/>
      <c r="KO72" s="496"/>
      <c r="KP72" s="496"/>
      <c r="KQ72" s="496"/>
      <c r="KR72" s="496"/>
      <c r="KS72" s="496"/>
      <c r="KT72" s="496"/>
      <c r="KU72" s="496"/>
      <c r="KV72" s="496"/>
      <c r="KW72" s="496"/>
      <c r="KX72" s="496"/>
      <c r="KY72" s="496"/>
      <c r="KZ72" s="496"/>
      <c r="LA72" s="496"/>
      <c r="LB72" s="496"/>
      <c r="LC72" s="496"/>
      <c r="LD72" s="496"/>
      <c r="LE72" s="496"/>
      <c r="LF72" s="496"/>
      <c r="LG72" s="496"/>
      <c r="LH72" s="496"/>
      <c r="LI72" s="496"/>
      <c r="LJ72" s="496"/>
      <c r="LK72" s="496"/>
      <c r="LL72" s="496"/>
      <c r="LM72" s="496"/>
      <c r="LN72" s="496"/>
      <c r="LO72" s="496"/>
      <c r="LP72" s="496"/>
      <c r="LQ72" s="496"/>
      <c r="LR72" s="496"/>
      <c r="LS72" s="496"/>
      <c r="LT72" s="496"/>
      <c r="LU72" s="496"/>
      <c r="LV72" s="496"/>
      <c r="LW72" s="496"/>
      <c r="LX72" s="496"/>
      <c r="LY72" s="496"/>
      <c r="LZ72" s="496"/>
      <c r="MA72" s="496"/>
      <c r="MB72" s="496"/>
      <c r="MC72" s="496"/>
      <c r="MD72" s="496"/>
      <c r="ME72" s="496"/>
      <c r="MF72" s="496"/>
      <c r="MG72" s="496"/>
      <c r="MH72" s="496"/>
      <c r="MI72" s="496"/>
      <c r="MJ72" s="496"/>
      <c r="MK72" s="496"/>
      <c r="ML72" s="496"/>
      <c r="MM72" s="496"/>
      <c r="MN72" s="496"/>
      <c r="MO72" s="496"/>
      <c r="MP72" s="496"/>
      <c r="MQ72" s="496"/>
      <c r="MR72" s="496"/>
      <c r="MS72" s="496"/>
      <c r="MT72" s="496"/>
      <c r="MU72" s="496"/>
      <c r="MV72" s="496"/>
      <c r="MW72" s="496"/>
      <c r="MX72" s="496"/>
      <c r="MY72" s="496"/>
      <c r="MZ72" s="496"/>
      <c r="NA72" s="496"/>
      <c r="NB72" s="496"/>
      <c r="NC72" s="496"/>
      <c r="ND72" s="496"/>
      <c r="NE72" s="496"/>
      <c r="NF72" s="496"/>
      <c r="NG72" s="496"/>
      <c r="NH72" s="496"/>
      <c r="NI72" s="496"/>
      <c r="NJ72" s="496"/>
      <c r="NK72" s="496"/>
      <c r="NL72" s="496"/>
      <c r="NM72" s="496"/>
      <c r="NN72" s="496"/>
      <c r="NO72" s="496"/>
      <c r="NP72" s="496"/>
      <c r="NQ72" s="496"/>
      <c r="NR72" s="496"/>
      <c r="NS72" s="496"/>
      <c r="NT72" s="496"/>
      <c r="NU72" s="496"/>
      <c r="NV72" s="496"/>
      <c r="NW72" s="496"/>
      <c r="NX72" s="496"/>
      <c r="NY72" s="496"/>
      <c r="NZ72" s="496"/>
      <c r="OA72" s="496"/>
      <c r="OB72" s="496"/>
      <c r="OC72" s="496"/>
      <c r="OD72" s="496"/>
      <c r="OE72" s="496"/>
      <c r="OF72" s="496"/>
      <c r="OG72" s="496"/>
      <c r="OH72" s="496"/>
      <c r="OI72" s="496"/>
      <c r="OJ72" s="496"/>
      <c r="OK72" s="496"/>
      <c r="OL72" s="496"/>
      <c r="OM72" s="496"/>
      <c r="ON72" s="496"/>
      <c r="OO72" s="496"/>
      <c r="OP72" s="496"/>
      <c r="OQ72" s="496"/>
      <c r="OR72" s="496"/>
      <c r="OS72" s="496"/>
      <c r="OT72" s="496"/>
      <c r="OU72" s="496"/>
      <c r="OV72" s="496"/>
      <c r="OW72" s="496"/>
      <c r="OX72" s="496"/>
      <c r="OY72" s="496"/>
      <c r="OZ72" s="496"/>
      <c r="PA72" s="496"/>
      <c r="PB72" s="496"/>
      <c r="PC72" s="496"/>
      <c r="PD72" s="496"/>
      <c r="PE72" s="496"/>
      <c r="PF72" s="496"/>
      <c r="PG72" s="496"/>
      <c r="PH72" s="496"/>
      <c r="PI72" s="496"/>
      <c r="PJ72" s="496"/>
      <c r="PK72" s="496"/>
      <c r="PL72" s="496"/>
      <c r="PM72" s="496"/>
      <c r="PN72" s="496"/>
      <c r="PO72" s="496"/>
      <c r="PP72" s="496"/>
      <c r="PQ72" s="496"/>
      <c r="PR72" s="496"/>
      <c r="PS72" s="496"/>
      <c r="PT72" s="496"/>
      <c r="PU72" s="496"/>
      <c r="PV72" s="496"/>
      <c r="PW72" s="496"/>
      <c r="PX72" s="496"/>
      <c r="PY72" s="496"/>
      <c r="PZ72" s="496"/>
      <c r="QA72" s="496"/>
      <c r="QB72" s="496"/>
      <c r="QC72" s="496"/>
      <c r="QD72" s="496"/>
      <c r="QE72" s="496"/>
      <c r="QF72" s="496"/>
      <c r="QG72" s="496"/>
      <c r="QH72" s="496"/>
      <c r="QI72" s="496"/>
      <c r="QJ72" s="496"/>
      <c r="QK72" s="496"/>
      <c r="QL72" s="496"/>
      <c r="QM72" s="496"/>
      <c r="QN72" s="496"/>
      <c r="QO72" s="496"/>
      <c r="QP72" s="496"/>
      <c r="QQ72" s="496"/>
      <c r="QR72" s="496"/>
      <c r="QS72" s="496"/>
      <c r="QT72" s="496"/>
      <c r="QU72" s="496"/>
      <c r="QV72" s="496"/>
      <c r="QW72" s="496"/>
      <c r="QX72" s="496"/>
      <c r="QY72" s="496"/>
      <c r="QZ72" s="496"/>
      <c r="RA72" s="496"/>
      <c r="RB72" s="496"/>
      <c r="RC72" s="496"/>
      <c r="RD72" s="496"/>
      <c r="RE72" s="496"/>
      <c r="RF72" s="496"/>
      <c r="RG72" s="496"/>
      <c r="RH72" s="496"/>
      <c r="RI72" s="496"/>
      <c r="RJ72" s="496"/>
      <c r="RK72" s="496"/>
      <c r="RL72" s="496"/>
      <c r="RM72" s="496"/>
      <c r="RN72" s="496"/>
      <c r="RO72" s="496"/>
      <c r="RP72" s="496"/>
      <c r="RQ72" s="496"/>
      <c r="RR72" s="496"/>
      <c r="RS72" s="496"/>
      <c r="RT72" s="496"/>
      <c r="RU72" s="496"/>
      <c r="RV72" s="496"/>
      <c r="RW72" s="496"/>
      <c r="RX72" s="496"/>
      <c r="RY72" s="496"/>
      <c r="RZ72" s="496"/>
      <c r="SA72" s="496"/>
      <c r="SB72" s="496"/>
      <c r="SC72" s="496"/>
      <c r="SD72" s="496"/>
      <c r="SE72" s="496"/>
      <c r="SF72" s="496"/>
      <c r="SG72" s="496"/>
      <c r="SH72" s="496"/>
      <c r="SI72" s="496"/>
      <c r="SJ72" s="496"/>
      <c r="SK72" s="496"/>
      <c r="SL72" s="496"/>
      <c r="SM72" s="496"/>
      <c r="SN72" s="496"/>
      <c r="SO72" s="496"/>
      <c r="SP72" s="496"/>
      <c r="SQ72" s="496"/>
      <c r="SR72" s="496"/>
      <c r="SS72" s="496"/>
      <c r="ST72" s="496"/>
      <c r="SU72" s="496"/>
      <c r="SV72" s="496"/>
      <c r="SW72" s="496"/>
      <c r="SX72" s="496"/>
      <c r="SY72" s="496"/>
      <c r="SZ72" s="496"/>
      <c r="TA72" s="496"/>
      <c r="TB72" s="496"/>
      <c r="TC72" s="496"/>
      <c r="TD72" s="496"/>
      <c r="TE72" s="496"/>
      <c r="TF72" s="496"/>
      <c r="TG72" s="496"/>
      <c r="TH72" s="496"/>
      <c r="TI72" s="496"/>
      <c r="TJ72" s="496"/>
      <c r="TK72" s="496"/>
      <c r="TL72" s="496"/>
      <c r="TM72" s="496"/>
      <c r="TN72" s="496"/>
      <c r="TO72" s="496"/>
      <c r="TP72" s="496"/>
      <c r="TQ72" s="496"/>
      <c r="TR72" s="496"/>
      <c r="TS72" s="496"/>
      <c r="TT72" s="496"/>
      <c r="TU72" s="496"/>
      <c r="TV72" s="496"/>
      <c r="TW72" s="496"/>
      <c r="TX72" s="496"/>
      <c r="TY72" s="496"/>
      <c r="TZ72" s="496"/>
      <c r="UA72" s="496"/>
      <c r="UB72" s="496"/>
      <c r="UC72" s="496"/>
      <c r="UD72" s="496"/>
      <c r="UE72" s="496"/>
      <c r="UF72" s="496"/>
      <c r="UG72" s="496"/>
      <c r="UH72" s="496"/>
      <c r="UI72" s="496"/>
      <c r="UJ72" s="496"/>
      <c r="UK72" s="496"/>
      <c r="UL72" s="496"/>
      <c r="UM72" s="496"/>
      <c r="UN72" s="496"/>
      <c r="UO72" s="496"/>
      <c r="UP72" s="496"/>
      <c r="UQ72" s="496"/>
      <c r="UR72" s="496"/>
      <c r="US72" s="496"/>
      <c r="UT72" s="496"/>
      <c r="UU72" s="496"/>
      <c r="UV72" s="496"/>
      <c r="UW72" s="496"/>
      <c r="UX72" s="496"/>
      <c r="UY72" s="496"/>
      <c r="UZ72" s="496"/>
      <c r="VA72" s="496"/>
      <c r="VB72" s="496"/>
      <c r="VC72" s="496"/>
      <c r="VD72" s="496"/>
      <c r="VE72" s="496"/>
      <c r="VF72" s="496"/>
      <c r="VG72" s="496"/>
      <c r="VH72" s="496"/>
      <c r="VI72" s="496"/>
      <c r="VJ72" s="496"/>
      <c r="VK72" s="496"/>
      <c r="VL72" s="496"/>
      <c r="VM72" s="496"/>
      <c r="VN72" s="496"/>
      <c r="VO72" s="496"/>
      <c r="VP72" s="496"/>
      <c r="VQ72" s="496"/>
      <c r="VR72" s="496"/>
      <c r="VS72" s="496"/>
      <c r="VT72" s="496"/>
      <c r="VU72" s="496"/>
      <c r="VV72" s="496"/>
      <c r="VW72" s="496"/>
      <c r="VX72" s="496"/>
      <c r="VY72" s="496"/>
      <c r="VZ72" s="496"/>
      <c r="WA72" s="496"/>
      <c r="WB72" s="496"/>
      <c r="WC72" s="496"/>
      <c r="WD72" s="496"/>
      <c r="WE72" s="496"/>
      <c r="WF72" s="496"/>
      <c r="WG72" s="496"/>
      <c r="WH72" s="496"/>
      <c r="WI72" s="496"/>
      <c r="WJ72" s="496"/>
      <c r="WK72" s="496"/>
      <c r="WL72" s="496"/>
      <c r="WM72" s="496"/>
      <c r="WN72" s="496"/>
      <c r="WO72" s="496"/>
      <c r="WP72" s="496"/>
      <c r="WQ72" s="496"/>
      <c r="WR72" s="496"/>
      <c r="WS72" s="496"/>
      <c r="WT72" s="496"/>
      <c r="WU72" s="496"/>
      <c r="WV72" s="496"/>
      <c r="WW72" s="496"/>
      <c r="WX72" s="496"/>
      <c r="WY72" s="496"/>
      <c r="WZ72" s="496"/>
      <c r="XA72" s="496"/>
      <c r="XB72" s="496"/>
      <c r="XC72" s="496"/>
      <c r="XD72" s="496"/>
      <c r="XE72" s="496"/>
      <c r="XF72" s="496"/>
      <c r="XG72" s="496"/>
      <c r="XH72" s="496"/>
      <c r="XI72" s="496"/>
      <c r="XJ72" s="496"/>
      <c r="XK72" s="496"/>
      <c r="XL72" s="496"/>
      <c r="XM72" s="496"/>
      <c r="XN72" s="496"/>
      <c r="XO72" s="496"/>
      <c r="XP72" s="496"/>
      <c r="XQ72" s="496"/>
      <c r="XR72" s="496"/>
      <c r="XS72" s="496"/>
      <c r="XT72" s="496"/>
      <c r="XU72" s="496"/>
      <c r="XV72" s="496"/>
      <c r="XW72" s="496"/>
      <c r="XX72" s="496"/>
      <c r="XY72" s="496"/>
      <c r="XZ72" s="496"/>
      <c r="YA72" s="496"/>
      <c r="YB72" s="496"/>
      <c r="YC72" s="496"/>
      <c r="YD72" s="496"/>
      <c r="YE72" s="496"/>
      <c r="YF72" s="496"/>
      <c r="YG72" s="496"/>
      <c r="YH72" s="496"/>
      <c r="YI72" s="496"/>
      <c r="YJ72" s="496"/>
      <c r="YK72" s="496"/>
      <c r="YL72" s="496"/>
      <c r="YM72" s="496"/>
      <c r="YN72" s="496"/>
      <c r="YO72" s="496"/>
      <c r="YP72" s="496"/>
      <c r="YQ72" s="496"/>
      <c r="YR72" s="496"/>
      <c r="YS72" s="496"/>
      <c r="YT72" s="496"/>
      <c r="YU72" s="496"/>
      <c r="YV72" s="496"/>
      <c r="YW72" s="496"/>
      <c r="YX72" s="496"/>
      <c r="YY72" s="496"/>
      <c r="YZ72" s="496"/>
      <c r="ZA72" s="496"/>
      <c r="ZB72" s="496"/>
      <c r="ZC72" s="496"/>
      <c r="ZD72" s="496"/>
      <c r="ZE72" s="496"/>
      <c r="ZF72" s="496"/>
      <c r="ZG72" s="496"/>
      <c r="ZH72" s="496"/>
      <c r="ZI72" s="496"/>
      <c r="ZJ72" s="496"/>
      <c r="ZK72" s="496"/>
      <c r="ZL72" s="496"/>
      <c r="ZM72" s="496"/>
      <c r="ZN72" s="496"/>
      <c r="ZO72" s="496"/>
      <c r="ZP72" s="496"/>
      <c r="ZQ72" s="496"/>
      <c r="ZR72" s="496"/>
      <c r="ZS72" s="496"/>
      <c r="ZT72" s="496"/>
      <c r="ZU72" s="496"/>
      <c r="ZV72" s="496"/>
      <c r="ZW72" s="496"/>
      <c r="ZX72" s="496"/>
      <c r="ZY72" s="496"/>
      <c r="ZZ72" s="496"/>
      <c r="AAA72" s="496"/>
      <c r="AAB72" s="496"/>
      <c r="AAC72" s="496"/>
      <c r="AAD72" s="496"/>
      <c r="AAE72" s="496"/>
      <c r="AAF72" s="496"/>
      <c r="AAG72" s="496"/>
      <c r="AAH72" s="496"/>
      <c r="AAI72" s="496"/>
      <c r="AAJ72" s="496"/>
      <c r="AAK72" s="496"/>
      <c r="AAL72" s="496"/>
      <c r="AAM72" s="496"/>
      <c r="AAN72" s="496"/>
      <c r="AAO72" s="496"/>
      <c r="AAP72" s="496"/>
      <c r="AAQ72" s="496"/>
      <c r="AAR72" s="496"/>
      <c r="AAS72" s="496"/>
      <c r="AAT72" s="496"/>
      <c r="AAU72" s="496"/>
      <c r="AAV72" s="496"/>
      <c r="AAW72" s="496"/>
      <c r="AAX72" s="496"/>
      <c r="AAY72" s="496"/>
      <c r="AAZ72" s="496"/>
      <c r="ABA72" s="496"/>
      <c r="ABB72" s="496"/>
      <c r="ABC72" s="496"/>
      <c r="ABD72" s="496"/>
      <c r="ABE72" s="496"/>
      <c r="ABF72" s="496"/>
      <c r="ABG72" s="496"/>
      <c r="ABH72" s="496"/>
      <c r="ABI72" s="496"/>
      <c r="ABJ72" s="496"/>
      <c r="ABK72" s="496"/>
      <c r="ABL72" s="496"/>
      <c r="ABM72" s="496"/>
      <c r="ABN72" s="496"/>
      <c r="ABO72" s="496"/>
      <c r="ABP72" s="496"/>
      <c r="ABQ72" s="496"/>
      <c r="ABR72" s="496"/>
      <c r="ABS72" s="496"/>
      <c r="ABT72" s="496"/>
      <c r="ABU72" s="496"/>
      <c r="ABV72" s="496"/>
      <c r="ABW72" s="496"/>
      <c r="ABX72" s="496"/>
      <c r="ABY72" s="496"/>
      <c r="ABZ72" s="496"/>
      <c r="ACA72" s="496"/>
      <c r="ACB72" s="496"/>
      <c r="ACC72" s="496"/>
      <c r="ACD72" s="496"/>
      <c r="ACE72" s="496"/>
      <c r="ACF72" s="496"/>
      <c r="ACG72" s="496"/>
      <c r="ACH72" s="496"/>
      <c r="ACI72" s="496"/>
      <c r="ACJ72" s="496"/>
      <c r="ACK72" s="496"/>
      <c r="ACL72" s="496"/>
      <c r="ACM72" s="496"/>
      <c r="ACN72" s="496"/>
      <c r="ACO72" s="496"/>
      <c r="ACP72" s="496"/>
      <c r="ACQ72" s="496"/>
      <c r="ACR72" s="496"/>
      <c r="ACS72" s="496"/>
      <c r="ACT72" s="496"/>
      <c r="ACU72" s="496"/>
      <c r="ACV72" s="496"/>
      <c r="ACW72" s="496"/>
      <c r="ACX72" s="496"/>
      <c r="ACY72" s="496"/>
      <c r="ACZ72" s="496"/>
      <c r="ADA72" s="496"/>
      <c r="ADB72" s="496"/>
      <c r="ADC72" s="496"/>
      <c r="ADD72" s="496"/>
      <c r="ADE72" s="496"/>
      <c r="ADF72" s="496"/>
      <c r="ADG72" s="496"/>
      <c r="ADH72" s="496"/>
      <c r="ADI72" s="496"/>
      <c r="ADJ72" s="496"/>
      <c r="ADK72" s="496"/>
      <c r="ADL72" s="496"/>
      <c r="ADM72" s="496"/>
      <c r="ADN72" s="496"/>
      <c r="ADO72" s="496"/>
      <c r="ADP72" s="496"/>
      <c r="ADQ72" s="496"/>
      <c r="ADR72" s="496"/>
      <c r="ADS72" s="496"/>
      <c r="ADT72" s="496"/>
      <c r="ADU72" s="496"/>
      <c r="ADV72" s="496"/>
      <c r="ADW72" s="496"/>
      <c r="ADX72" s="496"/>
      <c r="ADY72" s="496"/>
      <c r="ADZ72" s="496"/>
      <c r="AEA72" s="496"/>
      <c r="AEB72" s="496"/>
      <c r="AEC72" s="496"/>
      <c r="AED72" s="496"/>
      <c r="AEE72" s="496"/>
      <c r="AEF72" s="496"/>
      <c r="AEG72" s="496"/>
      <c r="AEH72" s="496"/>
      <c r="AEI72" s="496"/>
      <c r="AEJ72" s="496"/>
      <c r="AEK72" s="496"/>
      <c r="AEL72" s="496"/>
      <c r="AEM72" s="496"/>
      <c r="AEN72" s="496"/>
      <c r="AEO72" s="496"/>
      <c r="AEP72" s="496"/>
      <c r="AEQ72" s="496"/>
      <c r="AER72" s="496"/>
      <c r="AES72" s="496"/>
      <c r="AET72" s="496"/>
      <c r="AEU72" s="496"/>
      <c r="AEV72" s="496"/>
      <c r="AEW72" s="496"/>
      <c r="AEX72" s="496"/>
      <c r="AEY72" s="496"/>
      <c r="AEZ72" s="496"/>
      <c r="AFA72" s="496"/>
      <c r="AFB72" s="496"/>
      <c r="AFC72" s="496"/>
      <c r="AFD72" s="496"/>
      <c r="AFE72" s="496"/>
      <c r="AFF72" s="496"/>
      <c r="AFG72" s="496"/>
      <c r="AFH72" s="496"/>
      <c r="AFI72" s="496"/>
      <c r="AFJ72" s="496"/>
      <c r="AFK72" s="496"/>
      <c r="AFL72" s="496"/>
      <c r="AFM72" s="496"/>
      <c r="AFN72" s="496"/>
      <c r="AFO72" s="496"/>
      <c r="AFP72" s="496"/>
      <c r="AFQ72" s="496"/>
      <c r="AFR72" s="496"/>
      <c r="AFS72" s="496"/>
      <c r="AFT72" s="496"/>
      <c r="AFU72" s="496"/>
      <c r="AFV72" s="496"/>
      <c r="AFW72" s="496"/>
      <c r="AFX72" s="496"/>
      <c r="AFY72" s="496"/>
      <c r="AFZ72" s="496"/>
      <c r="AGA72" s="496"/>
      <c r="AGB72" s="496"/>
      <c r="AGC72" s="496"/>
      <c r="AGD72" s="496"/>
      <c r="AGE72" s="496"/>
      <c r="AGF72" s="496"/>
      <c r="AGG72" s="496"/>
      <c r="AGH72" s="496"/>
      <c r="AGI72" s="496"/>
      <c r="AGJ72" s="496"/>
      <c r="AGK72" s="496"/>
      <c r="AGL72" s="496"/>
      <c r="AGM72" s="496"/>
      <c r="AGN72" s="496"/>
      <c r="AGO72" s="496"/>
      <c r="AGP72" s="496"/>
      <c r="AGQ72" s="496"/>
      <c r="AGR72" s="496"/>
      <c r="AGS72" s="496"/>
      <c r="AGT72" s="496"/>
      <c r="AGU72" s="496"/>
      <c r="AGV72" s="496"/>
      <c r="AGW72" s="496"/>
      <c r="AGX72" s="496"/>
      <c r="AGY72" s="496"/>
      <c r="AGZ72" s="496"/>
      <c r="AHA72" s="496"/>
      <c r="AHB72" s="496"/>
      <c r="AHC72" s="496"/>
      <c r="AHD72" s="496"/>
      <c r="AHE72" s="496"/>
      <c r="AHF72" s="496"/>
      <c r="AHG72" s="496"/>
      <c r="AHH72" s="496"/>
      <c r="AHI72" s="496"/>
      <c r="AHJ72" s="496"/>
      <c r="AHK72" s="496"/>
      <c r="AHL72" s="496"/>
      <c r="AHM72" s="496"/>
      <c r="AHN72" s="496"/>
      <c r="AHO72" s="496"/>
      <c r="AHP72" s="496"/>
      <c r="AHQ72" s="496"/>
      <c r="AHR72" s="496"/>
      <c r="AHS72" s="496"/>
      <c r="AHT72" s="496"/>
      <c r="AHU72" s="496"/>
      <c r="AHV72" s="496"/>
      <c r="AHW72" s="496"/>
      <c r="AHX72" s="496"/>
      <c r="AHY72" s="496"/>
      <c r="AHZ72" s="496"/>
      <c r="AIA72" s="496"/>
      <c r="AIB72" s="496"/>
      <c r="AIC72" s="496"/>
      <c r="AID72" s="496"/>
      <c r="AIE72" s="496"/>
      <c r="AIF72" s="496"/>
      <c r="AIG72" s="496"/>
      <c r="AIH72" s="496"/>
      <c r="AII72" s="496"/>
      <c r="AIJ72" s="496"/>
      <c r="AIK72" s="496"/>
      <c r="AIL72" s="496"/>
      <c r="AIM72" s="496"/>
      <c r="AIN72" s="496"/>
      <c r="AIO72" s="496"/>
      <c r="AIP72" s="496"/>
      <c r="AIQ72" s="496"/>
      <c r="AIR72" s="496"/>
      <c r="AIS72" s="496"/>
      <c r="AIT72" s="496"/>
      <c r="AIU72" s="496"/>
      <c r="AIV72" s="496"/>
      <c r="AIW72" s="496"/>
      <c r="AIX72" s="496"/>
      <c r="AIY72" s="496"/>
      <c r="AIZ72" s="496"/>
      <c r="AJA72" s="496"/>
      <c r="AJB72" s="496"/>
      <c r="AJC72" s="496"/>
      <c r="AJD72" s="496"/>
      <c r="AJE72" s="496"/>
      <c r="AJF72" s="496"/>
      <c r="AJG72" s="496"/>
      <c r="AJH72" s="496"/>
      <c r="AJI72" s="496"/>
      <c r="AJJ72" s="496"/>
      <c r="AJK72" s="496"/>
      <c r="AJL72" s="496"/>
      <c r="AJM72" s="496"/>
      <c r="AJN72" s="496"/>
      <c r="AJO72" s="496"/>
      <c r="AJP72" s="496"/>
      <c r="AJQ72" s="496"/>
      <c r="AJR72" s="496"/>
      <c r="AJS72" s="496"/>
      <c r="AJT72" s="496"/>
      <c r="AJU72" s="496"/>
      <c r="AJV72" s="496"/>
      <c r="AJW72" s="496"/>
      <c r="AJX72" s="496"/>
      <c r="AJY72" s="496"/>
      <c r="AJZ72" s="496"/>
      <c r="AKA72" s="496"/>
      <c r="AKB72" s="496"/>
      <c r="AKC72" s="496"/>
      <c r="AKD72" s="496"/>
      <c r="AKE72" s="496"/>
      <c r="AKF72" s="496"/>
      <c r="AKG72" s="496"/>
      <c r="AKH72" s="496"/>
      <c r="AKI72" s="496"/>
      <c r="AKJ72" s="496"/>
      <c r="AKK72" s="496"/>
      <c r="AKL72" s="496"/>
      <c r="AKM72" s="496"/>
      <c r="AKN72" s="496"/>
      <c r="AKO72" s="496"/>
      <c r="AKP72" s="496"/>
      <c r="AKQ72" s="496"/>
      <c r="AKR72" s="496"/>
      <c r="AKS72" s="496"/>
      <c r="AKT72" s="496"/>
      <c r="AKU72" s="496"/>
      <c r="AKV72" s="496"/>
      <c r="AKW72" s="496"/>
      <c r="AKX72" s="496"/>
      <c r="AKY72" s="496"/>
      <c r="AKZ72" s="496"/>
      <c r="ALA72" s="496"/>
      <c r="ALB72" s="496"/>
      <c r="ALC72" s="496"/>
      <c r="ALD72" s="496"/>
      <c r="ALE72" s="496"/>
      <c r="ALF72" s="496"/>
      <c r="ALG72" s="496"/>
      <c r="ALH72" s="496"/>
      <c r="ALI72" s="496"/>
      <c r="ALJ72" s="496"/>
      <c r="ALK72" s="496"/>
      <c r="ALL72" s="496"/>
      <c r="ALM72" s="496"/>
      <c r="ALN72" s="496"/>
      <c r="ALO72" s="496"/>
      <c r="ALP72" s="496"/>
      <c r="ALQ72" s="496"/>
      <c r="ALR72" s="496"/>
      <c r="ALS72" s="496"/>
      <c r="ALT72" s="496"/>
      <c r="ALU72" s="496"/>
      <c r="ALV72" s="496"/>
      <c r="ALW72" s="496"/>
      <c r="ALX72" s="496"/>
      <c r="ALY72" s="496"/>
      <c r="ALZ72" s="496"/>
      <c r="AMA72" s="496"/>
      <c r="AMB72" s="496"/>
      <c r="AMC72" s="496"/>
      <c r="AMD72" s="496"/>
      <c r="AME72" s="496"/>
      <c r="AMF72" s="496"/>
      <c r="AMG72" s="496"/>
      <c r="AMH72" s="496"/>
      <c r="AMI72" s="496"/>
      <c r="AMJ72" s="496"/>
      <c r="AMK72" s="496"/>
    </row>
    <row r="73" spans="1:1025" x14ac:dyDescent="0.2">
      <c r="B73" s="507" t="s">
        <v>86</v>
      </c>
      <c r="C73" s="684"/>
      <c r="D73" s="673"/>
      <c r="E73" s="543">
        <f>'Prod. GEXFLO'!N4+'Prod. GEXFLO'!O4+'Prod. GEXFLO'!P4+'Prod. GEXFLO'!Q4+'Prod. GEXFLO'!U4</f>
        <v>4</v>
      </c>
      <c r="F73" s="27">
        <f>D73*E73</f>
        <v>0</v>
      </c>
      <c r="G73"/>
      <c r="H73" s="683" t="s">
        <v>87</v>
      </c>
      <c r="I73" s="682"/>
      <c r="J73" s="673"/>
      <c r="K73" s="28">
        <f>'Prod. GEXBLU'!N4+'Prod. GEXBLU'!O4+'Prod. GEXBLU'!P4+'Prod. GEXBLU'!Q4+'Prod. GEXBLU'!U4</f>
        <v>2</v>
      </c>
      <c r="L73" s="29">
        <f t="shared" ref="L73:L84" si="0">K73*J73</f>
        <v>0</v>
      </c>
      <c r="N73" s="672" t="s">
        <v>88</v>
      </c>
      <c r="O73" s="673"/>
      <c r="P73" s="673"/>
      <c r="Q73" s="28">
        <f>'Prod. GEXJVL'!N4+'Prod. GEXJVL'!O4+'Prod. GEXJVL'!P4+'Prod. GEXJVL'!Q4+'Prod. GEXJVL'!U4</f>
        <v>3</v>
      </c>
      <c r="R73" s="29">
        <f t="shared" ref="R73:R82" si="1">Q73*P73</f>
        <v>0</v>
      </c>
    </row>
    <row r="74" spans="1:1025" x14ac:dyDescent="0.2">
      <c r="B74" s="513" t="s">
        <v>89</v>
      </c>
      <c r="C74" s="684"/>
      <c r="D74" s="673"/>
      <c r="E74" s="543">
        <f>'Prod. GEXFLO'!N5+'Prod. GEXFLO'!O5+'Prod. GEXFLO'!P5+'Prod. GEXFLO'!Q5+'Prod. GEXFLO'!U5</f>
        <v>1</v>
      </c>
      <c r="F74" s="27">
        <f t="shared" ref="F74:F90" si="2">D74*E74</f>
        <v>0</v>
      </c>
      <c r="G74"/>
      <c r="H74" s="672" t="s">
        <v>90</v>
      </c>
      <c r="I74" s="682"/>
      <c r="J74" s="673"/>
      <c r="K74" s="28">
        <f>'Prod. GEXBLU'!N5+'Prod. GEXBLU'!O5+'Prod. GEXBLU'!P5+'Prod. GEXBLU'!Q5+'Prod. GEXBLU'!U5</f>
        <v>1</v>
      </c>
      <c r="L74" s="29">
        <f t="shared" si="0"/>
        <v>0</v>
      </c>
      <c r="N74" s="672" t="s">
        <v>91</v>
      </c>
      <c r="O74" s="682"/>
      <c r="P74" s="673"/>
      <c r="Q74" s="28">
        <f>'Prod. GEXJVL'!N5+'Prod. GEXJVL'!O5+'Prod. GEXJVL'!P5+'Prod. GEXJVL'!Q5+'Prod. GEXJVL'!U5</f>
        <v>3</v>
      </c>
      <c r="R74" s="29">
        <f t="shared" si="1"/>
        <v>0</v>
      </c>
    </row>
    <row r="75" spans="1:1025" x14ac:dyDescent="0.2">
      <c r="B75" s="515" t="s">
        <v>92</v>
      </c>
      <c r="C75" s="684"/>
      <c r="D75" s="673"/>
      <c r="E75" s="543">
        <f>'Prod. GEXFLO'!N6+'Prod. GEXFLO'!O6+'Prod. GEXFLO'!P6+'Prod. GEXFLO'!Q6+'Prod. GEXFLO'!U6</f>
        <v>2</v>
      </c>
      <c r="F75" s="27">
        <f t="shared" si="2"/>
        <v>0</v>
      </c>
      <c r="G75"/>
      <c r="H75" s="672" t="s">
        <v>93</v>
      </c>
      <c r="I75" s="682"/>
      <c r="J75" s="673"/>
      <c r="K75" s="28">
        <f>'Prod. GEXBLU'!N6+'Prod. GEXBLU'!O6+'Prod. GEXBLU'!P6+'Prod. GEXBLU'!Q6+'Prod. GEXBLU'!U6</f>
        <v>5</v>
      </c>
      <c r="L75" s="29">
        <f t="shared" si="0"/>
        <v>0</v>
      </c>
      <c r="N75" s="672" t="s">
        <v>94</v>
      </c>
      <c r="O75" s="682"/>
      <c r="P75" s="682"/>
      <c r="Q75" s="28">
        <f>'Prod. GEXJVL'!N6+'Prod. GEXJVL'!O6+'Prod. GEXJVL'!P6+'Prod. GEXJVL'!Q6+'Prod. GEXJVL'!U6</f>
        <v>3</v>
      </c>
      <c r="R75" s="29">
        <f t="shared" si="1"/>
        <v>0</v>
      </c>
    </row>
    <row r="76" spans="1:1025" x14ac:dyDescent="0.2">
      <c r="B76" s="513" t="s">
        <v>95</v>
      </c>
      <c r="C76" s="684"/>
      <c r="D76" s="673"/>
      <c r="E76" s="543">
        <f>'Prod. GEXFLO'!N7+'Prod. GEXFLO'!O7+'Prod. GEXFLO'!P7+'Prod. GEXFLO'!Q7+'Prod. GEXFLO'!U7</f>
        <v>3</v>
      </c>
      <c r="F76" s="27">
        <f t="shared" si="2"/>
        <v>0</v>
      </c>
      <c r="G76"/>
      <c r="H76" s="672" t="s">
        <v>96</v>
      </c>
      <c r="I76" s="682"/>
      <c r="J76" s="682"/>
      <c r="K76" s="28">
        <f>'Prod. GEXBLU'!N7+'Prod. GEXBLU'!O7+'Prod. GEXBLU'!P7+'Prod. GEXBLU'!Q7+'Prod. GEXBLU'!U7</f>
        <v>3</v>
      </c>
      <c r="L76" s="29">
        <f t="shared" si="0"/>
        <v>0</v>
      </c>
      <c r="N76" s="672" t="s">
        <v>97</v>
      </c>
      <c r="O76" s="673"/>
      <c r="P76" s="673"/>
      <c r="Q76" s="28">
        <f>'Prod. GEXJVL'!N7+'Prod. GEXJVL'!O7+'Prod. GEXJVL'!P7+'Prod. GEXJVL'!Q7+'Prod. GEXJVL'!U7</f>
        <v>4</v>
      </c>
      <c r="R76" s="29">
        <f t="shared" si="1"/>
        <v>0</v>
      </c>
    </row>
    <row r="77" spans="1:1025" x14ac:dyDescent="0.2">
      <c r="B77" s="515" t="s">
        <v>98</v>
      </c>
      <c r="C77" s="684"/>
      <c r="D77" s="673"/>
      <c r="E77" s="543">
        <f>'Prod. GEXFLO'!N8+'Prod. GEXFLO'!O8+'Prod. GEXFLO'!P8+'Prod. GEXFLO'!Q8+'Prod. GEXFLO'!U8</f>
        <v>4</v>
      </c>
      <c r="F77" s="27">
        <f t="shared" si="2"/>
        <v>0</v>
      </c>
      <c r="G77"/>
      <c r="H77" s="672" t="s">
        <v>99</v>
      </c>
      <c r="I77" s="673"/>
      <c r="J77" s="673"/>
      <c r="K77" s="28">
        <f>'Prod. GEXBLU'!N8+'Prod. GEXBLU'!O8+'Prod. GEXBLU'!P8+'Prod. GEXBLU'!Q8+'Prod. GEXBLU'!U8</f>
        <v>1</v>
      </c>
      <c r="L77" s="29">
        <f t="shared" si="0"/>
        <v>0</v>
      </c>
      <c r="N77" s="672" t="s">
        <v>100</v>
      </c>
      <c r="O77" s="673"/>
      <c r="P77" s="673"/>
      <c r="Q77" s="28">
        <f>'Prod. GEXJVL'!N8+'Prod. GEXJVL'!O8+'Prod. GEXJVL'!P8+'Prod. GEXJVL'!Q8+'Prod. GEXJVL'!U8</f>
        <v>3</v>
      </c>
      <c r="R77" s="29">
        <f t="shared" si="1"/>
        <v>0</v>
      </c>
    </row>
    <row r="78" spans="1:1025" x14ac:dyDescent="0.2">
      <c r="B78" s="513" t="s">
        <v>101</v>
      </c>
      <c r="C78" s="684"/>
      <c r="D78" s="673"/>
      <c r="E78" s="543">
        <f>'Prod. GEXFLO'!N9+'Prod. GEXFLO'!O9+'Prod. GEXFLO'!P9+'Prod. GEXFLO'!Q9+'Prod. GEXFLO'!U9</f>
        <v>1</v>
      </c>
      <c r="F78" s="27">
        <f t="shared" si="2"/>
        <v>0</v>
      </c>
      <c r="G78"/>
      <c r="H78" s="672" t="s">
        <v>102</v>
      </c>
      <c r="I78" s="673"/>
      <c r="J78" s="673"/>
      <c r="K78" s="28">
        <f>'Prod. GEXBLU'!N9+'Prod. GEXBLU'!O9+'Prod. GEXBLU'!P9+'Prod. GEXBLU'!Q9+'Prod. GEXBLU'!U9</f>
        <v>1</v>
      </c>
      <c r="L78" s="29">
        <f t="shared" si="0"/>
        <v>0</v>
      </c>
      <c r="N78" s="672" t="s">
        <v>103</v>
      </c>
      <c r="O78" s="673"/>
      <c r="P78" s="673"/>
      <c r="Q78" s="28">
        <f>'Prod. GEXJVL'!N9+'Prod. GEXJVL'!O9+'Prod. GEXJVL'!P9+'Prod. GEXJVL'!Q9+'Prod. GEXJVL'!U9</f>
        <v>3</v>
      </c>
      <c r="R78" s="29">
        <f t="shared" si="1"/>
        <v>0</v>
      </c>
    </row>
    <row r="79" spans="1:1025" x14ac:dyDescent="0.2">
      <c r="B79" s="516" t="s">
        <v>104</v>
      </c>
      <c r="C79" s="684"/>
      <c r="D79" s="673"/>
      <c r="E79" s="543">
        <f>'Prod. GEXFLO'!N10+'Prod. GEXFLO'!O10+'Prod. GEXFLO'!P13+'Prod. GEXFLO'!Q10+'Prod. GEXFLO'!U10</f>
        <v>2</v>
      </c>
      <c r="F79" s="27">
        <f t="shared" si="2"/>
        <v>0</v>
      </c>
      <c r="G79"/>
      <c r="H79" s="672" t="s">
        <v>105</v>
      </c>
      <c r="I79" s="673"/>
      <c r="J79" s="673"/>
      <c r="K79" s="28">
        <f>'Prod. GEXBLU'!N10+'Prod. GEXBLU'!O10+'Prod. GEXBLU'!P10+'Prod. GEXBLU'!Q10+'Prod. GEXBLU'!U10</f>
        <v>4</v>
      </c>
      <c r="L79" s="29">
        <f t="shared" si="0"/>
        <v>0</v>
      </c>
      <c r="N79" s="672" t="s">
        <v>106</v>
      </c>
      <c r="O79" s="673"/>
      <c r="P79" s="673"/>
      <c r="Q79" s="28">
        <f>'Prod. GEXJVL'!N10+'Prod. GEXJVL'!O10+'Prod. GEXJVL'!P10+'Prod. GEXJVL'!Q10+'Prod. GEXJVL'!U10</f>
        <v>1</v>
      </c>
      <c r="R79" s="29">
        <f t="shared" si="1"/>
        <v>0</v>
      </c>
    </row>
    <row r="80" spans="1:1025" x14ac:dyDescent="0.2">
      <c r="B80" s="517" t="s">
        <v>107</v>
      </c>
      <c r="C80" s="684"/>
      <c r="D80" s="673"/>
      <c r="E80" s="543">
        <f>'Prod. GEXFLO'!N11+'Prod. GEXFLO'!O11+'Prod. GEXFLO'!P11+'Prod. GEXFLO'!Q11+'Prod. GEXFLO'!U11</f>
        <v>2</v>
      </c>
      <c r="F80" s="27">
        <f t="shared" si="2"/>
        <v>0</v>
      </c>
      <c r="G80"/>
      <c r="H80" s="672" t="s">
        <v>108</v>
      </c>
      <c r="I80" s="673"/>
      <c r="J80" s="673"/>
      <c r="K80" s="28">
        <f>'Prod. GEXBLU'!N11+'Prod. GEXBLU'!O11+'Prod. GEXBLU'!P11+'Prod. GEXBLU'!Q11+'Prod. GEXBLU'!U11</f>
        <v>3</v>
      </c>
      <c r="L80" s="29">
        <f t="shared" si="0"/>
        <v>0</v>
      </c>
      <c r="N80" s="672" t="s">
        <v>109</v>
      </c>
      <c r="O80" s="673"/>
      <c r="P80" s="673"/>
      <c r="Q80" s="28">
        <f>'Prod. GEXJVL'!N11+'Prod. GEXJVL'!O11+'Prod. GEXJVL'!P11+'Prod. GEXJVL'!Q11+'Prod. GEXJVL'!U11</f>
        <v>1</v>
      </c>
      <c r="R80" s="29">
        <f t="shared" si="1"/>
        <v>0</v>
      </c>
    </row>
    <row r="81" spans="2:18" x14ac:dyDescent="0.2">
      <c r="B81" s="517" t="s">
        <v>110</v>
      </c>
      <c r="C81" s="684"/>
      <c r="D81" s="673"/>
      <c r="E81" s="543">
        <f>'Prod. GEXFLO'!N12+'Prod. GEXFLO'!O12+'Prod. GEXFLO'!P12+'Prod. GEXFLO'!Q12+'Prod. GEXFLO'!U12</f>
        <v>4</v>
      </c>
      <c r="F81" s="27">
        <f t="shared" si="2"/>
        <v>0</v>
      </c>
      <c r="G81"/>
      <c r="H81" s="672" t="s">
        <v>111</v>
      </c>
      <c r="I81" s="673"/>
      <c r="J81" s="673"/>
      <c r="K81" s="28">
        <f>'Prod. GEXBLU'!N12+'Prod. GEXBLU'!O12+'Prod. GEXBLU'!P12+'Prod. GEXBLU'!Q12+'Prod. GEXBLU'!U12</f>
        <v>4</v>
      </c>
      <c r="L81" s="29">
        <f t="shared" si="0"/>
        <v>0</v>
      </c>
      <c r="N81" s="672" t="s">
        <v>112</v>
      </c>
      <c r="O81" s="673"/>
      <c r="P81" s="673"/>
      <c r="Q81" s="28">
        <f>'Prod. GEXJVL'!N12+'Prod. GEXJVL'!O12+'Prod. GEXJVL'!P12+'Prod. GEXJVL'!Q12+'Prod. GEXJVL'!U12</f>
        <v>1</v>
      </c>
      <c r="R81" s="29">
        <f t="shared" si="1"/>
        <v>0</v>
      </c>
    </row>
    <row r="82" spans="2:18" x14ac:dyDescent="0.2">
      <c r="B82" s="515" t="s">
        <v>113</v>
      </c>
      <c r="C82" s="684"/>
      <c r="D82" s="673"/>
      <c r="E82" s="543">
        <f>'Prod. GEXFLO'!N13+'Prod. GEXFLO'!O13+'Prod. GEXFLO'!P13+'Prod. GEXFLO'!Q13+'Prod. GEXFLO'!U13</f>
        <v>2</v>
      </c>
      <c r="F82" s="27">
        <f t="shared" si="2"/>
        <v>0</v>
      </c>
      <c r="G82"/>
      <c r="H82" s="672" t="s">
        <v>114</v>
      </c>
      <c r="I82" s="673"/>
      <c r="J82" s="673"/>
      <c r="K82" s="28">
        <f>'Prod. GEXBLU'!N13+'Prod. GEXBLU'!O13+'Prod. GEXBLU'!P13+'Prod. GEXBLU'!Q13+'Prod. GEXBLU'!U13</f>
        <v>2</v>
      </c>
      <c r="L82" s="29">
        <f t="shared" si="0"/>
        <v>0</v>
      </c>
      <c r="N82" s="672" t="s">
        <v>115</v>
      </c>
      <c r="O82" s="673"/>
      <c r="P82" s="673"/>
      <c r="Q82" s="28">
        <f>'Prod. GEXJVL'!N13+'Prod. GEXJVL'!O13+'Prod. GEXJVL'!P13+'Prod. GEXJVL'!Q13+'Prod. GEXJVL'!U13</f>
        <v>1</v>
      </c>
      <c r="R82" s="29">
        <f t="shared" si="1"/>
        <v>0</v>
      </c>
    </row>
    <row r="83" spans="2:18" x14ac:dyDescent="0.2">
      <c r="B83" s="517" t="s">
        <v>116</v>
      </c>
      <c r="C83" s="684"/>
      <c r="D83" s="673"/>
      <c r="E83" s="543">
        <f>'Prod. GEXFLO'!N14+'Prod. GEXFLO'!O14+'Prod. GEXFLO'!P14+'Prod. GEXFLO'!Q14+'Prod. GEXFLO'!U14</f>
        <v>2</v>
      </c>
      <c r="F83" s="27">
        <f t="shared" si="2"/>
        <v>0</v>
      </c>
      <c r="G83"/>
      <c r="H83" s="672" t="s">
        <v>117</v>
      </c>
      <c r="I83" s="673"/>
      <c r="J83" s="673"/>
      <c r="K83" s="28">
        <f>'Prod. GEXBLU'!N14+'Prod. GEXBLU'!O14+'Prod. GEXBLU'!P14+'Prod. GEXBLU'!Q14+'Prod. GEXBLU'!U14</f>
        <v>1</v>
      </c>
      <c r="L83" s="29">
        <f t="shared" si="0"/>
        <v>0</v>
      </c>
      <c r="N83" s="674" t="s">
        <v>118</v>
      </c>
      <c r="O83" s="675"/>
      <c r="P83" s="676" t="e">
        <f>AVERAGE(P72:P82)</f>
        <v>#DIV/0!</v>
      </c>
      <c r="Q83" s="28">
        <f>SUM(Q73:Q82)</f>
        <v>23</v>
      </c>
      <c r="R83" s="29">
        <f>SUM(R73:R82)</f>
        <v>0</v>
      </c>
    </row>
    <row r="84" spans="2:18" x14ac:dyDescent="0.2">
      <c r="B84" s="515" t="s">
        <v>119</v>
      </c>
      <c r="C84" s="684"/>
      <c r="D84" s="673"/>
      <c r="E84" s="543">
        <f>'Prod. GEXFLO'!N15+'Prod. GEXFLO'!O15+'Prod. GEXFLO'!P15+'Prod. GEXFLO'!Q15+'Prod. GEXFLO'!U15</f>
        <v>2</v>
      </c>
      <c r="F84" s="27">
        <f t="shared" si="2"/>
        <v>0</v>
      </c>
      <c r="G84"/>
      <c r="H84" s="672" t="s">
        <v>120</v>
      </c>
      <c r="I84" s="673"/>
      <c r="J84" s="673"/>
      <c r="K84" s="28">
        <f>'Prod. GEXBLU'!N15+'Prod. GEXBLU'!O15+'Prod. GEXBLU'!P15+'Prod. GEXBLU'!Q15+'Prod. GEXBLU'!U15</f>
        <v>1</v>
      </c>
      <c r="L84" s="29">
        <f t="shared" si="0"/>
        <v>0</v>
      </c>
      <c r="N84" s="677" t="s">
        <v>121</v>
      </c>
      <c r="O84" s="678"/>
      <c r="P84" s="679">
        <f>R83/Q83</f>
        <v>0</v>
      </c>
    </row>
    <row r="85" spans="2:18" x14ac:dyDescent="0.2">
      <c r="B85" s="515" t="s">
        <v>122</v>
      </c>
      <c r="C85" s="684"/>
      <c r="D85" s="673"/>
      <c r="E85" s="543">
        <f>'Prod. GEXFLO'!N16+'Prod. GEXFLO'!O16+'Prod. GEXFLO'!P16+'Prod. GEXFLO'!Q16+'Prod. GEXFLO'!U16</f>
        <v>2</v>
      </c>
      <c r="F85" s="27">
        <f t="shared" si="2"/>
        <v>0</v>
      </c>
      <c r="G85"/>
      <c r="H85" s="674" t="s">
        <v>118</v>
      </c>
      <c r="I85" s="675"/>
      <c r="J85" s="676" t="e">
        <f>AVERAGE(J73:J84)</f>
        <v>#DIV/0!</v>
      </c>
      <c r="K85" s="28">
        <f>SUM(K73:K84)</f>
        <v>28</v>
      </c>
      <c r="L85" s="29">
        <f>SUM(L73:L84)</f>
        <v>0</v>
      </c>
    </row>
    <row r="86" spans="2:18" x14ac:dyDescent="0.2">
      <c r="B86" s="518" t="s">
        <v>123</v>
      </c>
      <c r="C86" s="684"/>
      <c r="D86" s="673"/>
      <c r="E86" s="543">
        <f>'Prod. GEXFLO'!N17+'Prod. GEXFLO'!O17+'Prod. GEXFLO'!P17+'Prod. GEXFLO'!Q17+'Prod. GEXFLO'!U17</f>
        <v>1</v>
      </c>
      <c r="F86" s="27">
        <f t="shared" si="2"/>
        <v>0</v>
      </c>
      <c r="G86"/>
      <c r="H86" s="677" t="s">
        <v>121</v>
      </c>
      <c r="I86" s="678"/>
      <c r="J86" s="679">
        <f>L85/K85</f>
        <v>0</v>
      </c>
      <c r="K86" s="4"/>
      <c r="L86" s="4"/>
    </row>
    <row r="87" spans="2:18" x14ac:dyDescent="0.2">
      <c r="B87" s="518" t="s">
        <v>124</v>
      </c>
      <c r="C87" s="684"/>
      <c r="D87" s="673"/>
      <c r="E87" s="543">
        <f>'Prod. GEXFLO'!N18+'Prod. GEXFLO'!O18+'Prod. GEXFLO'!P18+'Prod. GEXFLO'!Q18+'Prod. GEXFLO'!U18</f>
        <v>1</v>
      </c>
      <c r="F87" s="27">
        <f t="shared" si="2"/>
        <v>0</v>
      </c>
      <c r="G87"/>
    </row>
    <row r="88" spans="2:18" x14ac:dyDescent="0.2">
      <c r="B88" s="518" t="s">
        <v>125</v>
      </c>
      <c r="C88" s="684"/>
      <c r="D88" s="673"/>
      <c r="E88" s="543">
        <f>'Prod. GEXFLO'!N19+'Prod. GEXFLO'!O19+'Prod. GEXFLO'!P19+'Prod. GEXFLO'!Q19+'Prod. GEXFLO'!U19</f>
        <v>1</v>
      </c>
      <c r="F88" s="27">
        <f t="shared" si="2"/>
        <v>0</v>
      </c>
      <c r="G88"/>
    </row>
    <row r="89" spans="2:18" x14ac:dyDescent="0.2">
      <c r="B89" s="521" t="s">
        <v>126</v>
      </c>
      <c r="C89" s="684"/>
      <c r="D89" s="673"/>
      <c r="E89" s="543">
        <f>'Prod. GEXFLO'!N20+'Prod. GEXFLO'!O20+'Prod. GEXFLO'!P20+'Prod. GEXFLO'!Q20+'Prod. GEXFLO'!U20</f>
        <v>5</v>
      </c>
      <c r="F89" s="27">
        <f t="shared" si="2"/>
        <v>0</v>
      </c>
      <c r="G89"/>
    </row>
    <row r="90" spans="2:18" x14ac:dyDescent="0.2">
      <c r="B90" s="515" t="s">
        <v>127</v>
      </c>
      <c r="C90" s="684"/>
      <c r="D90" s="673"/>
      <c r="E90" s="543">
        <f>'Prod. GEXFLO'!N21+'Prod. GEXFLO'!O21+'Prod. GEXFLO'!P21+'Prod. GEXFLO'!Q21+'Prod. GEXFLO'!U21</f>
        <v>4</v>
      </c>
      <c r="F90" s="27">
        <f t="shared" si="2"/>
        <v>0</v>
      </c>
      <c r="G90"/>
    </row>
    <row r="91" spans="2:18" x14ac:dyDescent="0.2">
      <c r="B91" s="674" t="s">
        <v>118</v>
      </c>
      <c r="C91" s="675"/>
      <c r="D91" s="685" t="e">
        <f>AVERAGE(D73:D90)</f>
        <v>#DIV/0!</v>
      </c>
      <c r="E91" s="27">
        <f>SUM(E73:E90)</f>
        <v>43</v>
      </c>
      <c r="F91" s="27">
        <f>SUM(F73:F90)</f>
        <v>0</v>
      </c>
      <c r="G91"/>
    </row>
    <row r="92" spans="2:18" x14ac:dyDescent="0.2">
      <c r="B92" s="677" t="s">
        <v>121</v>
      </c>
      <c r="C92" s="678"/>
      <c r="D92" s="686">
        <f>F91/E91</f>
        <v>0</v>
      </c>
      <c r="E92"/>
      <c r="F92"/>
      <c r="G92"/>
    </row>
    <row r="93" spans="2:18" x14ac:dyDescent="0.2">
      <c r="B93"/>
      <c r="C93"/>
      <c r="D93"/>
      <c r="E93"/>
      <c r="F93"/>
      <c r="G93"/>
    </row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1048502" ht="12.75" customHeight="1" x14ac:dyDescent="0.2"/>
    <row r="1048503" ht="12.75" customHeight="1" x14ac:dyDescent="0.2"/>
    <row r="1048504" ht="12.75" customHeight="1" x14ac:dyDescent="0.2"/>
    <row r="1048505" ht="12.75" customHeight="1" x14ac:dyDescent="0.2"/>
    <row r="1048506" ht="12.75" customHeight="1" x14ac:dyDescent="0.2"/>
    <row r="1048507" ht="12.75" customHeight="1" x14ac:dyDescent="0.2"/>
    <row r="1048508" ht="12.75" customHeight="1" x14ac:dyDescent="0.2"/>
    <row r="1048509" ht="12.75" customHeight="1" x14ac:dyDescent="0.2"/>
    <row r="1048510" ht="12.75" customHeight="1" x14ac:dyDescent="0.2"/>
    <row r="1048511" ht="12.75" customHeight="1" x14ac:dyDescent="0.2"/>
    <row r="1048512" ht="12.75" customHeight="1" x14ac:dyDescent="0.2"/>
    <row r="1048513" ht="12.75" customHeight="1" x14ac:dyDescent="0.2"/>
    <row r="1048514" ht="12.75" customHeight="1" x14ac:dyDescent="0.2"/>
    <row r="1048515" ht="12.75" customHeight="1" x14ac:dyDescent="0.2"/>
    <row r="1048516" ht="12.75" customHeight="1" x14ac:dyDescent="0.2"/>
  </sheetData>
  <mergeCells count="38">
    <mergeCell ref="C56:D56"/>
    <mergeCell ref="C57:L57"/>
    <mergeCell ref="C60:L60"/>
    <mergeCell ref="B71:L71"/>
    <mergeCell ref="B62:L62"/>
    <mergeCell ref="C63:L63"/>
    <mergeCell ref="B67:L67"/>
    <mergeCell ref="B58:E58"/>
    <mergeCell ref="C51:D51"/>
    <mergeCell ref="C52:D52"/>
    <mergeCell ref="C53:D53"/>
    <mergeCell ref="C54:D54"/>
    <mergeCell ref="C55:D55"/>
    <mergeCell ref="C47:L47"/>
    <mergeCell ref="C48:D48"/>
    <mergeCell ref="C49:D49"/>
    <mergeCell ref="C50:D50"/>
    <mergeCell ref="B41:L41"/>
    <mergeCell ref="B42:L42"/>
    <mergeCell ref="B44:L44"/>
    <mergeCell ref="B45:L45"/>
    <mergeCell ref="C46:L46"/>
    <mergeCell ref="B36:L36"/>
    <mergeCell ref="B37:L37"/>
    <mergeCell ref="B38:L38"/>
    <mergeCell ref="B39:L39"/>
    <mergeCell ref="B40:L40"/>
    <mergeCell ref="B19:L19"/>
    <mergeCell ref="B32:L32"/>
    <mergeCell ref="B33:L33"/>
    <mergeCell ref="B34:L34"/>
    <mergeCell ref="B35:L35"/>
    <mergeCell ref="B1:L1"/>
    <mergeCell ref="C3:D3"/>
    <mergeCell ref="C4:D4"/>
    <mergeCell ref="B6:L6"/>
    <mergeCell ref="C9:E9"/>
    <mergeCell ref="G9:I9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5A11"/>
  </sheetPr>
  <dimension ref="A1:AML147"/>
  <sheetViews>
    <sheetView showGridLines="0" zoomScale="80" zoomScaleNormal="80" workbookViewId="0">
      <pane xSplit="2" topLeftCell="C1" activePane="topRight" state="frozen"/>
      <selection pane="topRight" activeCell="I1" sqref="I1"/>
    </sheetView>
  </sheetViews>
  <sheetFormatPr defaultRowHeight="14.25" x14ac:dyDescent="0.2"/>
  <cols>
    <col min="1" max="1" width="51.125" style="30"/>
    <col min="2" max="2" width="18.25" style="30" customWidth="1"/>
    <col min="3" max="4" width="15.625" style="30"/>
    <col min="5" max="5" width="20.375" style="30"/>
    <col min="6" max="6" width="17.375" style="30"/>
    <col min="7" max="7" width="16.5" style="30"/>
    <col min="8" max="9" width="15.25" style="30"/>
    <col min="10" max="10" width="17.75" style="30" customWidth="1"/>
    <col min="11" max="11" width="14.125" style="30" customWidth="1"/>
    <col min="12" max="12" width="104" style="30"/>
    <col min="13" max="1025" width="9" style="30"/>
  </cols>
  <sheetData>
    <row r="1" spans="1:1025" s="31" customFormat="1" ht="20.25" customHeight="1" thickBot="1" x14ac:dyDescent="0.25">
      <c r="A1" s="894" t="s">
        <v>128</v>
      </c>
      <c r="B1" s="894"/>
      <c r="C1" s="894"/>
      <c r="D1" s="894"/>
      <c r="E1" s="894"/>
      <c r="F1" s="894"/>
      <c r="G1" s="894"/>
      <c r="H1" s="894"/>
      <c r="I1"/>
      <c r="J1" s="32" t="s">
        <v>129</v>
      </c>
      <c r="K1" s="32"/>
      <c r="L1" s="32"/>
    </row>
    <row r="2" spans="1:1025" ht="52.5" customHeight="1" thickBot="1" x14ac:dyDescent="0.25">
      <c r="A2" s="33" t="s">
        <v>130</v>
      </c>
      <c r="B2" s="34" t="s">
        <v>131</v>
      </c>
      <c r="C2" s="34" t="s">
        <v>132</v>
      </c>
      <c r="D2" s="34" t="s">
        <v>133</v>
      </c>
      <c r="E2" s="34" t="s">
        <v>134</v>
      </c>
      <c r="F2" s="35" t="s">
        <v>135</v>
      </c>
      <c r="G2" s="36" t="s">
        <v>136</v>
      </c>
      <c r="H2" s="37" t="s">
        <v>137</v>
      </c>
      <c r="I2"/>
      <c r="J2" s="38" t="s">
        <v>138</v>
      </c>
      <c r="K2" s="38"/>
      <c r="L2" s="38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J2"/>
      <c r="AMK2"/>
    </row>
    <row r="3" spans="1:1025" ht="15" customHeight="1" x14ac:dyDescent="0.2">
      <c r="A3" s="325" t="s">
        <v>139</v>
      </c>
      <c r="B3" s="326" t="s">
        <v>140</v>
      </c>
      <c r="C3" s="479">
        <v>0.31</v>
      </c>
      <c r="D3" s="327"/>
      <c r="E3" s="327"/>
      <c r="F3" s="41">
        <f t="shared" ref="F3:F36" si="0">(D3+E3)/2</f>
        <v>0</v>
      </c>
      <c r="G3" s="42">
        <f>C3*F3</f>
        <v>0</v>
      </c>
      <c r="H3" s="43" t="s">
        <v>141</v>
      </c>
      <c r="I3"/>
      <c r="J3" s="38" t="s">
        <v>142</v>
      </c>
      <c r="K3" s="38"/>
      <c r="L3" s="38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J3"/>
      <c r="AMK3"/>
    </row>
    <row r="4" spans="1:1025" ht="15" customHeight="1" x14ac:dyDescent="0.2">
      <c r="A4" s="325" t="s">
        <v>143</v>
      </c>
      <c r="B4" s="326" t="s">
        <v>140</v>
      </c>
      <c r="C4" s="479">
        <v>4.74</v>
      </c>
      <c r="D4" s="327"/>
      <c r="E4" s="327"/>
      <c r="F4" s="41">
        <f t="shared" si="0"/>
        <v>0</v>
      </c>
      <c r="G4" s="42">
        <f t="shared" ref="G4:G36" si="1">C4*F4</f>
        <v>0</v>
      </c>
      <c r="H4" s="45" t="s">
        <v>144</v>
      </c>
      <c r="I4"/>
      <c r="J4" s="38" t="s">
        <v>145</v>
      </c>
      <c r="K4" s="38"/>
      <c r="L4" s="38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J4"/>
      <c r="AMK4"/>
    </row>
    <row r="5" spans="1:1025" ht="15" customHeight="1" x14ac:dyDescent="0.2">
      <c r="A5" s="325" t="s">
        <v>146</v>
      </c>
      <c r="B5" s="326" t="s">
        <v>147</v>
      </c>
      <c r="C5" s="479">
        <v>2.02</v>
      </c>
      <c r="D5" s="327"/>
      <c r="E5" s="327"/>
      <c r="F5" s="41">
        <f t="shared" si="0"/>
        <v>0</v>
      </c>
      <c r="G5" s="42">
        <f t="shared" si="1"/>
        <v>0</v>
      </c>
      <c r="H5" s="45" t="s">
        <v>148</v>
      </c>
      <c r="I5"/>
      <c r="J5" s="38" t="s">
        <v>149</v>
      </c>
      <c r="K5" s="38"/>
      <c r="L5" s="38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J5"/>
      <c r="AMK5"/>
    </row>
    <row r="6" spans="1:1025" ht="15" customHeight="1" thickBot="1" x14ac:dyDescent="0.25">
      <c r="A6" s="325" t="s">
        <v>150</v>
      </c>
      <c r="B6" s="326" t="s">
        <v>140</v>
      </c>
      <c r="C6" s="479">
        <v>2.52</v>
      </c>
      <c r="D6" s="327"/>
      <c r="E6" s="327"/>
      <c r="F6" s="41">
        <f t="shared" si="0"/>
        <v>0</v>
      </c>
      <c r="G6" s="42">
        <f t="shared" si="1"/>
        <v>0</v>
      </c>
      <c r="H6" s="45" t="s">
        <v>148</v>
      </c>
      <c r="I6"/>
      <c r="J6" s="47" t="s">
        <v>151</v>
      </c>
      <c r="K6" s="47"/>
      <c r="L6" s="47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J6"/>
      <c r="AMK6"/>
    </row>
    <row r="7" spans="1:1025" ht="15" customHeight="1" x14ac:dyDescent="0.2">
      <c r="A7" s="325" t="s">
        <v>152</v>
      </c>
      <c r="B7" s="326" t="s">
        <v>153</v>
      </c>
      <c r="C7" s="479">
        <v>0.3</v>
      </c>
      <c r="D7" s="327"/>
      <c r="E7" s="327"/>
      <c r="F7" s="41">
        <f t="shared" si="0"/>
        <v>0</v>
      </c>
      <c r="G7" s="42">
        <f t="shared" si="1"/>
        <v>0</v>
      </c>
      <c r="H7" s="45" t="s">
        <v>154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J7"/>
      <c r="AMK7"/>
    </row>
    <row r="8" spans="1:1025" ht="15" customHeight="1" x14ac:dyDescent="0.2">
      <c r="A8" s="325" t="s">
        <v>155</v>
      </c>
      <c r="B8" s="326" t="s">
        <v>153</v>
      </c>
      <c r="C8" s="479">
        <v>1.35</v>
      </c>
      <c r="D8" s="327"/>
      <c r="E8" s="327"/>
      <c r="F8" s="41">
        <f t="shared" si="0"/>
        <v>0</v>
      </c>
      <c r="G8" s="42">
        <f t="shared" si="1"/>
        <v>0</v>
      </c>
      <c r="H8" s="45" t="s">
        <v>156</v>
      </c>
      <c r="I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J8"/>
      <c r="AMK8"/>
    </row>
    <row r="9" spans="1:1025" ht="15" customHeight="1" x14ac:dyDescent="0.2">
      <c r="A9" s="325" t="s">
        <v>157</v>
      </c>
      <c r="B9" s="326" t="s">
        <v>153</v>
      </c>
      <c r="C9" s="479">
        <v>0.2</v>
      </c>
      <c r="D9" s="327"/>
      <c r="E9" s="327"/>
      <c r="F9" s="41">
        <f t="shared" si="0"/>
        <v>0</v>
      </c>
      <c r="G9" s="42">
        <f t="shared" si="1"/>
        <v>0</v>
      </c>
      <c r="H9" s="45" t="s">
        <v>158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J9"/>
      <c r="AMK9"/>
    </row>
    <row r="10" spans="1:1025" ht="15" customHeight="1" x14ac:dyDescent="0.2">
      <c r="A10" s="325" t="s">
        <v>159</v>
      </c>
      <c r="B10" s="326" t="s">
        <v>153</v>
      </c>
      <c r="C10" s="479">
        <v>0.5</v>
      </c>
      <c r="D10" s="327"/>
      <c r="E10" s="327"/>
      <c r="F10" s="41">
        <f t="shared" si="0"/>
        <v>0</v>
      </c>
      <c r="G10" s="42">
        <f t="shared" si="1"/>
        <v>0</v>
      </c>
      <c r="H10" s="45" t="s">
        <v>160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J10"/>
      <c r="AMK10"/>
    </row>
    <row r="11" spans="1:1025" ht="15" customHeight="1" x14ac:dyDescent="0.2">
      <c r="A11" s="325" t="s">
        <v>161</v>
      </c>
      <c r="B11" s="326" t="s">
        <v>147</v>
      </c>
      <c r="C11" s="479">
        <v>1.43</v>
      </c>
      <c r="D11" s="327"/>
      <c r="E11" s="327"/>
      <c r="F11" s="41">
        <f t="shared" si="0"/>
        <v>0</v>
      </c>
      <c r="G11" s="42">
        <f t="shared" si="1"/>
        <v>0</v>
      </c>
      <c r="H11" s="45" t="s">
        <v>162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J11"/>
      <c r="AMK11"/>
    </row>
    <row r="12" spans="1:1025" ht="15" customHeight="1" x14ac:dyDescent="0.2">
      <c r="A12" s="325" t="s">
        <v>163</v>
      </c>
      <c r="B12" s="326" t="s">
        <v>164</v>
      </c>
      <c r="C12" s="479">
        <v>1.0900000000000001</v>
      </c>
      <c r="D12" s="327"/>
      <c r="E12" s="327"/>
      <c r="F12" s="41">
        <f t="shared" si="0"/>
        <v>0</v>
      </c>
      <c r="G12" s="42">
        <f t="shared" si="1"/>
        <v>0</v>
      </c>
      <c r="H12" s="45" t="s">
        <v>165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J12"/>
      <c r="AMK12"/>
    </row>
    <row r="13" spans="1:1025" ht="15" customHeight="1" x14ac:dyDescent="0.2">
      <c r="A13" s="325" t="s">
        <v>166</v>
      </c>
      <c r="B13" s="326" t="s">
        <v>164</v>
      </c>
      <c r="C13" s="479">
        <v>1.27</v>
      </c>
      <c r="D13" s="327"/>
      <c r="E13" s="327"/>
      <c r="F13" s="41">
        <f t="shared" si="0"/>
        <v>0</v>
      </c>
      <c r="G13" s="42">
        <f t="shared" si="1"/>
        <v>0</v>
      </c>
      <c r="H13" s="45" t="s">
        <v>167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J13"/>
      <c r="AMK13"/>
    </row>
    <row r="14" spans="1:1025" ht="15" customHeight="1" x14ac:dyDescent="0.2">
      <c r="A14" s="325" t="s">
        <v>168</v>
      </c>
      <c r="B14" s="326" t="s">
        <v>164</v>
      </c>
      <c r="C14" s="479">
        <v>2.2200000000000002</v>
      </c>
      <c r="D14" s="327"/>
      <c r="E14" s="327"/>
      <c r="F14" s="41">
        <f t="shared" si="0"/>
        <v>0</v>
      </c>
      <c r="G14" s="42">
        <f t="shared" si="1"/>
        <v>0</v>
      </c>
      <c r="H14" s="45" t="s">
        <v>156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J14"/>
      <c r="AMK14"/>
    </row>
    <row r="15" spans="1:1025" ht="15" customHeight="1" x14ac:dyDescent="0.2">
      <c r="A15" s="325" t="s">
        <v>169</v>
      </c>
      <c r="B15" s="326" t="s">
        <v>164</v>
      </c>
      <c r="C15" s="479">
        <v>2.41</v>
      </c>
      <c r="D15" s="327"/>
      <c r="E15" s="327"/>
      <c r="F15" s="41">
        <f t="shared" si="0"/>
        <v>0</v>
      </c>
      <c r="G15" s="42">
        <f t="shared" si="1"/>
        <v>0</v>
      </c>
      <c r="H15" s="45" t="s">
        <v>170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G15"/>
      <c r="AMH15"/>
      <c r="AMI15"/>
      <c r="AMJ15"/>
      <c r="AMK15"/>
    </row>
    <row r="16" spans="1:1025" ht="15" customHeight="1" x14ac:dyDescent="0.2">
      <c r="A16" s="325" t="s">
        <v>171</v>
      </c>
      <c r="B16" s="326" t="s">
        <v>164</v>
      </c>
      <c r="C16" s="479">
        <v>0.25</v>
      </c>
      <c r="D16" s="327"/>
      <c r="E16" s="327"/>
      <c r="F16" s="41">
        <f t="shared" si="0"/>
        <v>0</v>
      </c>
      <c r="G16" s="42">
        <f t="shared" si="1"/>
        <v>0</v>
      </c>
      <c r="H16" s="45" t="s">
        <v>172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G16"/>
      <c r="AMH16"/>
      <c r="AMI16"/>
      <c r="AMJ16"/>
      <c r="AMK16"/>
    </row>
    <row r="17" spans="1:1023" customFormat="1" ht="15" customHeight="1" x14ac:dyDescent="0.2">
      <c r="A17" s="325" t="s">
        <v>173</v>
      </c>
      <c r="B17" s="326" t="s">
        <v>174</v>
      </c>
      <c r="C17" s="479">
        <v>0.65</v>
      </c>
      <c r="D17" s="327"/>
      <c r="E17" s="327"/>
      <c r="F17" s="41">
        <f t="shared" si="0"/>
        <v>0</v>
      </c>
      <c r="G17" s="42">
        <f t="shared" si="1"/>
        <v>0</v>
      </c>
      <c r="H17" s="45" t="s">
        <v>162</v>
      </c>
      <c r="AMF17" s="30"/>
    </row>
    <row r="18" spans="1:1023" customFormat="1" ht="15" customHeight="1" x14ac:dyDescent="0.2">
      <c r="A18" s="325" t="s">
        <v>175</v>
      </c>
      <c r="B18" s="326" t="s">
        <v>147</v>
      </c>
      <c r="C18" s="479">
        <v>0.22</v>
      </c>
      <c r="D18" s="327"/>
      <c r="E18" s="327"/>
      <c r="F18" s="41">
        <f t="shared" si="0"/>
        <v>0</v>
      </c>
      <c r="G18" s="42">
        <f t="shared" si="1"/>
        <v>0</v>
      </c>
      <c r="H18" s="45" t="s">
        <v>176</v>
      </c>
      <c r="AMF18" s="30"/>
    </row>
    <row r="19" spans="1:1023" customFormat="1" ht="15" customHeight="1" x14ac:dyDescent="0.2">
      <c r="A19" s="325" t="s">
        <v>177</v>
      </c>
      <c r="B19" s="326" t="s">
        <v>178</v>
      </c>
      <c r="C19" s="479">
        <v>1.61</v>
      </c>
      <c r="D19" s="327"/>
      <c r="E19" s="327"/>
      <c r="F19" s="41">
        <f t="shared" si="0"/>
        <v>0</v>
      </c>
      <c r="G19" s="42">
        <f t="shared" si="1"/>
        <v>0</v>
      </c>
      <c r="H19" s="45" t="s">
        <v>179</v>
      </c>
      <c r="AMF19" s="30"/>
    </row>
    <row r="20" spans="1:1023" customFormat="1" ht="15" customHeight="1" x14ac:dyDescent="0.2">
      <c r="A20" s="325" t="s">
        <v>180</v>
      </c>
      <c r="B20" s="326" t="s">
        <v>147</v>
      </c>
      <c r="C20" s="479">
        <v>2.2000000000000002</v>
      </c>
      <c r="D20" s="327"/>
      <c r="E20" s="327"/>
      <c r="F20" s="41">
        <f t="shared" si="0"/>
        <v>0</v>
      </c>
      <c r="G20" s="42">
        <f t="shared" si="1"/>
        <v>0</v>
      </c>
      <c r="H20" s="45" t="s">
        <v>160</v>
      </c>
      <c r="AMF20" s="30"/>
    </row>
    <row r="21" spans="1:1023" customFormat="1" ht="15" customHeight="1" x14ac:dyDescent="0.2">
      <c r="A21" s="325" t="s">
        <v>181</v>
      </c>
      <c r="B21" s="326" t="s">
        <v>182</v>
      </c>
      <c r="C21" s="479">
        <v>0.3</v>
      </c>
      <c r="D21" s="327"/>
      <c r="E21" s="327"/>
      <c r="F21" s="41">
        <f t="shared" si="0"/>
        <v>0</v>
      </c>
      <c r="G21" s="42">
        <f t="shared" si="1"/>
        <v>0</v>
      </c>
      <c r="H21" s="45" t="s">
        <v>148</v>
      </c>
      <c r="AMF21" s="30"/>
    </row>
    <row r="22" spans="1:1023" customFormat="1" ht="15" customHeight="1" x14ac:dyDescent="0.2">
      <c r="A22" s="325" t="s">
        <v>183</v>
      </c>
      <c r="B22" s="326" t="s">
        <v>184</v>
      </c>
      <c r="C22" s="479">
        <v>2.2999999999999998</v>
      </c>
      <c r="D22" s="327"/>
      <c r="E22" s="327"/>
      <c r="F22" s="41">
        <f t="shared" si="0"/>
        <v>0</v>
      </c>
      <c r="G22" s="42">
        <f t="shared" si="1"/>
        <v>0</v>
      </c>
      <c r="H22" s="45" t="s">
        <v>160</v>
      </c>
      <c r="AMF22" s="30"/>
    </row>
    <row r="23" spans="1:1023" customFormat="1" ht="15" customHeight="1" x14ac:dyDescent="0.2">
      <c r="A23" s="325" t="s">
        <v>185</v>
      </c>
      <c r="B23" s="326" t="s">
        <v>164</v>
      </c>
      <c r="C23" s="479">
        <v>1.48</v>
      </c>
      <c r="D23" s="327"/>
      <c r="E23" s="327"/>
      <c r="F23" s="41">
        <f t="shared" si="0"/>
        <v>0</v>
      </c>
      <c r="G23" s="42">
        <f t="shared" si="1"/>
        <v>0</v>
      </c>
      <c r="H23" s="45" t="s">
        <v>162</v>
      </c>
      <c r="AMF23" s="30"/>
    </row>
    <row r="24" spans="1:1023" customFormat="1" ht="15" customHeight="1" x14ac:dyDescent="0.2">
      <c r="A24" s="325" t="s">
        <v>186</v>
      </c>
      <c r="B24" s="326" t="s">
        <v>164</v>
      </c>
      <c r="C24" s="479">
        <v>2.58</v>
      </c>
      <c r="D24" s="327"/>
      <c r="E24" s="327"/>
      <c r="F24" s="41">
        <f t="shared" si="0"/>
        <v>0</v>
      </c>
      <c r="G24" s="42">
        <f t="shared" si="1"/>
        <v>0</v>
      </c>
      <c r="H24" s="45" t="s">
        <v>160</v>
      </c>
      <c r="AMF24" s="30"/>
    </row>
    <row r="25" spans="1:1023" customFormat="1" ht="15" customHeight="1" x14ac:dyDescent="0.2">
      <c r="A25" s="325" t="s">
        <v>187</v>
      </c>
      <c r="B25" s="326" t="s">
        <v>188</v>
      </c>
      <c r="C25" s="479">
        <v>0.62</v>
      </c>
      <c r="D25" s="327"/>
      <c r="E25" s="327"/>
      <c r="F25" s="41">
        <f t="shared" si="0"/>
        <v>0</v>
      </c>
      <c r="G25" s="42">
        <f t="shared" si="1"/>
        <v>0</v>
      </c>
      <c r="H25" s="45" t="s">
        <v>162</v>
      </c>
      <c r="AMF25" s="30"/>
    </row>
    <row r="26" spans="1:1023" customFormat="1" ht="15" customHeight="1" x14ac:dyDescent="0.2">
      <c r="A26" s="325" t="s">
        <v>189</v>
      </c>
      <c r="B26" s="326" t="s">
        <v>190</v>
      </c>
      <c r="C26" s="479">
        <v>2.41</v>
      </c>
      <c r="D26" s="327"/>
      <c r="E26" s="327"/>
      <c r="F26" s="41">
        <f t="shared" si="0"/>
        <v>0</v>
      </c>
      <c r="G26" s="42">
        <f t="shared" si="1"/>
        <v>0</v>
      </c>
      <c r="H26" s="45" t="s">
        <v>162</v>
      </c>
      <c r="AMF26" s="30"/>
    </row>
    <row r="27" spans="1:1023" customFormat="1" ht="15" customHeight="1" x14ac:dyDescent="0.2">
      <c r="A27" s="325" t="s">
        <v>191</v>
      </c>
      <c r="B27" s="326" t="s">
        <v>192</v>
      </c>
      <c r="C27" s="479">
        <v>5.88</v>
      </c>
      <c r="D27" s="327"/>
      <c r="E27" s="327"/>
      <c r="F27" s="41">
        <f t="shared" si="0"/>
        <v>0</v>
      </c>
      <c r="G27" s="42">
        <f t="shared" si="1"/>
        <v>0</v>
      </c>
      <c r="H27" s="45" t="s">
        <v>162</v>
      </c>
      <c r="AMF27" s="30"/>
    </row>
    <row r="28" spans="1:1023" customFormat="1" ht="15" customHeight="1" x14ac:dyDescent="0.2">
      <c r="A28" s="325" t="s">
        <v>193</v>
      </c>
      <c r="B28" s="326" t="s">
        <v>194</v>
      </c>
      <c r="C28" s="479">
        <v>2.75</v>
      </c>
      <c r="D28" s="327"/>
      <c r="E28" s="327"/>
      <c r="F28" s="41">
        <f t="shared" si="0"/>
        <v>0</v>
      </c>
      <c r="G28" s="42">
        <f t="shared" si="1"/>
        <v>0</v>
      </c>
      <c r="H28" s="45" t="s">
        <v>162</v>
      </c>
      <c r="AMI28" s="30"/>
    </row>
    <row r="29" spans="1:1023" customFormat="1" ht="15" customHeight="1" x14ac:dyDescent="0.2">
      <c r="A29" s="325" t="s">
        <v>195</v>
      </c>
      <c r="B29" s="326" t="s">
        <v>153</v>
      </c>
      <c r="C29" s="479">
        <v>0.67</v>
      </c>
      <c r="D29" s="327"/>
      <c r="E29" s="327"/>
      <c r="F29" s="41">
        <f t="shared" si="0"/>
        <v>0</v>
      </c>
      <c r="G29" s="42">
        <f t="shared" si="1"/>
        <v>0</v>
      </c>
      <c r="H29" s="45" t="s">
        <v>160</v>
      </c>
      <c r="AMI29" s="30"/>
    </row>
    <row r="30" spans="1:1023" customFormat="1" ht="15" customHeight="1" x14ac:dyDescent="0.2">
      <c r="A30" s="325" t="s">
        <v>196</v>
      </c>
      <c r="B30" s="326" t="s">
        <v>164</v>
      </c>
      <c r="C30" s="479">
        <v>1.2</v>
      </c>
      <c r="D30" s="327"/>
      <c r="E30" s="327"/>
      <c r="F30" s="41">
        <f t="shared" si="0"/>
        <v>0</v>
      </c>
      <c r="G30" s="42">
        <f t="shared" si="1"/>
        <v>0</v>
      </c>
      <c r="H30" s="45" t="s">
        <v>160</v>
      </c>
      <c r="AMI30" s="30"/>
    </row>
    <row r="31" spans="1:1023" customFormat="1" ht="15" customHeight="1" x14ac:dyDescent="0.2">
      <c r="A31" s="325" t="s">
        <v>197</v>
      </c>
      <c r="B31" s="326" t="s">
        <v>198</v>
      </c>
      <c r="C31" s="479">
        <v>0.79</v>
      </c>
      <c r="D31" s="327"/>
      <c r="E31" s="327"/>
      <c r="F31" s="41">
        <f t="shared" si="0"/>
        <v>0</v>
      </c>
      <c r="G31" s="42">
        <f t="shared" si="1"/>
        <v>0</v>
      </c>
      <c r="H31" s="45" t="s">
        <v>160</v>
      </c>
      <c r="AMI31" s="30"/>
    </row>
    <row r="32" spans="1:1023" customFormat="1" ht="15" customHeight="1" x14ac:dyDescent="0.2">
      <c r="A32" s="325" t="s">
        <v>199</v>
      </c>
      <c r="B32" s="326" t="s">
        <v>153</v>
      </c>
      <c r="C32" s="479">
        <v>0.77</v>
      </c>
      <c r="D32" s="327"/>
      <c r="E32" s="327"/>
      <c r="F32" s="41">
        <f t="shared" si="0"/>
        <v>0</v>
      </c>
      <c r="G32" s="42">
        <f t="shared" si="1"/>
        <v>0</v>
      </c>
      <c r="H32" s="45" t="s">
        <v>162</v>
      </c>
      <c r="AMI32" s="30"/>
    </row>
    <row r="33" spans="1:1023" customFormat="1" ht="15" customHeight="1" x14ac:dyDescent="0.2">
      <c r="A33" s="325" t="s">
        <v>200</v>
      </c>
      <c r="B33" s="326" t="s">
        <v>164</v>
      </c>
      <c r="C33" s="479">
        <v>1.53</v>
      </c>
      <c r="D33" s="327"/>
      <c r="E33" s="327"/>
      <c r="F33" s="41">
        <f t="shared" si="0"/>
        <v>0</v>
      </c>
      <c r="G33" s="42">
        <f t="shared" si="1"/>
        <v>0</v>
      </c>
      <c r="H33" s="45" t="s">
        <v>201</v>
      </c>
      <c r="AMI33" s="30"/>
    </row>
    <row r="34" spans="1:1023" customFormat="1" ht="15" customHeight="1" x14ac:dyDescent="0.2">
      <c r="A34" s="325" t="s">
        <v>202</v>
      </c>
      <c r="B34" s="326" t="s">
        <v>203</v>
      </c>
      <c r="C34" s="479">
        <v>0.68</v>
      </c>
      <c r="D34" s="327"/>
      <c r="E34" s="327"/>
      <c r="F34" s="41">
        <f t="shared" si="0"/>
        <v>0</v>
      </c>
      <c r="G34" s="42">
        <f t="shared" si="1"/>
        <v>0</v>
      </c>
      <c r="H34" s="45" t="s">
        <v>204</v>
      </c>
      <c r="AMI34" s="30"/>
    </row>
    <row r="35" spans="1:1023" customFormat="1" ht="15" customHeight="1" x14ac:dyDescent="0.2">
      <c r="A35" s="325" t="s">
        <v>205</v>
      </c>
      <c r="B35" s="326" t="s">
        <v>203</v>
      </c>
      <c r="C35" s="479">
        <v>0.65</v>
      </c>
      <c r="D35" s="327"/>
      <c r="E35" s="327"/>
      <c r="F35" s="41">
        <f t="shared" si="0"/>
        <v>0</v>
      </c>
      <c r="G35" s="42">
        <f t="shared" si="1"/>
        <v>0</v>
      </c>
      <c r="H35" s="45" t="s">
        <v>204</v>
      </c>
      <c r="AMI35" s="30"/>
    </row>
    <row r="36" spans="1:1023" customFormat="1" ht="15" customHeight="1" x14ac:dyDescent="0.2">
      <c r="A36" s="484" t="s">
        <v>206</v>
      </c>
      <c r="B36" s="485" t="s">
        <v>203</v>
      </c>
      <c r="C36" s="486">
        <v>1.02</v>
      </c>
      <c r="D36" s="487"/>
      <c r="E36" s="487"/>
      <c r="F36" s="50">
        <f t="shared" si="0"/>
        <v>0</v>
      </c>
      <c r="G36" s="488">
        <f t="shared" si="1"/>
        <v>0</v>
      </c>
      <c r="H36" s="51" t="s">
        <v>160</v>
      </c>
      <c r="AMI36" s="30"/>
    </row>
    <row r="37" spans="1:1023" customFormat="1" ht="20.25" customHeight="1" x14ac:dyDescent="0.2">
      <c r="A37" s="480" t="s">
        <v>207</v>
      </c>
      <c r="B37" s="481"/>
      <c r="C37" s="481"/>
      <c r="D37" s="481"/>
      <c r="E37" s="481"/>
      <c r="F37" s="481"/>
      <c r="G37" s="482">
        <f>SUM(G3:G36)</f>
        <v>0</v>
      </c>
      <c r="H37" s="483"/>
      <c r="AMI37" s="30"/>
    </row>
    <row r="38" spans="1:1023" customFormat="1" ht="45.75" customHeight="1" x14ac:dyDescent="0.2">
      <c r="A38" s="33" t="s">
        <v>130</v>
      </c>
      <c r="B38" s="34" t="s">
        <v>131</v>
      </c>
      <c r="C38" s="34" t="s">
        <v>208</v>
      </c>
      <c r="D38" s="34" t="s">
        <v>133</v>
      </c>
      <c r="E38" s="34" t="s">
        <v>134</v>
      </c>
      <c r="F38" s="35" t="s">
        <v>135</v>
      </c>
      <c r="G38" s="52" t="s">
        <v>209</v>
      </c>
      <c r="H38" s="53" t="s">
        <v>137</v>
      </c>
      <c r="AMI38" s="30"/>
    </row>
    <row r="39" spans="1:1023" customFormat="1" ht="15" customHeight="1" x14ac:dyDescent="0.2">
      <c r="A39" s="39" t="s">
        <v>210</v>
      </c>
      <c r="B39" s="40" t="s">
        <v>164</v>
      </c>
      <c r="C39" s="479">
        <v>3.19</v>
      </c>
      <c r="D39" s="331"/>
      <c r="E39" s="331"/>
      <c r="F39" s="41">
        <f t="shared" ref="F39:F57" si="2">(D39+E39)/2</f>
        <v>0</v>
      </c>
      <c r="G39" s="54">
        <f>C39*F39/12</f>
        <v>0</v>
      </c>
      <c r="H39" s="332" t="s">
        <v>160</v>
      </c>
      <c r="AMI39" s="30"/>
    </row>
    <row r="40" spans="1:1023" customFormat="1" ht="15" customHeight="1" x14ac:dyDescent="0.2">
      <c r="A40" s="44" t="s">
        <v>211</v>
      </c>
      <c r="B40" s="46" t="s">
        <v>164</v>
      </c>
      <c r="C40" s="479">
        <v>0.75</v>
      </c>
      <c r="D40" s="331"/>
      <c r="E40" s="331"/>
      <c r="F40" s="41">
        <f t="shared" si="2"/>
        <v>0</v>
      </c>
      <c r="G40" s="54">
        <f t="shared" ref="G40:G57" si="3">C40*F40/12</f>
        <v>0</v>
      </c>
      <c r="H40" s="333" t="s">
        <v>162</v>
      </c>
      <c r="AMI40" s="30"/>
    </row>
    <row r="41" spans="1:1023" customFormat="1" ht="15" customHeight="1" x14ac:dyDescent="0.2">
      <c r="A41" s="44" t="s">
        <v>212</v>
      </c>
      <c r="B41" s="46" t="s">
        <v>164</v>
      </c>
      <c r="C41" s="479">
        <v>0.75</v>
      </c>
      <c r="D41" s="331"/>
      <c r="E41" s="331"/>
      <c r="F41" s="41">
        <f t="shared" si="2"/>
        <v>0</v>
      </c>
      <c r="G41" s="54">
        <f t="shared" si="3"/>
        <v>0</v>
      </c>
      <c r="H41" s="333" t="s">
        <v>162</v>
      </c>
      <c r="AMI41" s="30"/>
    </row>
    <row r="42" spans="1:1023" customFormat="1" ht="15" customHeight="1" x14ac:dyDescent="0.2">
      <c r="A42" s="44" t="s">
        <v>213</v>
      </c>
      <c r="B42" s="46" t="s">
        <v>164</v>
      </c>
      <c r="C42" s="479">
        <v>1.94</v>
      </c>
      <c r="D42" s="331"/>
      <c r="E42" s="331"/>
      <c r="F42" s="41">
        <f t="shared" si="2"/>
        <v>0</v>
      </c>
      <c r="G42" s="54">
        <f t="shared" si="3"/>
        <v>0</v>
      </c>
      <c r="H42" s="333" t="s">
        <v>160</v>
      </c>
      <c r="AMI42" s="30"/>
    </row>
    <row r="43" spans="1:1023" customFormat="1" ht="15" customHeight="1" x14ac:dyDescent="0.2">
      <c r="A43" s="44" t="s">
        <v>214</v>
      </c>
      <c r="B43" s="46" t="s">
        <v>164</v>
      </c>
      <c r="C43" s="479">
        <v>2.85</v>
      </c>
      <c r="D43" s="331"/>
      <c r="E43" s="331"/>
      <c r="F43" s="41">
        <f t="shared" si="2"/>
        <v>0</v>
      </c>
      <c r="G43" s="54">
        <f t="shared" si="3"/>
        <v>0</v>
      </c>
      <c r="H43" s="333" t="s">
        <v>162</v>
      </c>
      <c r="AMI43" s="30"/>
    </row>
    <row r="44" spans="1:1023" customFormat="1" ht="15" customHeight="1" x14ac:dyDescent="0.2">
      <c r="A44" s="44" t="s">
        <v>215</v>
      </c>
      <c r="B44" s="46" t="s">
        <v>164</v>
      </c>
      <c r="C44" s="479">
        <v>0.64</v>
      </c>
      <c r="D44" s="331"/>
      <c r="E44" s="331"/>
      <c r="F44" s="41">
        <f t="shared" si="2"/>
        <v>0</v>
      </c>
      <c r="G44" s="54">
        <f t="shared" si="3"/>
        <v>0</v>
      </c>
      <c r="H44" s="333" t="s">
        <v>160</v>
      </c>
      <c r="AMI44" s="30"/>
    </row>
    <row r="45" spans="1:1023" customFormat="1" ht="15" customHeight="1" x14ac:dyDescent="0.2">
      <c r="A45" s="44" t="s">
        <v>216</v>
      </c>
      <c r="B45" s="46" t="s">
        <v>164</v>
      </c>
      <c r="C45" s="479">
        <v>1.6</v>
      </c>
      <c r="D45" s="331"/>
      <c r="E45" s="331"/>
      <c r="F45" s="41">
        <f t="shared" si="2"/>
        <v>0</v>
      </c>
      <c r="G45" s="54">
        <f t="shared" si="3"/>
        <v>0</v>
      </c>
      <c r="H45" s="333" t="s">
        <v>201</v>
      </c>
      <c r="AMI45" s="30"/>
    </row>
    <row r="46" spans="1:1023" customFormat="1" ht="15" customHeight="1" x14ac:dyDescent="0.2">
      <c r="A46" s="44" t="s">
        <v>217</v>
      </c>
      <c r="B46" s="46" t="s">
        <v>164</v>
      </c>
      <c r="C46" s="479">
        <v>0.92</v>
      </c>
      <c r="D46" s="331"/>
      <c r="E46" s="331"/>
      <c r="F46" s="41">
        <f t="shared" si="2"/>
        <v>0</v>
      </c>
      <c r="G46" s="54">
        <f t="shared" si="3"/>
        <v>0</v>
      </c>
      <c r="H46" s="333" t="s">
        <v>160</v>
      </c>
      <c r="AMI46" s="30"/>
    </row>
    <row r="47" spans="1:1023" customFormat="1" ht="15" customHeight="1" x14ac:dyDescent="0.2">
      <c r="A47" s="44" t="s">
        <v>218</v>
      </c>
      <c r="B47" s="46" t="s">
        <v>164</v>
      </c>
      <c r="C47" s="479">
        <v>1</v>
      </c>
      <c r="D47" s="331"/>
      <c r="E47" s="331"/>
      <c r="F47" s="41">
        <f t="shared" si="2"/>
        <v>0</v>
      </c>
      <c r="G47" s="54">
        <f t="shared" si="3"/>
        <v>0</v>
      </c>
      <c r="H47" s="333" t="s">
        <v>204</v>
      </c>
      <c r="AMI47" s="30"/>
    </row>
    <row r="48" spans="1:1023" customFormat="1" ht="15" customHeight="1" x14ac:dyDescent="0.2">
      <c r="A48" s="44" t="s">
        <v>219</v>
      </c>
      <c r="B48" s="46" t="s">
        <v>164</v>
      </c>
      <c r="C48" s="479">
        <v>2.6</v>
      </c>
      <c r="D48" s="331"/>
      <c r="E48" s="331"/>
      <c r="F48" s="41">
        <f t="shared" si="2"/>
        <v>0</v>
      </c>
      <c r="G48" s="54">
        <f t="shared" si="3"/>
        <v>0</v>
      </c>
      <c r="H48" s="333" t="s">
        <v>204</v>
      </c>
      <c r="AMI48" s="30"/>
    </row>
    <row r="49" spans="1:1023" customFormat="1" ht="15" customHeight="1" x14ac:dyDescent="0.25">
      <c r="A49" s="329" t="s">
        <v>220</v>
      </c>
      <c r="B49" s="330" t="s">
        <v>164</v>
      </c>
      <c r="C49" s="479">
        <v>4</v>
      </c>
      <c r="D49" s="331"/>
      <c r="E49" s="331"/>
      <c r="F49" s="41">
        <f t="shared" si="2"/>
        <v>0</v>
      </c>
      <c r="G49" s="54">
        <f t="shared" si="3"/>
        <v>0</v>
      </c>
      <c r="H49" s="334" t="s">
        <v>204</v>
      </c>
      <c r="AMI49" s="30"/>
    </row>
    <row r="50" spans="1:1023" customFormat="1" ht="15" customHeight="1" x14ac:dyDescent="0.2">
      <c r="A50" s="44" t="s">
        <v>221</v>
      </c>
      <c r="B50" s="46" t="s">
        <v>164</v>
      </c>
      <c r="C50" s="479">
        <v>1</v>
      </c>
      <c r="D50" s="331"/>
      <c r="E50" s="331"/>
      <c r="F50" s="41">
        <f t="shared" si="2"/>
        <v>0</v>
      </c>
      <c r="G50" s="54">
        <f t="shared" si="3"/>
        <v>0</v>
      </c>
      <c r="H50" s="333" t="s">
        <v>160</v>
      </c>
      <c r="AMI50" s="30"/>
    </row>
    <row r="51" spans="1:1023" customFormat="1" ht="15" customHeight="1" x14ac:dyDescent="0.2">
      <c r="A51" s="44" t="s">
        <v>222</v>
      </c>
      <c r="B51" s="46" t="s">
        <v>164</v>
      </c>
      <c r="C51" s="479">
        <v>1.24</v>
      </c>
      <c r="D51" s="331"/>
      <c r="E51" s="331"/>
      <c r="F51" s="41">
        <f t="shared" si="2"/>
        <v>0</v>
      </c>
      <c r="G51" s="54">
        <f t="shared" si="3"/>
        <v>0</v>
      </c>
      <c r="H51" s="333" t="s">
        <v>179</v>
      </c>
      <c r="AMI51" s="30"/>
    </row>
    <row r="52" spans="1:1023" customFormat="1" ht="15" customHeight="1" x14ac:dyDescent="0.2">
      <c r="A52" s="44" t="s">
        <v>223</v>
      </c>
      <c r="B52" s="46" t="s">
        <v>164</v>
      </c>
      <c r="C52" s="479">
        <v>3.85</v>
      </c>
      <c r="D52" s="331"/>
      <c r="E52" s="331"/>
      <c r="F52" s="41">
        <f t="shared" si="2"/>
        <v>0</v>
      </c>
      <c r="G52" s="54">
        <f t="shared" si="3"/>
        <v>0</v>
      </c>
      <c r="H52" s="333" t="s">
        <v>204</v>
      </c>
      <c r="AMI52" s="30"/>
    </row>
    <row r="53" spans="1:1023" customFormat="1" ht="15" customHeight="1" x14ac:dyDescent="0.2">
      <c r="A53" s="44" t="s">
        <v>224</v>
      </c>
      <c r="B53" s="46" t="s">
        <v>225</v>
      </c>
      <c r="C53" s="479">
        <v>0.64</v>
      </c>
      <c r="D53" s="331"/>
      <c r="E53" s="331"/>
      <c r="F53" s="41">
        <f t="shared" si="2"/>
        <v>0</v>
      </c>
      <c r="G53" s="54">
        <f t="shared" si="3"/>
        <v>0</v>
      </c>
      <c r="H53" s="333" t="s">
        <v>160</v>
      </c>
      <c r="AMI53" s="30"/>
    </row>
    <row r="54" spans="1:1023" customFormat="1" ht="15" customHeight="1" x14ac:dyDescent="0.2">
      <c r="A54" s="44" t="s">
        <v>226</v>
      </c>
      <c r="B54" s="46" t="s">
        <v>164</v>
      </c>
      <c r="C54" s="479">
        <v>1.28</v>
      </c>
      <c r="D54" s="331"/>
      <c r="E54" s="331"/>
      <c r="F54" s="41">
        <f t="shared" si="2"/>
        <v>0</v>
      </c>
      <c r="G54" s="54">
        <f t="shared" si="3"/>
        <v>0</v>
      </c>
      <c r="H54" s="333" t="s">
        <v>227</v>
      </c>
      <c r="AMI54" s="30"/>
    </row>
    <row r="55" spans="1:1023" customFormat="1" ht="15" customHeight="1" x14ac:dyDescent="0.2">
      <c r="A55" s="44" t="s">
        <v>228</v>
      </c>
      <c r="B55" s="46" t="s">
        <v>164</v>
      </c>
      <c r="C55" s="479">
        <v>0.99</v>
      </c>
      <c r="D55" s="331"/>
      <c r="E55" s="331"/>
      <c r="F55" s="41">
        <f t="shared" si="2"/>
        <v>0</v>
      </c>
      <c r="G55" s="54">
        <f t="shared" si="3"/>
        <v>0</v>
      </c>
      <c r="H55" s="333" t="s">
        <v>229</v>
      </c>
      <c r="AMI55" s="30"/>
    </row>
    <row r="56" spans="1:1023" customFormat="1" ht="15" customHeight="1" x14ac:dyDescent="0.2">
      <c r="A56" s="44" t="s">
        <v>230</v>
      </c>
      <c r="B56" s="46" t="s">
        <v>164</v>
      </c>
      <c r="C56" s="479">
        <v>3.9</v>
      </c>
      <c r="D56" s="331"/>
      <c r="E56" s="331"/>
      <c r="F56" s="41">
        <f t="shared" si="2"/>
        <v>0</v>
      </c>
      <c r="G56" s="54">
        <f t="shared" si="3"/>
        <v>0</v>
      </c>
      <c r="H56" s="333" t="s">
        <v>231</v>
      </c>
      <c r="AMI56" s="30"/>
    </row>
    <row r="57" spans="1:1023" customFormat="1" ht="15" customHeight="1" x14ac:dyDescent="0.2">
      <c r="A57" s="48" t="s">
        <v>232</v>
      </c>
      <c r="B57" s="49" t="s">
        <v>164</v>
      </c>
      <c r="C57" s="479">
        <v>1.48</v>
      </c>
      <c r="D57" s="335"/>
      <c r="E57" s="335"/>
      <c r="F57" s="50">
        <f t="shared" si="2"/>
        <v>0</v>
      </c>
      <c r="G57" s="55">
        <f t="shared" si="3"/>
        <v>0</v>
      </c>
      <c r="H57" s="489" t="s">
        <v>160</v>
      </c>
      <c r="AMG57" s="30"/>
    </row>
    <row r="58" spans="1:1023" customFormat="1" ht="20.25" customHeight="1" x14ac:dyDescent="0.2">
      <c r="A58" s="932" t="s">
        <v>233</v>
      </c>
      <c r="B58" s="933"/>
      <c r="C58" s="933"/>
      <c r="D58" s="933"/>
      <c r="E58" s="933"/>
      <c r="F58" s="933"/>
      <c r="G58" s="492">
        <f>SUM(G39:G57)</f>
        <v>0</v>
      </c>
      <c r="H58" s="493"/>
      <c r="AMH58" s="30"/>
    </row>
    <row r="59" spans="1:1023" customFormat="1" ht="20.25" customHeight="1" x14ac:dyDescent="0.2">
      <c r="A59" s="932" t="s">
        <v>234</v>
      </c>
      <c r="B59" s="933"/>
      <c r="C59" s="933"/>
      <c r="D59" s="933"/>
      <c r="E59" s="933"/>
      <c r="F59" s="933"/>
      <c r="G59" s="490">
        <f>G58+G37</f>
        <v>0</v>
      </c>
      <c r="H59" s="491"/>
      <c r="AMH59" s="30"/>
    </row>
    <row r="60" spans="1:1023" customFormat="1" x14ac:dyDescent="0.2">
      <c r="A60" s="56"/>
      <c r="B60" s="57"/>
      <c r="C60" s="57"/>
      <c r="D60" s="57"/>
      <c r="E60" s="57"/>
      <c r="F60" s="57"/>
      <c r="G60" s="57"/>
      <c r="H60" s="58"/>
      <c r="AMI60" s="30"/>
    </row>
    <row r="61" spans="1:1023" customFormat="1" ht="20.25" customHeight="1" x14ac:dyDescent="0.2">
      <c r="A61" s="955" t="s">
        <v>235</v>
      </c>
      <c r="B61" s="956"/>
      <c r="C61" s="956"/>
      <c r="D61" s="956"/>
      <c r="E61" s="956"/>
      <c r="F61" s="956"/>
      <c r="G61" s="956"/>
      <c r="H61" s="957"/>
      <c r="AMI61" s="30"/>
    </row>
    <row r="62" spans="1:1023" customFormat="1" ht="54.75" customHeight="1" x14ac:dyDescent="0.2">
      <c r="A62" s="59" t="s">
        <v>130</v>
      </c>
      <c r="B62" s="60" t="s">
        <v>131</v>
      </c>
      <c r="C62" s="60" t="s">
        <v>236</v>
      </c>
      <c r="D62" s="34" t="s">
        <v>237</v>
      </c>
      <c r="E62" s="34" t="s">
        <v>134</v>
      </c>
      <c r="F62" s="35" t="s">
        <v>135</v>
      </c>
      <c r="G62" s="36" t="s">
        <v>238</v>
      </c>
      <c r="H62" s="61" t="s">
        <v>137</v>
      </c>
      <c r="AMI62" s="30"/>
    </row>
    <row r="63" spans="1:1023" customFormat="1" ht="15" customHeight="1" x14ac:dyDescent="0.2">
      <c r="A63" s="329" t="s">
        <v>239</v>
      </c>
      <c r="B63" s="46" t="s">
        <v>140</v>
      </c>
      <c r="C63" s="62">
        <f>0.1*22</f>
        <v>2.2000000000000002</v>
      </c>
      <c r="D63" s="331"/>
      <c r="E63" s="331"/>
      <c r="F63" s="41">
        <f>(D63+E63)/2</f>
        <v>0</v>
      </c>
      <c r="G63" s="42">
        <f>C63*F63</f>
        <v>0</v>
      </c>
      <c r="H63" s="45" t="s">
        <v>240</v>
      </c>
      <c r="AMI63" s="30"/>
    </row>
    <row r="64" spans="1:1023" customFormat="1" ht="15" customHeight="1" x14ac:dyDescent="0.2">
      <c r="A64" s="328" t="s">
        <v>150</v>
      </c>
      <c r="B64" s="46" t="s">
        <v>140</v>
      </c>
      <c r="C64" s="62">
        <f>0.5*22</f>
        <v>11</v>
      </c>
      <c r="D64" s="331"/>
      <c r="E64" s="331"/>
      <c r="F64" s="41">
        <f>(D64+E64)/2</f>
        <v>0</v>
      </c>
      <c r="G64" s="42">
        <f>C64*F64</f>
        <v>0</v>
      </c>
      <c r="H64" s="45" t="s">
        <v>148</v>
      </c>
      <c r="AMI64" s="30"/>
    </row>
    <row r="65" spans="1:1025" ht="15" customHeight="1" x14ac:dyDescent="0.2">
      <c r="A65" s="336" t="s">
        <v>169</v>
      </c>
      <c r="B65" s="49" t="s">
        <v>164</v>
      </c>
      <c r="C65" s="62">
        <v>4</v>
      </c>
      <c r="D65" s="331"/>
      <c r="E65" s="331"/>
      <c r="F65" s="41">
        <f>(D65+E65)/2</f>
        <v>0</v>
      </c>
      <c r="G65" s="42">
        <f>C65*F65</f>
        <v>0</v>
      </c>
      <c r="H65" s="51" t="s">
        <v>241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J65"/>
      <c r="AMK65"/>
    </row>
    <row r="66" spans="1:1025" ht="15" customHeight="1" x14ac:dyDescent="0.2">
      <c r="A66" s="337" t="s">
        <v>242</v>
      </c>
      <c r="B66" s="46" t="s">
        <v>203</v>
      </c>
      <c r="C66" s="62">
        <f>4*2*22</f>
        <v>176</v>
      </c>
      <c r="D66" s="335"/>
      <c r="E66" s="335"/>
      <c r="F66" s="41">
        <f>(D66+E66)/2</f>
        <v>0</v>
      </c>
      <c r="G66" s="42">
        <f>C66*F66</f>
        <v>0</v>
      </c>
      <c r="H66" s="51" t="s">
        <v>243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J66"/>
      <c r="AMK66"/>
    </row>
    <row r="67" spans="1:1025" ht="35.25" customHeight="1" x14ac:dyDescent="0.2">
      <c r="A67" s="59" t="s">
        <v>130</v>
      </c>
      <c r="B67" s="60" t="s">
        <v>131</v>
      </c>
      <c r="C67" s="60" t="s">
        <v>244</v>
      </c>
      <c r="D67" s="60" t="s">
        <v>237</v>
      </c>
      <c r="E67" s="60" t="s">
        <v>134</v>
      </c>
      <c r="F67" s="63" t="s">
        <v>135</v>
      </c>
      <c r="G67" s="36" t="s">
        <v>245</v>
      </c>
      <c r="H67" s="61" t="s">
        <v>137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J67"/>
      <c r="AMK67"/>
    </row>
    <row r="68" spans="1:1025" ht="15" customHeight="1" x14ac:dyDescent="0.2">
      <c r="A68" s="39" t="s">
        <v>246</v>
      </c>
      <c r="B68" s="40" t="s">
        <v>164</v>
      </c>
      <c r="C68" s="62">
        <f>2*4</f>
        <v>8</v>
      </c>
      <c r="D68" s="331"/>
      <c r="E68" s="331"/>
      <c r="F68" s="41">
        <f>(D68+E68)/2</f>
        <v>0</v>
      </c>
      <c r="G68" s="55">
        <f>C68*F68/12</f>
        <v>0</v>
      </c>
      <c r="H68" s="715" t="s">
        <v>243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J68"/>
      <c r="AMK68"/>
    </row>
    <row r="69" spans="1:1025" ht="20.25" customHeight="1" x14ac:dyDescent="0.2">
      <c r="A69" s="932" t="s">
        <v>247</v>
      </c>
      <c r="B69" s="933"/>
      <c r="C69" s="933"/>
      <c r="D69" s="933"/>
      <c r="E69" s="933"/>
      <c r="F69" s="934"/>
      <c r="G69" s="714">
        <f>G63+G64+G65+G66+G68</f>
        <v>0</v>
      </c>
      <c r="H69" s="713"/>
      <c r="I69"/>
      <c r="J69"/>
      <c r="K69" s="892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J69"/>
      <c r="AMK69"/>
    </row>
    <row r="70" spans="1:1025" x14ac:dyDescent="0.2">
      <c r="A70" s="56"/>
      <c r="B70" s="57"/>
      <c r="C70" s="57"/>
      <c r="D70" s="57"/>
      <c r="E70" s="57"/>
      <c r="F70" s="57"/>
      <c r="G70" s="57"/>
      <c r="H70" s="57"/>
      <c r="I70" s="57"/>
      <c r="J70" s="889"/>
      <c r="K70" s="892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5" x14ac:dyDescent="0.2">
      <c r="A71" s="57" t="s">
        <v>248</v>
      </c>
      <c r="B71" s="57"/>
      <c r="C71" s="57"/>
      <c r="D71" s="57"/>
      <c r="E71" s="64"/>
      <c r="F71" s="57"/>
      <c r="G71" s="57"/>
      <c r="H71" s="58"/>
      <c r="I71" s="58"/>
      <c r="J71" s="889"/>
      <c r="K71" s="892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5" x14ac:dyDescent="0.2">
      <c r="A72" s="57"/>
      <c r="B72" s="57"/>
      <c r="C72" s="57"/>
      <c r="D72" s="57"/>
      <c r="E72" s="64"/>
      <c r="F72" s="57"/>
      <c r="G72" s="64"/>
      <c r="H72" s="58"/>
      <c r="I72" s="58"/>
      <c r="J72" s="889"/>
      <c r="K72" s="89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5" x14ac:dyDescent="0.2">
      <c r="A73" s="57" t="s">
        <v>249</v>
      </c>
      <c r="B73" s="57"/>
      <c r="C73" s="57"/>
      <c r="D73" s="57"/>
      <c r="E73" s="57"/>
      <c r="F73" s="57"/>
      <c r="G73" s="57"/>
      <c r="H73" s="57"/>
      <c r="I73" s="57"/>
      <c r="J73" s="889"/>
      <c r="K73" s="892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5" x14ac:dyDescent="0.2">
      <c r="A74" s="57" t="s">
        <v>250</v>
      </c>
      <c r="B74" s="57"/>
      <c r="C74" s="57"/>
      <c r="D74" s="57"/>
      <c r="E74" s="57"/>
      <c r="F74" s="57"/>
      <c r="G74" s="57"/>
      <c r="H74" s="64"/>
      <c r="I74" s="64"/>
      <c r="J74" s="889"/>
      <c r="K74" s="892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5" x14ac:dyDescent="0.2">
      <c r="A75" s="57" t="s">
        <v>251</v>
      </c>
      <c r="B75" s="57"/>
      <c r="C75" s="57"/>
      <c r="D75" s="57"/>
      <c r="E75" s="57"/>
      <c r="F75" s="57"/>
      <c r="G75" s="57"/>
      <c r="H75" s="65"/>
      <c r="I75" s="65"/>
      <c r="J75" s="889"/>
      <c r="K75" s="892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5" x14ac:dyDescent="0.2">
      <c r="A76" s="57" t="s">
        <v>252</v>
      </c>
      <c r="B76" s="57"/>
      <c r="C76" s="57"/>
      <c r="D76" s="57"/>
      <c r="E76" s="57"/>
      <c r="F76" s="57"/>
      <c r="G76" s="57"/>
      <c r="H76" s="64"/>
      <c r="I76" s="64"/>
      <c r="J76" s="889"/>
      <c r="K76" s="892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5" x14ac:dyDescent="0.2">
      <c r="A77" s="57" t="s">
        <v>253</v>
      </c>
      <c r="B77" s="57"/>
      <c r="C77" s="57"/>
      <c r="D77" s="57"/>
      <c r="E77" s="57"/>
      <c r="F77" s="57"/>
      <c r="G77" s="57"/>
      <c r="H77" s="57"/>
      <c r="I77" s="57"/>
      <c r="J77" s="889"/>
      <c r="K77" s="892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5" x14ac:dyDescent="0.2">
      <c r="A78" s="57" t="s">
        <v>254</v>
      </c>
      <c r="B78" s="57"/>
      <c r="C78" s="57"/>
      <c r="D78" s="57"/>
      <c r="E78" s="57"/>
      <c r="F78" s="57"/>
      <c r="G78" s="57"/>
      <c r="H78" s="57"/>
      <c r="I78" s="57"/>
      <c r="J78" s="889"/>
      <c r="K78" s="892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5" x14ac:dyDescent="0.2">
      <c r="A79" s="57" t="s">
        <v>255</v>
      </c>
      <c r="B79" s="57"/>
      <c r="C79" s="57"/>
      <c r="D79" s="57"/>
      <c r="E79" s="57"/>
      <c r="F79" s="57"/>
      <c r="G79" s="57"/>
      <c r="H79" s="57"/>
      <c r="I79" s="57"/>
      <c r="J79" s="889"/>
      <c r="K79" s="892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5" x14ac:dyDescent="0.2">
      <c r="A80" s="57" t="s">
        <v>256</v>
      </c>
      <c r="B80" s="57"/>
      <c r="C80" s="57"/>
      <c r="D80" s="57"/>
      <c r="E80" s="57"/>
      <c r="F80" s="57"/>
      <c r="G80" s="57"/>
      <c r="H80" s="57"/>
      <c r="I80" s="57"/>
      <c r="J80" s="889"/>
      <c r="K80" s="892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6" x14ac:dyDescent="0.2">
      <c r="A81" s="57" t="s">
        <v>257</v>
      </c>
      <c r="B81" s="57"/>
      <c r="C81" s="57"/>
      <c r="D81" s="57"/>
      <c r="E81" s="57"/>
      <c r="F81" s="57"/>
      <c r="G81" s="57"/>
      <c r="H81" s="57"/>
      <c r="I81" s="57"/>
      <c r="J81" s="889"/>
      <c r="K81" s="892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6" x14ac:dyDescent="0.2">
      <c r="A82" s="57" t="s">
        <v>258</v>
      </c>
      <c r="B82" s="57"/>
      <c r="C82" s="57"/>
      <c r="D82" s="57"/>
      <c r="E82" s="57"/>
      <c r="F82" s="57"/>
      <c r="G82" s="57"/>
      <c r="H82" s="57"/>
      <c r="I82" s="57"/>
      <c r="J82" s="889"/>
      <c r="K82" s="89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6" x14ac:dyDescent="0.2">
      <c r="A83" s="56"/>
      <c r="B83" s="57"/>
      <c r="C83" s="57"/>
      <c r="D83" s="57"/>
      <c r="E83" s="57"/>
      <c r="F83" s="57"/>
      <c r="G83" s="57"/>
      <c r="H83" s="57"/>
      <c r="I83" s="57"/>
      <c r="J83" s="889"/>
      <c r="K83" s="892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6" ht="15" thickBot="1" x14ac:dyDescent="0.25">
      <c r="A84" s="56"/>
      <c r="B84" s="57"/>
      <c r="C84" s="57"/>
      <c r="D84" s="57"/>
      <c r="E84" s="57"/>
      <c r="F84" s="57"/>
      <c r="G84" s="57"/>
      <c r="H84" s="57"/>
      <c r="I84" s="57"/>
      <c r="J84" s="889"/>
      <c r="K84" s="892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6" ht="20.25" customHeight="1" thickBot="1" x14ac:dyDescent="0.25">
      <c r="A85" s="958" t="s">
        <v>259</v>
      </c>
      <c r="B85" s="959"/>
      <c r="C85" s="959"/>
      <c r="D85" s="959"/>
      <c r="E85" s="959"/>
      <c r="F85" s="959"/>
      <c r="G85" s="959"/>
      <c r="H85" s="959"/>
      <c r="I85" s="959"/>
      <c r="J85" s="959"/>
      <c r="K85" s="960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6" s="69" customFormat="1" ht="36.75" thickBot="1" x14ac:dyDescent="0.25">
      <c r="A86" s="456" t="s">
        <v>130</v>
      </c>
      <c r="B86" s="66" t="s">
        <v>131</v>
      </c>
      <c r="C86" s="66" t="s">
        <v>260</v>
      </c>
      <c r="D86" s="66" t="s">
        <v>261</v>
      </c>
      <c r="E86" s="66" t="s">
        <v>262</v>
      </c>
      <c r="F86" s="66" t="s">
        <v>237</v>
      </c>
      <c r="G86" s="67" t="s">
        <v>134</v>
      </c>
      <c r="H86" s="67" t="s">
        <v>135</v>
      </c>
      <c r="I86" s="68" t="s">
        <v>263</v>
      </c>
      <c r="J86" s="68" t="s">
        <v>264</v>
      </c>
      <c r="K86" s="457" t="s">
        <v>265</v>
      </c>
    </row>
    <row r="87" spans="1:1026" ht="15" customHeight="1" x14ac:dyDescent="0.2">
      <c r="A87" s="328" t="s">
        <v>266</v>
      </c>
      <c r="B87" s="40" t="s">
        <v>164</v>
      </c>
      <c r="C87" s="40">
        <v>18</v>
      </c>
      <c r="D87" s="437">
        <v>12</v>
      </c>
      <c r="E87" s="438">
        <v>10</v>
      </c>
      <c r="F87" s="331"/>
      <c r="G87" s="338"/>
      <c r="H87" s="41">
        <f t="shared" ref="H87:H96" si="4">(F87+G87)/2</f>
        <v>0</v>
      </c>
      <c r="I87" s="42">
        <f>(C87*$H$87)</f>
        <v>0</v>
      </c>
      <c r="J87" s="42">
        <f>(D87*H87)</f>
        <v>0</v>
      </c>
      <c r="K87" s="42">
        <f>(E87*H87)</f>
        <v>0</v>
      </c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  <c r="AMK87"/>
      <c r="AML87" s="30"/>
    </row>
    <row r="88" spans="1:1026" ht="15" customHeight="1" x14ac:dyDescent="0.2">
      <c r="A88" s="328" t="s">
        <v>267</v>
      </c>
      <c r="B88" s="46" t="s">
        <v>164</v>
      </c>
      <c r="C88" s="40">
        <f>C87</f>
        <v>18</v>
      </c>
      <c r="D88" s="437">
        <v>12</v>
      </c>
      <c r="E88" s="438">
        <v>10</v>
      </c>
      <c r="F88" s="331"/>
      <c r="G88" s="338"/>
      <c r="H88" s="41">
        <f t="shared" si="4"/>
        <v>0</v>
      </c>
      <c r="I88" s="42">
        <f t="shared" ref="I88:I96" si="5">(C88*H88)</f>
        <v>0</v>
      </c>
      <c r="J88" s="42">
        <f t="shared" ref="J88:J96" si="6">(D88*H88)</f>
        <v>0</v>
      </c>
      <c r="K88" s="42">
        <f t="shared" ref="K88:K96" si="7">(E88*H88)</f>
        <v>0</v>
      </c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  <c r="AMK88"/>
      <c r="AML88" s="30"/>
    </row>
    <row r="89" spans="1:1026" ht="15" customHeight="1" x14ac:dyDescent="0.2">
      <c r="A89" s="328" t="s">
        <v>268</v>
      </c>
      <c r="B89" s="46" t="s">
        <v>164</v>
      </c>
      <c r="C89" s="40">
        <f t="shared" ref="C89:C94" si="8">C88</f>
        <v>18</v>
      </c>
      <c r="D89" s="437">
        <v>12</v>
      </c>
      <c r="E89" s="438">
        <v>10</v>
      </c>
      <c r="F89" s="331"/>
      <c r="G89" s="338"/>
      <c r="H89" s="41">
        <f t="shared" si="4"/>
        <v>0</v>
      </c>
      <c r="I89" s="42">
        <f t="shared" si="5"/>
        <v>0</v>
      </c>
      <c r="J89" s="42">
        <f t="shared" si="6"/>
        <v>0</v>
      </c>
      <c r="K89" s="42">
        <f t="shared" si="7"/>
        <v>0</v>
      </c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  <c r="AMK89"/>
      <c r="AML89" s="30"/>
    </row>
    <row r="90" spans="1:1026" ht="15" customHeight="1" x14ac:dyDescent="0.2">
      <c r="A90" s="328" t="s">
        <v>269</v>
      </c>
      <c r="B90" s="46" t="s">
        <v>164</v>
      </c>
      <c r="C90" s="40">
        <f t="shared" si="8"/>
        <v>18</v>
      </c>
      <c r="D90" s="437">
        <v>12</v>
      </c>
      <c r="E90" s="438">
        <v>10</v>
      </c>
      <c r="F90" s="331"/>
      <c r="G90" s="338"/>
      <c r="H90" s="41">
        <f t="shared" si="4"/>
        <v>0</v>
      </c>
      <c r="I90" s="42">
        <f t="shared" si="5"/>
        <v>0</v>
      </c>
      <c r="J90" s="42">
        <f t="shared" si="6"/>
        <v>0</v>
      </c>
      <c r="K90" s="42">
        <f t="shared" si="7"/>
        <v>0</v>
      </c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  <c r="AMK90"/>
      <c r="AML90" s="30"/>
    </row>
    <row r="91" spans="1:1026" ht="15" customHeight="1" x14ac:dyDescent="0.2">
      <c r="A91" s="328" t="s">
        <v>270</v>
      </c>
      <c r="B91" s="46" t="s">
        <v>164</v>
      </c>
      <c r="C91" s="40">
        <f t="shared" si="8"/>
        <v>18</v>
      </c>
      <c r="D91" s="437">
        <v>12</v>
      </c>
      <c r="E91" s="438">
        <v>10</v>
      </c>
      <c r="F91" s="331"/>
      <c r="G91" s="338"/>
      <c r="H91" s="41">
        <f t="shared" si="4"/>
        <v>0</v>
      </c>
      <c r="I91" s="42">
        <f t="shared" si="5"/>
        <v>0</v>
      </c>
      <c r="J91" s="42">
        <f t="shared" si="6"/>
        <v>0</v>
      </c>
      <c r="K91" s="42">
        <f t="shared" si="7"/>
        <v>0</v>
      </c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  <c r="AMK91"/>
      <c r="AML91" s="30"/>
    </row>
    <row r="92" spans="1:1026" ht="15" customHeight="1" x14ac:dyDescent="0.2">
      <c r="A92" s="328" t="s">
        <v>271</v>
      </c>
      <c r="B92" s="46" t="s">
        <v>164</v>
      </c>
      <c r="C92" s="40">
        <f t="shared" si="8"/>
        <v>18</v>
      </c>
      <c r="D92" s="437">
        <v>12</v>
      </c>
      <c r="E92" s="438">
        <v>10</v>
      </c>
      <c r="F92" s="331"/>
      <c r="G92" s="338"/>
      <c r="H92" s="41">
        <f t="shared" si="4"/>
        <v>0</v>
      </c>
      <c r="I92" s="42">
        <f t="shared" si="5"/>
        <v>0</v>
      </c>
      <c r="J92" s="42">
        <f t="shared" si="6"/>
        <v>0</v>
      </c>
      <c r="K92" s="42">
        <f t="shared" si="7"/>
        <v>0</v>
      </c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  <c r="AMK92"/>
      <c r="AML92" s="30"/>
    </row>
    <row r="93" spans="1:1026" ht="15" customHeight="1" x14ac:dyDescent="0.2">
      <c r="A93" s="328" t="s">
        <v>272</v>
      </c>
      <c r="B93" s="46" t="s">
        <v>164</v>
      </c>
      <c r="C93" s="40">
        <f t="shared" si="8"/>
        <v>18</v>
      </c>
      <c r="D93" s="437">
        <v>12</v>
      </c>
      <c r="E93" s="438">
        <v>10</v>
      </c>
      <c r="F93" s="331"/>
      <c r="G93" s="338"/>
      <c r="H93" s="41">
        <f t="shared" si="4"/>
        <v>0</v>
      </c>
      <c r="I93" s="42">
        <f t="shared" si="5"/>
        <v>0</v>
      </c>
      <c r="J93" s="42">
        <f t="shared" si="6"/>
        <v>0</v>
      </c>
      <c r="K93" s="42">
        <f t="shared" si="7"/>
        <v>0</v>
      </c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  <c r="AMK93"/>
      <c r="AML93" s="30"/>
    </row>
    <row r="94" spans="1:1026" ht="15" customHeight="1" x14ac:dyDescent="0.2">
      <c r="A94" s="328" t="s">
        <v>273</v>
      </c>
      <c r="B94" s="46" t="s">
        <v>164</v>
      </c>
      <c r="C94" s="40">
        <f t="shared" si="8"/>
        <v>18</v>
      </c>
      <c r="D94" s="437">
        <v>12</v>
      </c>
      <c r="E94" s="438">
        <v>10</v>
      </c>
      <c r="F94" s="331"/>
      <c r="G94" s="338"/>
      <c r="H94" s="41">
        <f t="shared" si="4"/>
        <v>0</v>
      </c>
      <c r="I94" s="42">
        <f t="shared" si="5"/>
        <v>0</v>
      </c>
      <c r="J94" s="42">
        <f t="shared" si="6"/>
        <v>0</v>
      </c>
      <c r="K94" s="42">
        <f t="shared" si="7"/>
        <v>0</v>
      </c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  <c r="AMK94"/>
      <c r="AML94" s="30"/>
    </row>
    <row r="95" spans="1:1026" ht="15" customHeight="1" x14ac:dyDescent="0.2">
      <c r="A95" s="328" t="s">
        <v>274</v>
      </c>
      <c r="B95" s="46" t="s">
        <v>164</v>
      </c>
      <c r="C95" s="40">
        <f>C94*2</f>
        <v>36</v>
      </c>
      <c r="D95" s="439">
        <f>D94*2</f>
        <v>24</v>
      </c>
      <c r="E95" s="440">
        <f>E94*2</f>
        <v>20</v>
      </c>
      <c r="F95" s="331"/>
      <c r="G95" s="338"/>
      <c r="H95" s="41">
        <f t="shared" si="4"/>
        <v>0</v>
      </c>
      <c r="I95" s="42">
        <f>(C95*H95)</f>
        <v>0</v>
      </c>
      <c r="J95" s="42">
        <f t="shared" si="6"/>
        <v>0</v>
      </c>
      <c r="K95" s="42">
        <f t="shared" si="7"/>
        <v>0</v>
      </c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  <c r="AMK95"/>
      <c r="AML95" s="30"/>
    </row>
    <row r="96" spans="1:1026" ht="15" customHeight="1" x14ac:dyDescent="0.2">
      <c r="A96" s="534" t="s">
        <v>275</v>
      </c>
      <c r="B96" s="46" t="s">
        <v>164</v>
      </c>
      <c r="C96" s="40">
        <v>10</v>
      </c>
      <c r="D96" s="439">
        <v>7</v>
      </c>
      <c r="E96" s="440">
        <v>7</v>
      </c>
      <c r="F96" s="339"/>
      <c r="G96" s="535"/>
      <c r="H96" s="41">
        <f t="shared" si="4"/>
        <v>0</v>
      </c>
      <c r="I96" s="42">
        <f t="shared" si="5"/>
        <v>0</v>
      </c>
      <c r="J96" s="42">
        <f t="shared" si="6"/>
        <v>0</v>
      </c>
      <c r="K96" s="42">
        <f t="shared" si="7"/>
        <v>0</v>
      </c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  <c r="AMK96"/>
      <c r="AML96" s="30"/>
    </row>
    <row r="97" spans="1:1025" ht="20.25" customHeight="1" x14ac:dyDescent="0.2">
      <c r="A97" s="961" t="s">
        <v>276</v>
      </c>
      <c r="B97" s="962"/>
      <c r="C97" s="962"/>
      <c r="D97" s="962"/>
      <c r="E97" s="962"/>
      <c r="F97" s="962"/>
      <c r="G97" s="963"/>
      <c r="H97" s="441"/>
      <c r="I97" s="441">
        <f>SUM(I87:I96)</f>
        <v>0</v>
      </c>
      <c r="J97" s="441">
        <f>SUM(J87:J96)</f>
        <v>0</v>
      </c>
      <c r="K97" s="441">
        <f>SUM(K87:K96)</f>
        <v>0</v>
      </c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5" ht="20.25" customHeight="1" x14ac:dyDescent="0.2">
      <c r="A98" s="930" t="s">
        <v>277</v>
      </c>
      <c r="B98" s="931"/>
      <c r="C98" s="931"/>
      <c r="D98" s="931"/>
      <c r="E98" s="931"/>
      <c r="F98" s="70">
        <v>0.1</v>
      </c>
      <c r="G98" s="71"/>
      <c r="H98" s="442"/>
      <c r="I98" s="442">
        <f>I97/120</f>
        <v>0</v>
      </c>
      <c r="J98" s="442">
        <f>J97/120</f>
        <v>0</v>
      </c>
      <c r="K98" s="442">
        <f>K97/120</f>
        <v>0</v>
      </c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5" ht="20.25" customHeight="1" x14ac:dyDescent="0.2">
      <c r="A99" s="935" t="s">
        <v>278</v>
      </c>
      <c r="B99" s="936"/>
      <c r="C99" s="936"/>
      <c r="D99" s="936"/>
      <c r="E99" s="936"/>
      <c r="F99" s="936"/>
      <c r="G99" s="936"/>
      <c r="H99" s="458"/>
      <c r="I99" s="458">
        <f>I98/'Prod. GEXFLO'!O23</f>
        <v>0</v>
      </c>
      <c r="J99" s="458">
        <f>J98/'Prod. GEXBLU'!O17</f>
        <v>0</v>
      </c>
      <c r="K99" s="458">
        <f>K98/'Prod. GEXJVL'!O15</f>
        <v>0</v>
      </c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5" x14ac:dyDescent="0.2">
      <c r="A100" s="56"/>
      <c r="B100" s="57"/>
      <c r="C100" s="57"/>
      <c r="D100" s="57"/>
      <c r="E100" s="57"/>
      <c r="F100" s="57"/>
      <c r="G100" s="64"/>
      <c r="H100" s="57"/>
      <c r="I100" s="57"/>
      <c r="J100" s="57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5" x14ac:dyDescent="0.2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5" x14ac:dyDescent="0.2">
      <c r="A102" s="56"/>
      <c r="B102" s="57"/>
      <c r="C102" s="57"/>
      <c r="D102" s="57"/>
      <c r="E102" s="57"/>
      <c r="F102" s="57"/>
      <c r="G102" s="57"/>
      <c r="H102" s="57"/>
      <c r="I102" s="57"/>
      <c r="J102" s="57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5" ht="20.25" customHeight="1" x14ac:dyDescent="0.2">
      <c r="A103" s="940" t="s">
        <v>279</v>
      </c>
      <c r="B103" s="941"/>
      <c r="C103" s="941"/>
      <c r="D103" s="941"/>
      <c r="E103" s="941"/>
      <c r="F103" s="941"/>
      <c r="G103" s="942"/>
      <c r="H103" s="57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J103"/>
      <c r="AMK103"/>
    </row>
    <row r="104" spans="1:1025" s="69" customFormat="1" ht="47.25" customHeight="1" x14ac:dyDescent="0.2">
      <c r="A104" s="446" t="s">
        <v>130</v>
      </c>
      <c r="B104" s="72" t="s">
        <v>131</v>
      </c>
      <c r="C104" s="72" t="s">
        <v>280</v>
      </c>
      <c r="D104" s="72" t="s">
        <v>281</v>
      </c>
      <c r="E104" s="73" t="s">
        <v>282</v>
      </c>
      <c r="F104" s="73" t="s">
        <v>283</v>
      </c>
      <c r="G104" s="447" t="s">
        <v>284</v>
      </c>
      <c r="H104" s="443"/>
    </row>
    <row r="105" spans="1:1025" ht="20.25" customHeight="1" x14ac:dyDescent="0.2">
      <c r="A105" s="943" t="s">
        <v>285</v>
      </c>
      <c r="B105" s="944"/>
      <c r="C105" s="944"/>
      <c r="D105" s="944"/>
      <c r="E105" s="944"/>
      <c r="F105" s="945"/>
      <c r="G105" s="448">
        <f>SUM(G106:G111)</f>
        <v>0</v>
      </c>
      <c r="H105" s="57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J105"/>
      <c r="AMK105"/>
    </row>
    <row r="106" spans="1:1025" ht="15" customHeight="1" x14ac:dyDescent="0.2">
      <c r="A106" s="449" t="s">
        <v>286</v>
      </c>
      <c r="B106" s="40" t="s">
        <v>164</v>
      </c>
      <c r="C106" s="40">
        <v>2</v>
      </c>
      <c r="D106" s="339"/>
      <c r="E106" s="341"/>
      <c r="F106" s="41">
        <f t="shared" ref="F106:F111" si="9">(D106+E106)/2</f>
        <v>0</v>
      </c>
      <c r="G106" s="450">
        <f t="shared" ref="G106:G111" si="10">C106*F106/12</f>
        <v>0</v>
      </c>
      <c r="H106" s="57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J106"/>
      <c r="AMK106"/>
    </row>
    <row r="107" spans="1:1025" ht="15" customHeight="1" x14ac:dyDescent="0.2">
      <c r="A107" s="451" t="s">
        <v>287</v>
      </c>
      <c r="B107" s="46" t="s">
        <v>164</v>
      </c>
      <c r="C107" s="46">
        <v>1</v>
      </c>
      <c r="D107" s="339"/>
      <c r="E107" s="341"/>
      <c r="F107" s="41">
        <f t="shared" si="9"/>
        <v>0</v>
      </c>
      <c r="G107" s="450">
        <f t="shared" si="10"/>
        <v>0</v>
      </c>
      <c r="H107" s="5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J107"/>
      <c r="AMK107"/>
    </row>
    <row r="108" spans="1:1025" ht="15" customHeight="1" x14ac:dyDescent="0.2">
      <c r="A108" s="451" t="s">
        <v>288</v>
      </c>
      <c r="B108" s="46" t="s">
        <v>164</v>
      </c>
      <c r="C108" s="46">
        <v>2</v>
      </c>
      <c r="D108" s="339"/>
      <c r="E108" s="341"/>
      <c r="F108" s="41">
        <f t="shared" si="9"/>
        <v>0</v>
      </c>
      <c r="G108" s="450">
        <f t="shared" si="10"/>
        <v>0</v>
      </c>
      <c r="H108" s="64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J108"/>
      <c r="AMK108"/>
    </row>
    <row r="109" spans="1:1025" ht="15" customHeight="1" x14ac:dyDescent="0.2">
      <c r="A109" s="451" t="s">
        <v>289</v>
      </c>
      <c r="B109" s="46" t="s">
        <v>164</v>
      </c>
      <c r="C109" s="46">
        <v>2</v>
      </c>
      <c r="D109" s="339"/>
      <c r="E109" s="341"/>
      <c r="F109" s="41">
        <f t="shared" si="9"/>
        <v>0</v>
      </c>
      <c r="G109" s="450">
        <f t="shared" si="10"/>
        <v>0</v>
      </c>
      <c r="H109" s="57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J109"/>
      <c r="AMK109"/>
    </row>
    <row r="110" spans="1:1025" ht="15" customHeight="1" x14ac:dyDescent="0.2">
      <c r="A110" s="452" t="s">
        <v>290</v>
      </c>
      <c r="B110" s="49" t="s">
        <v>164</v>
      </c>
      <c r="C110" s="49">
        <v>1</v>
      </c>
      <c r="D110" s="340"/>
      <c r="E110" s="342"/>
      <c r="F110" s="41">
        <f t="shared" si="9"/>
        <v>0</v>
      </c>
      <c r="G110" s="450">
        <f t="shared" si="10"/>
        <v>0</v>
      </c>
      <c r="H110" s="57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J110"/>
      <c r="AMK110"/>
    </row>
    <row r="111" spans="1:1025" ht="15" customHeight="1" x14ac:dyDescent="0.2">
      <c r="A111" s="453" t="s">
        <v>291</v>
      </c>
      <c r="B111" s="74" t="s">
        <v>184</v>
      </c>
      <c r="C111" s="74">
        <v>2</v>
      </c>
      <c r="D111" s="772"/>
      <c r="E111" s="343"/>
      <c r="F111" s="75">
        <f t="shared" si="9"/>
        <v>0</v>
      </c>
      <c r="G111" s="450">
        <f t="shared" si="10"/>
        <v>0</v>
      </c>
      <c r="H111" s="57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J111"/>
      <c r="AMK111"/>
    </row>
    <row r="112" spans="1:1025" ht="20.25" customHeight="1" x14ac:dyDescent="0.2">
      <c r="A112" s="946" t="s">
        <v>292</v>
      </c>
      <c r="B112" s="947"/>
      <c r="C112" s="947"/>
      <c r="D112" s="947"/>
      <c r="E112" s="947"/>
      <c r="F112" s="948"/>
      <c r="G112" s="448">
        <f>SUM(G113:G116)</f>
        <v>0</v>
      </c>
      <c r="H112" s="57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J112"/>
      <c r="AMK112"/>
    </row>
    <row r="113" spans="1:1025" ht="15" customHeight="1" x14ac:dyDescent="0.2">
      <c r="A113" s="328" t="s">
        <v>293</v>
      </c>
      <c r="B113" s="40" t="s">
        <v>164</v>
      </c>
      <c r="C113" s="40">
        <v>2</v>
      </c>
      <c r="D113" s="339"/>
      <c r="E113" s="341"/>
      <c r="F113" s="41">
        <f>(D113+E113)/2</f>
        <v>0</v>
      </c>
      <c r="G113" s="450">
        <f>(C113*F113)/12</f>
        <v>0</v>
      </c>
      <c r="H113" s="57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J113"/>
      <c r="AMK113"/>
    </row>
    <row r="114" spans="1:1025" ht="15" customHeight="1" x14ac:dyDescent="0.2">
      <c r="A114" s="328" t="s">
        <v>294</v>
      </c>
      <c r="B114" s="46" t="s">
        <v>164</v>
      </c>
      <c r="C114" s="46">
        <v>2</v>
      </c>
      <c r="D114" s="339"/>
      <c r="E114" s="341"/>
      <c r="F114" s="41">
        <f>(D114+E114)/2</f>
        <v>0</v>
      </c>
      <c r="G114" s="450">
        <f>(C114*F114)/12</f>
        <v>0</v>
      </c>
      <c r="H114" s="57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J114"/>
      <c r="AMK114"/>
    </row>
    <row r="115" spans="1:1025" ht="15" customHeight="1" x14ac:dyDescent="0.2">
      <c r="A115" s="328" t="s">
        <v>295</v>
      </c>
      <c r="B115" s="46" t="s">
        <v>164</v>
      </c>
      <c r="C115" s="46">
        <v>1</v>
      </c>
      <c r="D115" s="339"/>
      <c r="E115" s="341"/>
      <c r="F115" s="41">
        <f>(D115+E115)/2</f>
        <v>0</v>
      </c>
      <c r="G115" s="450">
        <f>(C115*F115)/12</f>
        <v>0</v>
      </c>
      <c r="H115" s="57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J115"/>
      <c r="AMK115"/>
    </row>
    <row r="116" spans="1:1025" ht="15" customHeight="1" x14ac:dyDescent="0.2">
      <c r="A116" s="336" t="s">
        <v>296</v>
      </c>
      <c r="B116" s="49" t="s">
        <v>184</v>
      </c>
      <c r="C116" s="49">
        <v>2</v>
      </c>
      <c r="D116" s="340"/>
      <c r="E116" s="342"/>
      <c r="F116" s="41">
        <f>(D116+E116)/2</f>
        <v>0</v>
      </c>
      <c r="G116" s="450">
        <f>(C116*F116)/12</f>
        <v>0</v>
      </c>
      <c r="H116" s="57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J116"/>
      <c r="AMK116"/>
    </row>
    <row r="117" spans="1:1025" ht="20.25" customHeight="1" x14ac:dyDescent="0.2">
      <c r="A117" s="949" t="s">
        <v>297</v>
      </c>
      <c r="B117" s="950"/>
      <c r="C117" s="950"/>
      <c r="D117" s="950"/>
      <c r="E117" s="950"/>
      <c r="F117" s="951"/>
      <c r="G117" s="454">
        <f>G105</f>
        <v>0</v>
      </c>
      <c r="H117" s="5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J117"/>
      <c r="AMK117"/>
    </row>
    <row r="118" spans="1:1025" ht="20.25" customHeight="1" x14ac:dyDescent="0.2">
      <c r="A118" s="952" t="s">
        <v>298</v>
      </c>
      <c r="B118" s="953"/>
      <c r="C118" s="953"/>
      <c r="D118" s="953"/>
      <c r="E118" s="953"/>
      <c r="F118" s="954"/>
      <c r="G118" s="455">
        <f>G112</f>
        <v>0</v>
      </c>
      <c r="H118" s="57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  <c r="IW118"/>
      <c r="IX118"/>
      <c r="IY118"/>
      <c r="IZ118"/>
      <c r="JA118"/>
      <c r="JB118"/>
      <c r="JC118"/>
      <c r="JD118"/>
      <c r="JE118"/>
      <c r="JF118"/>
      <c r="JG118"/>
      <c r="JH118"/>
      <c r="JI118"/>
      <c r="JJ118"/>
      <c r="JK118"/>
      <c r="JL118"/>
      <c r="JM118"/>
      <c r="JN118"/>
      <c r="JO118"/>
      <c r="JP118"/>
      <c r="JQ118"/>
      <c r="JR118"/>
      <c r="JS118"/>
      <c r="JT118"/>
      <c r="JU118"/>
      <c r="JV118"/>
      <c r="JW118"/>
      <c r="JX118"/>
      <c r="JY118"/>
      <c r="JZ118"/>
      <c r="KA118"/>
      <c r="KB118"/>
      <c r="KC118"/>
      <c r="KD118"/>
      <c r="KE118"/>
      <c r="KF118"/>
      <c r="KG118"/>
      <c r="KH118"/>
      <c r="KI118"/>
      <c r="KJ118"/>
      <c r="KK118"/>
      <c r="KL118"/>
      <c r="KM118"/>
      <c r="KN118"/>
      <c r="KO118"/>
      <c r="KP118"/>
      <c r="KQ118"/>
      <c r="KR118"/>
      <c r="KS118"/>
      <c r="KT118"/>
      <c r="KU118"/>
      <c r="KV118"/>
      <c r="KW118"/>
      <c r="KX118"/>
      <c r="KY118"/>
      <c r="KZ118"/>
      <c r="LA118"/>
      <c r="LB118"/>
      <c r="LC118"/>
      <c r="LD118"/>
      <c r="LE118"/>
      <c r="LF118"/>
      <c r="LG118"/>
      <c r="LH118"/>
      <c r="LI118"/>
      <c r="LJ118"/>
      <c r="LK118"/>
      <c r="LL118"/>
      <c r="LM118"/>
      <c r="LN118"/>
      <c r="LO118"/>
      <c r="LP118"/>
      <c r="LQ118"/>
      <c r="LR118"/>
      <c r="LS118"/>
      <c r="LT118"/>
      <c r="LU118"/>
      <c r="LV118"/>
      <c r="LW118"/>
      <c r="LX118"/>
      <c r="LY118"/>
      <c r="LZ118"/>
      <c r="MA118"/>
      <c r="MB118"/>
      <c r="MC118"/>
      <c r="MD118"/>
      <c r="ME118"/>
      <c r="MF118"/>
      <c r="MG118"/>
      <c r="MH118"/>
      <c r="MI118"/>
      <c r="MJ118"/>
      <c r="MK118"/>
      <c r="ML118"/>
      <c r="MM118"/>
      <c r="MN118"/>
      <c r="MO118"/>
      <c r="MP118"/>
      <c r="MQ118"/>
      <c r="MR118"/>
      <c r="MS118"/>
      <c r="MT118"/>
      <c r="MU118"/>
      <c r="MV118"/>
      <c r="MW118"/>
      <c r="MX118"/>
      <c r="MY118"/>
      <c r="MZ118"/>
      <c r="NA118"/>
      <c r="NB118"/>
      <c r="NC118"/>
      <c r="ND118"/>
      <c r="NE118"/>
      <c r="NF118"/>
      <c r="NG118"/>
      <c r="NH118"/>
      <c r="NI118"/>
      <c r="NJ118"/>
      <c r="NK118"/>
      <c r="NL118"/>
      <c r="NM118"/>
      <c r="NN118"/>
      <c r="NO118"/>
      <c r="NP118"/>
      <c r="NQ118"/>
      <c r="NR118"/>
      <c r="NS118"/>
      <c r="NT118"/>
      <c r="NU118"/>
      <c r="NV118"/>
      <c r="NW118"/>
      <c r="NX118"/>
      <c r="NY118"/>
      <c r="NZ118"/>
      <c r="OA118"/>
      <c r="OB118"/>
      <c r="OC118"/>
      <c r="OD118"/>
      <c r="OE118"/>
      <c r="OF118"/>
      <c r="OG118"/>
      <c r="OH118"/>
      <c r="OI118"/>
      <c r="OJ118"/>
      <c r="OK118"/>
      <c r="OL118"/>
      <c r="OM118"/>
      <c r="ON118"/>
      <c r="OO118"/>
      <c r="OP118"/>
      <c r="OQ118"/>
      <c r="OR118"/>
      <c r="OS118"/>
      <c r="OT118"/>
      <c r="OU118"/>
      <c r="OV118"/>
      <c r="OW118"/>
      <c r="OX118"/>
      <c r="OY118"/>
      <c r="OZ118"/>
      <c r="PA118"/>
      <c r="PB118"/>
      <c r="PC118"/>
      <c r="PD118"/>
      <c r="PE118"/>
      <c r="PF118"/>
      <c r="PG118"/>
      <c r="PH118"/>
      <c r="PI118"/>
      <c r="PJ118"/>
      <c r="PK118"/>
      <c r="PL118"/>
      <c r="PM118"/>
      <c r="PN118"/>
      <c r="PO118"/>
      <c r="PP118"/>
      <c r="PQ118"/>
      <c r="PR118"/>
      <c r="PS118"/>
      <c r="PT118"/>
      <c r="PU118"/>
      <c r="PV118"/>
      <c r="PW118"/>
      <c r="PX118"/>
      <c r="PY118"/>
      <c r="PZ118"/>
      <c r="QA118"/>
      <c r="QB118"/>
      <c r="QC118"/>
      <c r="QD118"/>
      <c r="QE118"/>
      <c r="QF118"/>
      <c r="QG118"/>
      <c r="QH118"/>
      <c r="QI118"/>
      <c r="QJ118"/>
      <c r="QK118"/>
      <c r="QL118"/>
      <c r="QM118"/>
      <c r="QN118"/>
      <c r="QO118"/>
      <c r="QP118"/>
      <c r="QQ118"/>
      <c r="QR118"/>
      <c r="QS118"/>
      <c r="QT118"/>
      <c r="QU118"/>
      <c r="QV118"/>
      <c r="QW118"/>
      <c r="QX118"/>
      <c r="QY118"/>
      <c r="QZ118"/>
      <c r="RA118"/>
      <c r="RB118"/>
      <c r="RC118"/>
      <c r="RD118"/>
      <c r="RE118"/>
      <c r="RF118"/>
      <c r="RG118"/>
      <c r="RH118"/>
      <c r="RI118"/>
      <c r="RJ118"/>
      <c r="RK118"/>
      <c r="RL118"/>
      <c r="RM118"/>
      <c r="RN118"/>
      <c r="RO118"/>
      <c r="RP118"/>
      <c r="RQ118"/>
      <c r="RR118"/>
      <c r="RS118"/>
      <c r="RT118"/>
      <c r="RU118"/>
      <c r="RV118"/>
      <c r="RW118"/>
      <c r="RX118"/>
      <c r="RY118"/>
      <c r="RZ118"/>
      <c r="SA118"/>
      <c r="SB118"/>
      <c r="SC118"/>
      <c r="SD118"/>
      <c r="SE118"/>
      <c r="SF118"/>
      <c r="SG118"/>
      <c r="SH118"/>
      <c r="SI118"/>
      <c r="SJ118"/>
      <c r="SK118"/>
      <c r="SL118"/>
      <c r="SM118"/>
      <c r="SN118"/>
      <c r="SO118"/>
      <c r="SP118"/>
      <c r="SQ118"/>
      <c r="SR118"/>
      <c r="SS118"/>
      <c r="ST118"/>
      <c r="SU118"/>
      <c r="SV118"/>
      <c r="SW118"/>
      <c r="SX118"/>
      <c r="SY118"/>
      <c r="SZ118"/>
      <c r="TA118"/>
      <c r="TB118"/>
      <c r="TC118"/>
      <c r="TD118"/>
      <c r="TE118"/>
      <c r="TF118"/>
      <c r="TG118"/>
      <c r="TH118"/>
      <c r="TI118"/>
      <c r="TJ118"/>
      <c r="TK118"/>
      <c r="TL118"/>
      <c r="TM118"/>
      <c r="TN118"/>
      <c r="TO118"/>
      <c r="TP118"/>
      <c r="TQ118"/>
      <c r="TR118"/>
      <c r="TS118"/>
      <c r="TT118"/>
      <c r="TU118"/>
      <c r="TV118"/>
      <c r="TW118"/>
      <c r="TX118"/>
      <c r="TY118"/>
      <c r="TZ118"/>
      <c r="UA118"/>
      <c r="UB118"/>
      <c r="UC118"/>
      <c r="UD118"/>
      <c r="UE118"/>
      <c r="UF118"/>
      <c r="UG118"/>
      <c r="UH118"/>
      <c r="UI118"/>
      <c r="UJ118"/>
      <c r="UK118"/>
      <c r="UL118"/>
      <c r="UM118"/>
      <c r="UN118"/>
      <c r="UO118"/>
      <c r="UP118"/>
      <c r="UQ118"/>
      <c r="UR118"/>
      <c r="US118"/>
      <c r="UT118"/>
      <c r="UU118"/>
      <c r="UV118"/>
      <c r="UW118"/>
      <c r="UX118"/>
      <c r="UY118"/>
      <c r="UZ118"/>
      <c r="VA118"/>
      <c r="VB118"/>
      <c r="VC118"/>
      <c r="VD118"/>
      <c r="VE118"/>
      <c r="VF118"/>
      <c r="VG118"/>
      <c r="VH118"/>
      <c r="VI118"/>
      <c r="VJ118"/>
      <c r="VK118"/>
      <c r="VL118"/>
      <c r="VM118"/>
      <c r="VN118"/>
      <c r="VO118"/>
      <c r="VP118"/>
      <c r="VQ118"/>
      <c r="VR118"/>
      <c r="VS118"/>
      <c r="VT118"/>
      <c r="VU118"/>
      <c r="VV118"/>
      <c r="VW118"/>
      <c r="VX118"/>
      <c r="VY118"/>
      <c r="VZ118"/>
      <c r="WA118"/>
      <c r="WB118"/>
      <c r="WC118"/>
      <c r="WD118"/>
      <c r="WE118"/>
      <c r="WF118"/>
      <c r="WG118"/>
      <c r="WH118"/>
      <c r="WI118"/>
      <c r="WJ118"/>
      <c r="WK118"/>
      <c r="WL118"/>
      <c r="WM118"/>
      <c r="WN118"/>
      <c r="WO118"/>
      <c r="WP118"/>
      <c r="WQ118"/>
      <c r="WR118"/>
      <c r="WS118"/>
      <c r="WT118"/>
      <c r="WU118"/>
      <c r="WV118"/>
      <c r="WW118"/>
      <c r="WX118"/>
      <c r="WY118"/>
      <c r="WZ118"/>
      <c r="XA118"/>
      <c r="XB118"/>
      <c r="XC118"/>
      <c r="XD118"/>
      <c r="XE118"/>
      <c r="XF118"/>
      <c r="XG118"/>
      <c r="XH118"/>
      <c r="XI118"/>
      <c r="XJ118"/>
      <c r="XK118"/>
      <c r="XL118"/>
      <c r="XM118"/>
      <c r="XN118"/>
      <c r="XO118"/>
      <c r="XP118"/>
      <c r="XQ118"/>
      <c r="XR118"/>
      <c r="XS118"/>
      <c r="XT118"/>
      <c r="XU118"/>
      <c r="XV118"/>
      <c r="XW118"/>
      <c r="XX118"/>
      <c r="XY118"/>
      <c r="XZ118"/>
      <c r="YA118"/>
      <c r="YB118"/>
      <c r="YC118"/>
      <c r="YD118"/>
      <c r="YE118"/>
      <c r="YF118"/>
      <c r="YG118"/>
      <c r="YH118"/>
      <c r="YI118"/>
      <c r="YJ118"/>
      <c r="YK118"/>
      <c r="YL118"/>
      <c r="YM118"/>
      <c r="YN118"/>
      <c r="YO118"/>
      <c r="YP118"/>
      <c r="YQ118"/>
      <c r="YR118"/>
      <c r="YS118"/>
      <c r="YT118"/>
      <c r="YU118"/>
      <c r="YV118"/>
      <c r="YW118"/>
      <c r="YX118"/>
      <c r="YY118"/>
      <c r="YZ118"/>
      <c r="ZA118"/>
      <c r="ZB118"/>
      <c r="ZC118"/>
      <c r="ZD118"/>
      <c r="ZE118"/>
      <c r="ZF118"/>
      <c r="ZG118"/>
      <c r="ZH118"/>
      <c r="ZI118"/>
      <c r="ZJ118"/>
      <c r="ZK118"/>
      <c r="ZL118"/>
      <c r="ZM118"/>
      <c r="ZN118"/>
      <c r="ZO118"/>
      <c r="ZP118"/>
      <c r="ZQ118"/>
      <c r="ZR118"/>
      <c r="ZS118"/>
      <c r="ZT118"/>
      <c r="ZU118"/>
      <c r="ZV118"/>
      <c r="ZW118"/>
      <c r="ZX118"/>
      <c r="ZY118"/>
      <c r="ZZ118"/>
      <c r="AAA118"/>
      <c r="AAB118"/>
      <c r="AAC118"/>
      <c r="AAD118"/>
      <c r="AAE118"/>
      <c r="AAF118"/>
      <c r="AAG118"/>
      <c r="AAH118"/>
      <c r="AAI118"/>
      <c r="AAJ118"/>
      <c r="AAK118"/>
      <c r="AAL118"/>
      <c r="AAM118"/>
      <c r="AAN118"/>
      <c r="AAO118"/>
      <c r="AAP118"/>
      <c r="AAQ118"/>
      <c r="AAR118"/>
      <c r="AAS118"/>
      <c r="AAT118"/>
      <c r="AAU118"/>
      <c r="AAV118"/>
      <c r="AAW118"/>
      <c r="AAX118"/>
      <c r="AAY118"/>
      <c r="AAZ118"/>
      <c r="ABA118"/>
      <c r="ABB118"/>
      <c r="ABC118"/>
      <c r="ABD118"/>
      <c r="ABE118"/>
      <c r="ABF118"/>
      <c r="ABG118"/>
      <c r="ABH118"/>
      <c r="ABI118"/>
      <c r="ABJ118"/>
      <c r="ABK118"/>
      <c r="ABL118"/>
      <c r="ABM118"/>
      <c r="ABN118"/>
      <c r="ABO118"/>
      <c r="ABP118"/>
      <c r="ABQ118"/>
      <c r="ABR118"/>
      <c r="ABS118"/>
      <c r="ABT118"/>
      <c r="ABU118"/>
      <c r="ABV118"/>
      <c r="ABW118"/>
      <c r="ABX118"/>
      <c r="ABY118"/>
      <c r="ABZ118"/>
      <c r="ACA118"/>
      <c r="ACB118"/>
      <c r="ACC118"/>
      <c r="ACD118"/>
      <c r="ACE118"/>
      <c r="ACF118"/>
      <c r="ACG118"/>
      <c r="ACH118"/>
      <c r="ACI118"/>
      <c r="ACJ118"/>
      <c r="ACK118"/>
      <c r="ACL118"/>
      <c r="ACM118"/>
      <c r="ACN118"/>
      <c r="ACO118"/>
      <c r="ACP118"/>
      <c r="ACQ118"/>
      <c r="ACR118"/>
      <c r="ACS118"/>
      <c r="ACT118"/>
      <c r="ACU118"/>
      <c r="ACV118"/>
      <c r="ACW118"/>
      <c r="ACX118"/>
      <c r="ACY118"/>
      <c r="ACZ118"/>
      <c r="ADA118"/>
      <c r="ADB118"/>
      <c r="ADC118"/>
      <c r="ADD118"/>
      <c r="ADE118"/>
      <c r="ADF118"/>
      <c r="ADG118"/>
      <c r="ADH118"/>
      <c r="ADI118"/>
      <c r="ADJ118"/>
      <c r="ADK118"/>
      <c r="ADL118"/>
      <c r="ADM118"/>
      <c r="ADN118"/>
      <c r="ADO118"/>
      <c r="ADP118"/>
      <c r="ADQ118"/>
      <c r="ADR118"/>
      <c r="ADS118"/>
      <c r="ADT118"/>
      <c r="ADU118"/>
      <c r="ADV118"/>
      <c r="ADW118"/>
      <c r="ADX118"/>
      <c r="ADY118"/>
      <c r="ADZ118"/>
      <c r="AEA118"/>
      <c r="AEB118"/>
      <c r="AEC118"/>
      <c r="AED118"/>
      <c r="AEE118"/>
      <c r="AEF118"/>
      <c r="AEG118"/>
      <c r="AEH118"/>
      <c r="AEI118"/>
      <c r="AEJ118"/>
      <c r="AEK118"/>
      <c r="AEL118"/>
      <c r="AEM118"/>
      <c r="AEN118"/>
      <c r="AEO118"/>
      <c r="AEP118"/>
      <c r="AEQ118"/>
      <c r="AER118"/>
      <c r="AES118"/>
      <c r="AET118"/>
      <c r="AEU118"/>
      <c r="AEV118"/>
      <c r="AEW118"/>
      <c r="AEX118"/>
      <c r="AEY118"/>
      <c r="AEZ118"/>
      <c r="AFA118"/>
      <c r="AFB118"/>
      <c r="AFC118"/>
      <c r="AFD118"/>
      <c r="AFE118"/>
      <c r="AFF118"/>
      <c r="AFG118"/>
      <c r="AFH118"/>
      <c r="AFI118"/>
      <c r="AFJ118"/>
      <c r="AFK118"/>
      <c r="AFL118"/>
      <c r="AFM118"/>
      <c r="AFN118"/>
      <c r="AFO118"/>
      <c r="AFP118"/>
      <c r="AFQ118"/>
      <c r="AFR118"/>
      <c r="AFS118"/>
      <c r="AFT118"/>
      <c r="AFU118"/>
      <c r="AFV118"/>
      <c r="AFW118"/>
      <c r="AFX118"/>
      <c r="AFY118"/>
      <c r="AFZ118"/>
      <c r="AGA118"/>
      <c r="AGB118"/>
      <c r="AGC118"/>
      <c r="AGD118"/>
      <c r="AGE118"/>
      <c r="AGF118"/>
      <c r="AGG118"/>
      <c r="AGH118"/>
      <c r="AGI118"/>
      <c r="AGJ118"/>
      <c r="AGK118"/>
      <c r="AGL118"/>
      <c r="AGM118"/>
      <c r="AGN118"/>
      <c r="AGO118"/>
      <c r="AGP118"/>
      <c r="AGQ118"/>
      <c r="AGR118"/>
      <c r="AGS118"/>
      <c r="AGT118"/>
      <c r="AGU118"/>
      <c r="AGV118"/>
      <c r="AGW118"/>
      <c r="AGX118"/>
      <c r="AGY118"/>
      <c r="AGZ118"/>
      <c r="AHA118"/>
      <c r="AHB118"/>
      <c r="AHC118"/>
      <c r="AHD118"/>
      <c r="AHE118"/>
      <c r="AHF118"/>
      <c r="AHG118"/>
      <c r="AHH118"/>
      <c r="AHI118"/>
      <c r="AHJ118"/>
      <c r="AHK118"/>
      <c r="AHL118"/>
      <c r="AHM118"/>
      <c r="AHN118"/>
      <c r="AHO118"/>
      <c r="AHP118"/>
      <c r="AHQ118"/>
      <c r="AHR118"/>
      <c r="AHS118"/>
      <c r="AHT118"/>
      <c r="AHU118"/>
      <c r="AHV118"/>
      <c r="AHW118"/>
      <c r="AHX118"/>
      <c r="AHY118"/>
      <c r="AHZ118"/>
      <c r="AIA118"/>
      <c r="AIB118"/>
      <c r="AIC118"/>
      <c r="AID118"/>
      <c r="AIE118"/>
      <c r="AIF118"/>
      <c r="AIG118"/>
      <c r="AIH118"/>
      <c r="AII118"/>
      <c r="AIJ118"/>
      <c r="AIK118"/>
      <c r="AIL118"/>
      <c r="AIM118"/>
      <c r="AIN118"/>
      <c r="AIO118"/>
      <c r="AIP118"/>
      <c r="AIQ118"/>
      <c r="AIR118"/>
      <c r="AIS118"/>
      <c r="AIT118"/>
      <c r="AIU118"/>
      <c r="AIV118"/>
      <c r="AIW118"/>
      <c r="AIX118"/>
      <c r="AIY118"/>
      <c r="AIZ118"/>
      <c r="AJA118"/>
      <c r="AJB118"/>
      <c r="AJC118"/>
      <c r="AJD118"/>
      <c r="AJE118"/>
      <c r="AJF118"/>
      <c r="AJG118"/>
      <c r="AJH118"/>
      <c r="AJI118"/>
      <c r="AJJ118"/>
      <c r="AJK118"/>
      <c r="AJL118"/>
      <c r="AJM118"/>
      <c r="AJN118"/>
      <c r="AJO118"/>
      <c r="AJP118"/>
      <c r="AJQ118"/>
      <c r="AJR118"/>
      <c r="AJS118"/>
      <c r="AJT118"/>
      <c r="AJU118"/>
      <c r="AJV118"/>
      <c r="AJW118"/>
      <c r="AJX118"/>
      <c r="AJY118"/>
      <c r="AJZ118"/>
      <c r="AKA118"/>
      <c r="AKB118"/>
      <c r="AKC118"/>
      <c r="AKD118"/>
      <c r="AKE118"/>
      <c r="AKF118"/>
      <c r="AKG118"/>
      <c r="AKH118"/>
      <c r="AKI118"/>
      <c r="AKJ118"/>
      <c r="AKK118"/>
      <c r="AKL118"/>
      <c r="AKM118"/>
      <c r="AKN118"/>
      <c r="AKO118"/>
      <c r="AKP118"/>
      <c r="AKQ118"/>
      <c r="AKR118"/>
      <c r="AKS118"/>
      <c r="AKT118"/>
      <c r="AKU118"/>
      <c r="AKV118"/>
      <c r="AKW118"/>
      <c r="AKX118"/>
      <c r="AKY118"/>
      <c r="AKZ118"/>
      <c r="ALA118"/>
      <c r="ALB118"/>
      <c r="ALC118"/>
      <c r="ALD118"/>
      <c r="ALE118"/>
      <c r="ALF118"/>
      <c r="ALG118"/>
      <c r="ALH118"/>
      <c r="ALI118"/>
      <c r="ALJ118"/>
      <c r="ALK118"/>
      <c r="ALL118"/>
      <c r="ALM118"/>
      <c r="ALN118"/>
      <c r="ALO118"/>
      <c r="ALP118"/>
      <c r="ALQ118"/>
      <c r="ALR118"/>
      <c r="ALS118"/>
      <c r="ALT118"/>
      <c r="ALU118"/>
      <c r="ALV118"/>
      <c r="ALW118"/>
      <c r="ALX118"/>
      <c r="ALY118"/>
      <c r="ALZ118"/>
      <c r="AMA118"/>
      <c r="AMB118"/>
      <c r="AMC118"/>
      <c r="AMD118"/>
      <c r="AME118"/>
      <c r="AMF118"/>
      <c r="AMG118"/>
      <c r="AMH118"/>
      <c r="AMJ118"/>
      <c r="AMK118"/>
    </row>
    <row r="119" spans="1:1025" x14ac:dyDescent="0.2">
      <c r="A119" s="56"/>
      <c r="B119" s="57"/>
      <c r="C119" s="57"/>
      <c r="D119" s="57"/>
      <c r="E119" s="57"/>
      <c r="F119" s="57"/>
      <c r="G119" s="57"/>
      <c r="H119" s="57"/>
      <c r="I119" s="57"/>
      <c r="J119" s="5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  <c r="IW119"/>
      <c r="IX119"/>
      <c r="IY119"/>
      <c r="IZ119"/>
      <c r="JA119"/>
      <c r="JB119"/>
      <c r="JC119"/>
      <c r="JD119"/>
      <c r="JE119"/>
      <c r="JF119"/>
      <c r="JG119"/>
      <c r="JH119"/>
      <c r="JI119"/>
      <c r="JJ119"/>
      <c r="JK119"/>
      <c r="JL119"/>
      <c r="JM119"/>
      <c r="JN119"/>
      <c r="JO119"/>
      <c r="JP119"/>
      <c r="JQ119"/>
      <c r="JR119"/>
      <c r="JS119"/>
      <c r="JT119"/>
      <c r="JU119"/>
      <c r="JV119"/>
      <c r="JW119"/>
      <c r="JX119"/>
      <c r="JY119"/>
      <c r="JZ119"/>
      <c r="KA119"/>
      <c r="KB119"/>
      <c r="KC119"/>
      <c r="KD119"/>
      <c r="KE119"/>
      <c r="KF119"/>
      <c r="KG119"/>
      <c r="KH119"/>
      <c r="KI119"/>
      <c r="KJ119"/>
      <c r="KK119"/>
      <c r="KL119"/>
      <c r="KM119"/>
      <c r="KN119"/>
      <c r="KO119"/>
      <c r="KP119"/>
      <c r="KQ119"/>
      <c r="KR119"/>
      <c r="KS119"/>
      <c r="KT119"/>
      <c r="KU119"/>
      <c r="KV119"/>
      <c r="KW119"/>
      <c r="KX119"/>
      <c r="KY119"/>
      <c r="KZ119"/>
      <c r="LA119"/>
      <c r="LB119"/>
      <c r="LC119"/>
      <c r="LD119"/>
      <c r="LE119"/>
      <c r="LF119"/>
      <c r="LG119"/>
      <c r="LH119"/>
      <c r="LI119"/>
      <c r="LJ119"/>
      <c r="LK119"/>
      <c r="LL119"/>
      <c r="LM119"/>
      <c r="LN119"/>
      <c r="LO119"/>
      <c r="LP119"/>
      <c r="LQ119"/>
      <c r="LR119"/>
      <c r="LS119"/>
      <c r="LT119"/>
      <c r="LU119"/>
      <c r="LV119"/>
      <c r="LW119"/>
      <c r="LX119"/>
      <c r="LY119"/>
      <c r="LZ119"/>
      <c r="MA119"/>
      <c r="MB119"/>
      <c r="MC119"/>
      <c r="MD119"/>
      <c r="ME119"/>
      <c r="MF119"/>
      <c r="MG119"/>
      <c r="MH119"/>
      <c r="MI119"/>
      <c r="MJ119"/>
      <c r="MK119"/>
      <c r="ML119"/>
      <c r="MM119"/>
      <c r="MN119"/>
      <c r="MO119"/>
      <c r="MP119"/>
      <c r="MQ119"/>
      <c r="MR119"/>
      <c r="MS119"/>
      <c r="MT119"/>
      <c r="MU119"/>
      <c r="MV119"/>
      <c r="MW119"/>
      <c r="MX119"/>
      <c r="MY119"/>
      <c r="MZ119"/>
      <c r="NA119"/>
      <c r="NB119"/>
      <c r="NC119"/>
      <c r="ND119"/>
      <c r="NE119"/>
      <c r="NF119"/>
      <c r="NG119"/>
      <c r="NH119"/>
      <c r="NI119"/>
      <c r="NJ119"/>
      <c r="NK119"/>
      <c r="NL119"/>
      <c r="NM119"/>
      <c r="NN119"/>
      <c r="NO119"/>
      <c r="NP119"/>
      <c r="NQ119"/>
      <c r="NR119"/>
      <c r="NS119"/>
      <c r="NT119"/>
      <c r="NU119"/>
      <c r="NV119"/>
      <c r="NW119"/>
      <c r="NX119"/>
      <c r="NY119"/>
      <c r="NZ119"/>
      <c r="OA119"/>
      <c r="OB119"/>
      <c r="OC119"/>
      <c r="OD119"/>
      <c r="OE119"/>
      <c r="OF119"/>
      <c r="OG119"/>
      <c r="OH119"/>
      <c r="OI119"/>
      <c r="OJ119"/>
      <c r="OK119"/>
      <c r="OL119"/>
      <c r="OM119"/>
      <c r="ON119"/>
      <c r="OO119"/>
      <c r="OP119"/>
      <c r="OQ119"/>
      <c r="OR119"/>
      <c r="OS119"/>
      <c r="OT119"/>
      <c r="OU119"/>
      <c r="OV119"/>
      <c r="OW119"/>
      <c r="OX119"/>
      <c r="OY119"/>
      <c r="OZ119"/>
      <c r="PA119"/>
      <c r="PB119"/>
      <c r="PC119"/>
      <c r="PD119"/>
      <c r="PE119"/>
      <c r="PF119"/>
      <c r="PG119"/>
      <c r="PH119"/>
      <c r="PI119"/>
      <c r="PJ119"/>
      <c r="PK119"/>
      <c r="PL119"/>
      <c r="PM119"/>
      <c r="PN119"/>
      <c r="PO119"/>
      <c r="PP119"/>
      <c r="PQ119"/>
      <c r="PR119"/>
      <c r="PS119"/>
      <c r="PT119"/>
      <c r="PU119"/>
      <c r="PV119"/>
      <c r="PW119"/>
      <c r="PX119"/>
      <c r="PY119"/>
      <c r="PZ119"/>
      <c r="QA119"/>
      <c r="QB119"/>
      <c r="QC119"/>
      <c r="QD119"/>
      <c r="QE119"/>
      <c r="QF119"/>
      <c r="QG119"/>
      <c r="QH119"/>
      <c r="QI119"/>
      <c r="QJ119"/>
      <c r="QK119"/>
      <c r="QL119"/>
      <c r="QM119"/>
      <c r="QN119"/>
      <c r="QO119"/>
      <c r="QP119"/>
      <c r="QQ119"/>
      <c r="QR119"/>
      <c r="QS119"/>
      <c r="QT119"/>
      <c r="QU119"/>
      <c r="QV119"/>
      <c r="QW119"/>
      <c r="QX119"/>
      <c r="QY119"/>
      <c r="QZ119"/>
      <c r="RA119"/>
      <c r="RB119"/>
      <c r="RC119"/>
      <c r="RD119"/>
      <c r="RE119"/>
      <c r="RF119"/>
      <c r="RG119"/>
      <c r="RH119"/>
      <c r="RI119"/>
      <c r="RJ119"/>
      <c r="RK119"/>
      <c r="RL119"/>
      <c r="RM119"/>
      <c r="RN119"/>
      <c r="RO119"/>
      <c r="RP119"/>
      <c r="RQ119"/>
      <c r="RR119"/>
      <c r="RS119"/>
      <c r="RT119"/>
      <c r="RU119"/>
      <c r="RV119"/>
      <c r="RW119"/>
      <c r="RX119"/>
      <c r="RY119"/>
      <c r="RZ119"/>
      <c r="SA119"/>
      <c r="SB119"/>
      <c r="SC119"/>
      <c r="SD119"/>
      <c r="SE119"/>
      <c r="SF119"/>
      <c r="SG119"/>
      <c r="SH119"/>
      <c r="SI119"/>
      <c r="SJ119"/>
      <c r="SK119"/>
      <c r="SL119"/>
      <c r="SM119"/>
      <c r="SN119"/>
      <c r="SO119"/>
      <c r="SP119"/>
      <c r="SQ119"/>
      <c r="SR119"/>
      <c r="SS119"/>
      <c r="ST119"/>
      <c r="SU119"/>
      <c r="SV119"/>
      <c r="SW119"/>
      <c r="SX119"/>
      <c r="SY119"/>
      <c r="SZ119"/>
      <c r="TA119"/>
      <c r="TB119"/>
      <c r="TC119"/>
      <c r="TD119"/>
      <c r="TE119"/>
      <c r="TF119"/>
      <c r="TG119"/>
      <c r="TH119"/>
      <c r="TI119"/>
      <c r="TJ119"/>
      <c r="TK119"/>
      <c r="TL119"/>
      <c r="TM119"/>
      <c r="TN119"/>
      <c r="TO119"/>
      <c r="TP119"/>
      <c r="TQ119"/>
      <c r="TR119"/>
      <c r="TS119"/>
      <c r="TT119"/>
      <c r="TU119"/>
      <c r="TV119"/>
      <c r="TW119"/>
      <c r="TX119"/>
      <c r="TY119"/>
      <c r="TZ119"/>
      <c r="UA119"/>
      <c r="UB119"/>
      <c r="UC119"/>
      <c r="UD119"/>
      <c r="UE119"/>
      <c r="UF119"/>
      <c r="UG119"/>
      <c r="UH119"/>
      <c r="UI119"/>
      <c r="UJ119"/>
      <c r="UK119"/>
      <c r="UL119"/>
      <c r="UM119"/>
      <c r="UN119"/>
      <c r="UO119"/>
      <c r="UP119"/>
      <c r="UQ119"/>
      <c r="UR119"/>
      <c r="US119"/>
      <c r="UT119"/>
      <c r="UU119"/>
      <c r="UV119"/>
      <c r="UW119"/>
      <c r="UX119"/>
      <c r="UY119"/>
      <c r="UZ119"/>
      <c r="VA119"/>
      <c r="VB119"/>
      <c r="VC119"/>
      <c r="VD119"/>
      <c r="VE119"/>
      <c r="VF119"/>
      <c r="VG119"/>
      <c r="VH119"/>
      <c r="VI119"/>
      <c r="VJ119"/>
      <c r="VK119"/>
      <c r="VL119"/>
      <c r="VM119"/>
      <c r="VN119"/>
      <c r="VO119"/>
      <c r="VP119"/>
      <c r="VQ119"/>
      <c r="VR119"/>
      <c r="VS119"/>
      <c r="VT119"/>
      <c r="VU119"/>
      <c r="VV119"/>
      <c r="VW119"/>
      <c r="VX119"/>
      <c r="VY119"/>
      <c r="VZ119"/>
      <c r="WA119"/>
      <c r="WB119"/>
      <c r="WC119"/>
      <c r="WD119"/>
      <c r="WE119"/>
      <c r="WF119"/>
      <c r="WG119"/>
      <c r="WH119"/>
      <c r="WI119"/>
      <c r="WJ119"/>
      <c r="WK119"/>
      <c r="WL119"/>
      <c r="WM119"/>
      <c r="WN119"/>
      <c r="WO119"/>
      <c r="WP119"/>
      <c r="WQ119"/>
      <c r="WR119"/>
      <c r="WS119"/>
      <c r="WT119"/>
      <c r="WU119"/>
      <c r="WV119"/>
      <c r="WW119"/>
      <c r="WX119"/>
      <c r="WY119"/>
      <c r="WZ119"/>
      <c r="XA119"/>
      <c r="XB119"/>
      <c r="XC119"/>
      <c r="XD119"/>
      <c r="XE119"/>
      <c r="XF119"/>
      <c r="XG119"/>
      <c r="XH119"/>
      <c r="XI119"/>
      <c r="XJ119"/>
      <c r="XK119"/>
      <c r="XL119"/>
      <c r="XM119"/>
      <c r="XN119"/>
      <c r="XO119"/>
      <c r="XP119"/>
      <c r="XQ119"/>
      <c r="XR119"/>
      <c r="XS119"/>
      <c r="XT119"/>
      <c r="XU119"/>
      <c r="XV119"/>
      <c r="XW119"/>
      <c r="XX119"/>
      <c r="XY119"/>
      <c r="XZ119"/>
      <c r="YA119"/>
      <c r="YB119"/>
      <c r="YC119"/>
      <c r="YD119"/>
      <c r="YE119"/>
      <c r="YF119"/>
      <c r="YG119"/>
      <c r="YH119"/>
      <c r="YI119"/>
      <c r="YJ119"/>
      <c r="YK119"/>
      <c r="YL119"/>
      <c r="YM119"/>
      <c r="YN119"/>
      <c r="YO119"/>
      <c r="YP119"/>
      <c r="YQ119"/>
      <c r="YR119"/>
      <c r="YS119"/>
      <c r="YT119"/>
      <c r="YU119"/>
      <c r="YV119"/>
      <c r="YW119"/>
      <c r="YX119"/>
      <c r="YY119"/>
      <c r="YZ119"/>
      <c r="ZA119"/>
      <c r="ZB119"/>
      <c r="ZC119"/>
      <c r="ZD119"/>
      <c r="ZE119"/>
      <c r="ZF119"/>
      <c r="ZG119"/>
      <c r="ZH119"/>
      <c r="ZI119"/>
      <c r="ZJ119"/>
      <c r="ZK119"/>
      <c r="ZL119"/>
      <c r="ZM119"/>
      <c r="ZN119"/>
      <c r="ZO119"/>
      <c r="ZP119"/>
      <c r="ZQ119"/>
      <c r="ZR119"/>
      <c r="ZS119"/>
      <c r="ZT119"/>
      <c r="ZU119"/>
      <c r="ZV119"/>
      <c r="ZW119"/>
      <c r="ZX119"/>
      <c r="ZY119"/>
      <c r="ZZ119"/>
      <c r="AAA119"/>
      <c r="AAB119"/>
      <c r="AAC119"/>
      <c r="AAD119"/>
      <c r="AAE119"/>
      <c r="AAF119"/>
      <c r="AAG119"/>
      <c r="AAH119"/>
      <c r="AAI119"/>
      <c r="AAJ119"/>
      <c r="AAK119"/>
      <c r="AAL119"/>
      <c r="AAM119"/>
      <c r="AAN119"/>
      <c r="AAO119"/>
      <c r="AAP119"/>
      <c r="AAQ119"/>
      <c r="AAR119"/>
      <c r="AAS119"/>
      <c r="AAT119"/>
      <c r="AAU119"/>
      <c r="AAV119"/>
      <c r="AAW119"/>
      <c r="AAX119"/>
      <c r="AAY119"/>
      <c r="AAZ119"/>
      <c r="ABA119"/>
      <c r="ABB119"/>
      <c r="ABC119"/>
      <c r="ABD119"/>
      <c r="ABE119"/>
      <c r="ABF119"/>
      <c r="ABG119"/>
      <c r="ABH119"/>
      <c r="ABI119"/>
      <c r="ABJ119"/>
      <c r="ABK119"/>
      <c r="ABL119"/>
      <c r="ABM119"/>
      <c r="ABN119"/>
      <c r="ABO119"/>
      <c r="ABP119"/>
      <c r="ABQ119"/>
      <c r="ABR119"/>
      <c r="ABS119"/>
      <c r="ABT119"/>
      <c r="ABU119"/>
      <c r="ABV119"/>
      <c r="ABW119"/>
      <c r="ABX119"/>
      <c r="ABY119"/>
      <c r="ABZ119"/>
      <c r="ACA119"/>
      <c r="ACB119"/>
      <c r="ACC119"/>
      <c r="ACD119"/>
      <c r="ACE119"/>
      <c r="ACF119"/>
      <c r="ACG119"/>
      <c r="ACH119"/>
      <c r="ACI119"/>
      <c r="ACJ119"/>
      <c r="ACK119"/>
      <c r="ACL119"/>
      <c r="ACM119"/>
      <c r="ACN119"/>
      <c r="ACO119"/>
      <c r="ACP119"/>
      <c r="ACQ119"/>
      <c r="ACR119"/>
      <c r="ACS119"/>
      <c r="ACT119"/>
      <c r="ACU119"/>
      <c r="ACV119"/>
      <c r="ACW119"/>
      <c r="ACX119"/>
      <c r="ACY119"/>
      <c r="ACZ119"/>
      <c r="ADA119"/>
      <c r="ADB119"/>
      <c r="ADC119"/>
      <c r="ADD119"/>
      <c r="ADE119"/>
      <c r="ADF119"/>
      <c r="ADG119"/>
      <c r="ADH119"/>
      <c r="ADI119"/>
      <c r="ADJ119"/>
      <c r="ADK119"/>
      <c r="ADL119"/>
      <c r="ADM119"/>
      <c r="ADN119"/>
      <c r="ADO119"/>
      <c r="ADP119"/>
      <c r="ADQ119"/>
      <c r="ADR119"/>
      <c r="ADS119"/>
      <c r="ADT119"/>
      <c r="ADU119"/>
      <c r="ADV119"/>
      <c r="ADW119"/>
      <c r="ADX119"/>
      <c r="ADY119"/>
      <c r="ADZ119"/>
      <c r="AEA119"/>
      <c r="AEB119"/>
      <c r="AEC119"/>
      <c r="AED119"/>
      <c r="AEE119"/>
      <c r="AEF119"/>
      <c r="AEG119"/>
      <c r="AEH119"/>
      <c r="AEI119"/>
      <c r="AEJ119"/>
      <c r="AEK119"/>
      <c r="AEL119"/>
      <c r="AEM119"/>
      <c r="AEN119"/>
      <c r="AEO119"/>
      <c r="AEP119"/>
      <c r="AEQ119"/>
      <c r="AER119"/>
      <c r="AES119"/>
      <c r="AET119"/>
      <c r="AEU119"/>
      <c r="AEV119"/>
      <c r="AEW119"/>
      <c r="AEX119"/>
      <c r="AEY119"/>
      <c r="AEZ119"/>
      <c r="AFA119"/>
      <c r="AFB119"/>
      <c r="AFC119"/>
      <c r="AFD119"/>
      <c r="AFE119"/>
      <c r="AFF119"/>
      <c r="AFG119"/>
      <c r="AFH119"/>
      <c r="AFI119"/>
      <c r="AFJ119"/>
      <c r="AFK119"/>
      <c r="AFL119"/>
      <c r="AFM119"/>
      <c r="AFN119"/>
      <c r="AFO119"/>
      <c r="AFP119"/>
      <c r="AFQ119"/>
      <c r="AFR119"/>
      <c r="AFS119"/>
      <c r="AFT119"/>
      <c r="AFU119"/>
      <c r="AFV119"/>
      <c r="AFW119"/>
      <c r="AFX119"/>
      <c r="AFY119"/>
      <c r="AFZ119"/>
      <c r="AGA119"/>
      <c r="AGB119"/>
      <c r="AGC119"/>
      <c r="AGD119"/>
      <c r="AGE119"/>
      <c r="AGF119"/>
      <c r="AGG119"/>
      <c r="AGH119"/>
      <c r="AGI119"/>
      <c r="AGJ119"/>
      <c r="AGK119"/>
      <c r="AGL119"/>
      <c r="AGM119"/>
      <c r="AGN119"/>
      <c r="AGO119"/>
      <c r="AGP119"/>
      <c r="AGQ119"/>
      <c r="AGR119"/>
      <c r="AGS119"/>
      <c r="AGT119"/>
      <c r="AGU119"/>
      <c r="AGV119"/>
      <c r="AGW119"/>
      <c r="AGX119"/>
      <c r="AGY119"/>
      <c r="AGZ119"/>
      <c r="AHA119"/>
      <c r="AHB119"/>
      <c r="AHC119"/>
      <c r="AHD119"/>
      <c r="AHE119"/>
      <c r="AHF119"/>
      <c r="AHG119"/>
      <c r="AHH119"/>
      <c r="AHI119"/>
      <c r="AHJ119"/>
      <c r="AHK119"/>
      <c r="AHL119"/>
      <c r="AHM119"/>
      <c r="AHN119"/>
      <c r="AHO119"/>
      <c r="AHP119"/>
      <c r="AHQ119"/>
      <c r="AHR119"/>
      <c r="AHS119"/>
      <c r="AHT119"/>
      <c r="AHU119"/>
      <c r="AHV119"/>
      <c r="AHW119"/>
      <c r="AHX119"/>
      <c r="AHY119"/>
      <c r="AHZ119"/>
      <c r="AIA119"/>
      <c r="AIB119"/>
      <c r="AIC119"/>
      <c r="AID119"/>
      <c r="AIE119"/>
      <c r="AIF119"/>
      <c r="AIG119"/>
      <c r="AIH119"/>
      <c r="AII119"/>
      <c r="AIJ119"/>
      <c r="AIK119"/>
      <c r="AIL119"/>
      <c r="AIM119"/>
      <c r="AIN119"/>
      <c r="AIO119"/>
      <c r="AIP119"/>
      <c r="AIQ119"/>
      <c r="AIR119"/>
      <c r="AIS119"/>
      <c r="AIT119"/>
      <c r="AIU119"/>
      <c r="AIV119"/>
      <c r="AIW119"/>
      <c r="AIX119"/>
      <c r="AIY119"/>
      <c r="AIZ119"/>
      <c r="AJA119"/>
      <c r="AJB119"/>
      <c r="AJC119"/>
      <c r="AJD119"/>
      <c r="AJE119"/>
      <c r="AJF119"/>
      <c r="AJG119"/>
      <c r="AJH119"/>
      <c r="AJI119"/>
      <c r="AJJ119"/>
      <c r="AJK119"/>
      <c r="AJL119"/>
      <c r="AJM119"/>
      <c r="AJN119"/>
      <c r="AJO119"/>
      <c r="AJP119"/>
      <c r="AJQ119"/>
      <c r="AJR119"/>
      <c r="AJS119"/>
      <c r="AJT119"/>
      <c r="AJU119"/>
      <c r="AJV119"/>
      <c r="AJW119"/>
      <c r="AJX119"/>
      <c r="AJY119"/>
      <c r="AJZ119"/>
      <c r="AKA119"/>
      <c r="AKB119"/>
      <c r="AKC119"/>
      <c r="AKD119"/>
      <c r="AKE119"/>
      <c r="AKF119"/>
      <c r="AKG119"/>
      <c r="AKH119"/>
      <c r="AKI119"/>
      <c r="AKJ119"/>
      <c r="AKK119"/>
      <c r="AKL119"/>
      <c r="AKM119"/>
      <c r="AKN119"/>
      <c r="AKO119"/>
      <c r="AKP119"/>
      <c r="AKQ119"/>
      <c r="AKR119"/>
      <c r="AKS119"/>
      <c r="AKT119"/>
      <c r="AKU119"/>
      <c r="AKV119"/>
      <c r="AKW119"/>
      <c r="AKX119"/>
      <c r="AKY119"/>
      <c r="AKZ119"/>
      <c r="ALA119"/>
      <c r="ALB119"/>
      <c r="ALC119"/>
      <c r="ALD119"/>
      <c r="ALE119"/>
      <c r="ALF119"/>
      <c r="ALG119"/>
      <c r="ALH119"/>
      <c r="ALI119"/>
      <c r="ALJ119"/>
      <c r="ALK119"/>
      <c r="ALL119"/>
      <c r="ALM119"/>
      <c r="ALN119"/>
      <c r="ALO119"/>
      <c r="ALP119"/>
      <c r="ALQ119"/>
      <c r="ALR119"/>
      <c r="ALS119"/>
      <c r="ALT119"/>
      <c r="ALU119"/>
      <c r="ALV119"/>
      <c r="ALW119"/>
      <c r="ALX119"/>
      <c r="ALY119"/>
      <c r="ALZ119"/>
      <c r="AMA119"/>
      <c r="AMB119"/>
      <c r="AMC119"/>
      <c r="AMD119"/>
      <c r="AME119"/>
      <c r="AMF119"/>
      <c r="AMG119"/>
      <c r="AMH119"/>
      <c r="AMI119"/>
      <c r="AMJ119"/>
    </row>
    <row r="120" spans="1:1025" ht="20.25" customHeight="1" x14ac:dyDescent="0.2">
      <c r="A120" s="937" t="s">
        <v>299</v>
      </c>
      <c r="B120" s="938"/>
      <c r="C120" s="938"/>
      <c r="D120" s="938"/>
      <c r="E120" s="938"/>
      <c r="F120" s="938"/>
      <c r="G120" s="938"/>
      <c r="H120" s="938"/>
      <c r="I120" s="939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  <c r="ABW120"/>
      <c r="ABX120"/>
      <c r="ABY120"/>
      <c r="ABZ120"/>
      <c r="ACA120"/>
      <c r="ACB120"/>
      <c r="ACC120"/>
      <c r="ACD120"/>
      <c r="ACE120"/>
      <c r="ACF120"/>
      <c r="ACG120"/>
      <c r="ACH120"/>
      <c r="ACI120"/>
      <c r="ACJ120"/>
      <c r="ACK120"/>
      <c r="ACL120"/>
      <c r="ACM120"/>
      <c r="ACN120"/>
      <c r="ACO120"/>
      <c r="ACP120"/>
      <c r="ACQ120"/>
      <c r="ACR120"/>
      <c r="ACS120"/>
      <c r="ACT120"/>
      <c r="ACU120"/>
      <c r="ACV120"/>
      <c r="ACW120"/>
      <c r="ACX120"/>
      <c r="ACY120"/>
      <c r="ACZ120"/>
      <c r="ADA120"/>
      <c r="ADB120"/>
      <c r="ADC120"/>
      <c r="ADD120"/>
      <c r="ADE120"/>
      <c r="ADF120"/>
      <c r="ADG120"/>
      <c r="ADH120"/>
      <c r="ADI120"/>
      <c r="ADJ120"/>
      <c r="ADK120"/>
      <c r="ADL120"/>
      <c r="ADM120"/>
      <c r="ADN120"/>
      <c r="ADO120"/>
      <c r="ADP120"/>
      <c r="ADQ120"/>
      <c r="ADR120"/>
      <c r="ADS120"/>
      <c r="ADT120"/>
      <c r="ADU120"/>
      <c r="ADV120"/>
      <c r="ADW120"/>
      <c r="ADX120"/>
      <c r="ADY120"/>
      <c r="ADZ120"/>
      <c r="AEA120"/>
      <c r="AEB120"/>
      <c r="AEC120"/>
      <c r="AED120"/>
      <c r="AEE120"/>
      <c r="AEF120"/>
      <c r="AEG120"/>
      <c r="AEH120"/>
      <c r="AEI120"/>
      <c r="AEJ120"/>
      <c r="AEK120"/>
      <c r="AEL120"/>
      <c r="AEM120"/>
      <c r="AEN120"/>
      <c r="AEO120"/>
      <c r="AEP120"/>
      <c r="AEQ120"/>
      <c r="AER120"/>
      <c r="AES120"/>
      <c r="AET120"/>
      <c r="AEU120"/>
      <c r="AEV120"/>
      <c r="AEW120"/>
      <c r="AEX120"/>
      <c r="AEY120"/>
      <c r="AEZ120"/>
      <c r="AFA120"/>
      <c r="AFB120"/>
      <c r="AFC120"/>
      <c r="AFD120"/>
      <c r="AFE120"/>
      <c r="AFF120"/>
      <c r="AFG120"/>
      <c r="AFH120"/>
      <c r="AFI120"/>
      <c r="AFJ120"/>
      <c r="AFK120"/>
      <c r="AFL120"/>
      <c r="AFM120"/>
      <c r="AFN120"/>
      <c r="AFO120"/>
      <c r="AFP120"/>
      <c r="AFQ120"/>
      <c r="AFR120"/>
      <c r="AFS120"/>
      <c r="AFT120"/>
      <c r="AFU120"/>
      <c r="AFV120"/>
      <c r="AFW120"/>
      <c r="AFX120"/>
      <c r="AFY120"/>
      <c r="AFZ120"/>
      <c r="AGA120"/>
      <c r="AGB120"/>
      <c r="AGC120"/>
      <c r="AGD120"/>
      <c r="AGE120"/>
      <c r="AGF120"/>
      <c r="AGG120"/>
      <c r="AGH120"/>
      <c r="AGI120"/>
      <c r="AGJ120"/>
      <c r="AGK120"/>
      <c r="AGL120"/>
      <c r="AGM120"/>
      <c r="AGN120"/>
      <c r="AGO120"/>
      <c r="AGP120"/>
      <c r="AGQ120"/>
      <c r="AGR120"/>
      <c r="AGS120"/>
      <c r="AGT120"/>
      <c r="AGU120"/>
      <c r="AGV120"/>
      <c r="AGW120"/>
      <c r="AGX120"/>
      <c r="AGY120"/>
      <c r="AGZ120"/>
      <c r="AHA120"/>
      <c r="AHB120"/>
      <c r="AHC120"/>
      <c r="AHD120"/>
      <c r="AHE120"/>
      <c r="AHF120"/>
      <c r="AHG120"/>
      <c r="AHH120"/>
      <c r="AHI120"/>
      <c r="AHJ120"/>
      <c r="AHK120"/>
      <c r="AHL120"/>
      <c r="AHM120"/>
      <c r="AHN120"/>
      <c r="AHO120"/>
      <c r="AHP120"/>
      <c r="AHQ120"/>
      <c r="AHR120"/>
      <c r="AHS120"/>
      <c r="AHT120"/>
      <c r="AHU120"/>
      <c r="AHV120"/>
      <c r="AHW120"/>
      <c r="AHX120"/>
      <c r="AHY120"/>
      <c r="AHZ120"/>
      <c r="AIA120"/>
      <c r="AIB120"/>
      <c r="AIC120"/>
      <c r="AID120"/>
      <c r="AIE120"/>
      <c r="AIF120"/>
      <c r="AIG120"/>
      <c r="AIH120"/>
      <c r="AII120"/>
      <c r="AIJ120"/>
      <c r="AIK120"/>
      <c r="AIL120"/>
      <c r="AIM120"/>
      <c r="AIN120"/>
      <c r="AIO120"/>
      <c r="AIP120"/>
      <c r="AIQ120"/>
      <c r="AIR120"/>
      <c r="AIS120"/>
      <c r="AIT120"/>
      <c r="AIU120"/>
      <c r="AIV120"/>
      <c r="AIW120"/>
      <c r="AIX120"/>
      <c r="AIY120"/>
      <c r="AIZ120"/>
      <c r="AJA120"/>
      <c r="AJB120"/>
      <c r="AJC120"/>
      <c r="AJD120"/>
      <c r="AJE120"/>
      <c r="AJF120"/>
      <c r="AJG120"/>
      <c r="AJH120"/>
      <c r="AJI120"/>
      <c r="AJJ120"/>
      <c r="AJK120"/>
      <c r="AJL120"/>
      <c r="AJM120"/>
      <c r="AJN120"/>
      <c r="AJO120"/>
      <c r="AJP120"/>
      <c r="AJQ120"/>
      <c r="AJR120"/>
      <c r="AJS120"/>
      <c r="AJT120"/>
      <c r="AJU120"/>
      <c r="AJV120"/>
      <c r="AJW120"/>
      <c r="AJX120"/>
      <c r="AJY120"/>
      <c r="AJZ120"/>
      <c r="AKA120"/>
      <c r="AKB120"/>
      <c r="AKC120"/>
      <c r="AKD120"/>
      <c r="AKE120"/>
      <c r="AKF120"/>
      <c r="AKG120"/>
      <c r="AKH120"/>
      <c r="AKI120"/>
      <c r="AKJ120"/>
      <c r="AKK120"/>
      <c r="AKL120"/>
      <c r="AKM120"/>
      <c r="AKN120"/>
      <c r="AKO120"/>
      <c r="AKP120"/>
      <c r="AKQ120"/>
      <c r="AKR120"/>
      <c r="AKS120"/>
      <c r="AKT120"/>
      <c r="AKU120"/>
      <c r="AKV120"/>
      <c r="AKW120"/>
      <c r="AKX120"/>
      <c r="AKY120"/>
      <c r="AKZ120"/>
      <c r="ALA120"/>
      <c r="ALB120"/>
      <c r="ALC120"/>
      <c r="ALD120"/>
      <c r="ALE120"/>
      <c r="ALF120"/>
      <c r="ALG120"/>
      <c r="ALH120"/>
      <c r="ALI120"/>
      <c r="ALJ120"/>
      <c r="ALK120"/>
      <c r="ALL120"/>
      <c r="ALM120"/>
      <c r="ALN120"/>
      <c r="ALO120"/>
      <c r="ALP120"/>
      <c r="ALQ120"/>
      <c r="ALR120"/>
      <c r="ALS120"/>
      <c r="ALT120"/>
      <c r="ALU120"/>
      <c r="ALV120"/>
      <c r="ALW120"/>
      <c r="ALX120"/>
      <c r="ALY120"/>
      <c r="ALZ120"/>
      <c r="AMA120"/>
      <c r="AMB120"/>
      <c r="AMC120"/>
      <c r="AMD120"/>
      <c r="AME120"/>
      <c r="AMF120"/>
      <c r="AMG120"/>
      <c r="AMH120"/>
      <c r="AMJ120"/>
      <c r="AMK120"/>
    </row>
    <row r="121" spans="1:1025" s="69" customFormat="1" ht="59.25" customHeight="1" x14ac:dyDescent="0.2">
      <c r="A121" s="444" t="s">
        <v>130</v>
      </c>
      <c r="B121" s="76" t="s">
        <v>131</v>
      </c>
      <c r="C121" s="76" t="s">
        <v>300</v>
      </c>
      <c r="D121" s="76" t="s">
        <v>301</v>
      </c>
      <c r="E121" s="76" t="s">
        <v>237</v>
      </c>
      <c r="F121" s="77" t="s">
        <v>302</v>
      </c>
      <c r="G121" s="77" t="s">
        <v>283</v>
      </c>
      <c r="H121" s="78" t="s">
        <v>303</v>
      </c>
      <c r="I121" s="445" t="s">
        <v>304</v>
      </c>
    </row>
    <row r="122" spans="1:1025" ht="20.25" customHeight="1" x14ac:dyDescent="0.2">
      <c r="A122" s="968" t="s">
        <v>305</v>
      </c>
      <c r="B122" s="969"/>
      <c r="C122" s="969"/>
      <c r="D122" s="969"/>
      <c r="E122" s="969"/>
      <c r="F122" s="969"/>
      <c r="G122" s="970"/>
      <c r="H122" s="434">
        <f>SUM(H123:H127)</f>
        <v>0</v>
      </c>
      <c r="I122" s="434">
        <f>SUM(I123:I127)</f>
        <v>0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  <c r="IW122"/>
      <c r="IX122"/>
      <c r="IY122"/>
      <c r="IZ122"/>
      <c r="JA122"/>
      <c r="JB122"/>
      <c r="JC122"/>
      <c r="JD122"/>
      <c r="JE122"/>
      <c r="JF122"/>
      <c r="JG122"/>
      <c r="JH122"/>
      <c r="JI122"/>
      <c r="JJ122"/>
      <c r="JK122"/>
      <c r="JL122"/>
      <c r="JM122"/>
      <c r="JN122"/>
      <c r="JO122"/>
      <c r="JP122"/>
      <c r="JQ122"/>
      <c r="JR122"/>
      <c r="JS122"/>
      <c r="JT122"/>
      <c r="JU122"/>
      <c r="JV122"/>
      <c r="JW122"/>
      <c r="JX122"/>
      <c r="JY122"/>
      <c r="JZ122"/>
      <c r="KA122"/>
      <c r="KB122"/>
      <c r="KC122"/>
      <c r="KD122"/>
      <c r="KE122"/>
      <c r="KF122"/>
      <c r="KG122"/>
      <c r="KH122"/>
      <c r="KI122"/>
      <c r="KJ122"/>
      <c r="KK122"/>
      <c r="KL122"/>
      <c r="KM122"/>
      <c r="KN122"/>
      <c r="KO122"/>
      <c r="KP122"/>
      <c r="KQ122"/>
      <c r="KR122"/>
      <c r="KS122"/>
      <c r="KT122"/>
      <c r="KU122"/>
      <c r="KV122"/>
      <c r="KW122"/>
      <c r="KX122"/>
      <c r="KY122"/>
      <c r="KZ122"/>
      <c r="LA122"/>
      <c r="LB122"/>
      <c r="LC122"/>
      <c r="LD122"/>
      <c r="LE122"/>
      <c r="LF122"/>
      <c r="LG122"/>
      <c r="LH122"/>
      <c r="LI122"/>
      <c r="LJ122"/>
      <c r="LK122"/>
      <c r="LL122"/>
      <c r="LM122"/>
      <c r="LN122"/>
      <c r="LO122"/>
      <c r="LP122"/>
      <c r="LQ122"/>
      <c r="LR122"/>
      <c r="LS122"/>
      <c r="LT122"/>
      <c r="LU122"/>
      <c r="LV122"/>
      <c r="LW122"/>
      <c r="LX122"/>
      <c r="LY122"/>
      <c r="LZ122"/>
      <c r="MA122"/>
      <c r="MB122"/>
      <c r="MC122"/>
      <c r="MD122"/>
      <c r="ME122"/>
      <c r="MF122"/>
      <c r="MG122"/>
      <c r="MH122"/>
      <c r="MI122"/>
      <c r="MJ122"/>
      <c r="MK122"/>
      <c r="ML122"/>
      <c r="MM122"/>
      <c r="MN122"/>
      <c r="MO122"/>
      <c r="MP122"/>
      <c r="MQ122"/>
      <c r="MR122"/>
      <c r="MS122"/>
      <c r="MT122"/>
      <c r="MU122"/>
      <c r="MV122"/>
      <c r="MW122"/>
      <c r="MX122"/>
      <c r="MY122"/>
      <c r="MZ122"/>
      <c r="NA122"/>
      <c r="NB122"/>
      <c r="NC122"/>
      <c r="ND122"/>
      <c r="NE122"/>
      <c r="NF122"/>
      <c r="NG122"/>
      <c r="NH122"/>
      <c r="NI122"/>
      <c r="NJ122"/>
      <c r="NK122"/>
      <c r="NL122"/>
      <c r="NM122"/>
      <c r="NN122"/>
      <c r="NO122"/>
      <c r="NP122"/>
      <c r="NQ122"/>
      <c r="NR122"/>
      <c r="NS122"/>
      <c r="NT122"/>
      <c r="NU122"/>
      <c r="NV122"/>
      <c r="NW122"/>
      <c r="NX122"/>
      <c r="NY122"/>
      <c r="NZ122"/>
      <c r="OA122"/>
      <c r="OB122"/>
      <c r="OC122"/>
      <c r="OD122"/>
      <c r="OE122"/>
      <c r="OF122"/>
      <c r="OG122"/>
      <c r="OH122"/>
      <c r="OI122"/>
      <c r="OJ122"/>
      <c r="OK122"/>
      <c r="OL122"/>
      <c r="OM122"/>
      <c r="ON122"/>
      <c r="OO122"/>
      <c r="OP122"/>
      <c r="OQ122"/>
      <c r="OR122"/>
      <c r="OS122"/>
      <c r="OT122"/>
      <c r="OU122"/>
      <c r="OV122"/>
      <c r="OW122"/>
      <c r="OX122"/>
      <c r="OY122"/>
      <c r="OZ122"/>
      <c r="PA122"/>
      <c r="PB122"/>
      <c r="PC122"/>
      <c r="PD122"/>
      <c r="PE122"/>
      <c r="PF122"/>
      <c r="PG122"/>
      <c r="PH122"/>
      <c r="PI122"/>
      <c r="PJ122"/>
      <c r="PK122"/>
      <c r="PL122"/>
      <c r="PM122"/>
      <c r="PN122"/>
      <c r="PO122"/>
      <c r="PP122"/>
      <c r="PQ122"/>
      <c r="PR122"/>
      <c r="PS122"/>
      <c r="PT122"/>
      <c r="PU122"/>
      <c r="PV122"/>
      <c r="PW122"/>
      <c r="PX122"/>
      <c r="PY122"/>
      <c r="PZ122"/>
      <c r="QA122"/>
      <c r="QB122"/>
      <c r="QC122"/>
      <c r="QD122"/>
      <c r="QE122"/>
      <c r="QF122"/>
      <c r="QG122"/>
      <c r="QH122"/>
      <c r="QI122"/>
      <c r="QJ122"/>
      <c r="QK122"/>
      <c r="QL122"/>
      <c r="QM122"/>
      <c r="QN122"/>
      <c r="QO122"/>
      <c r="QP122"/>
      <c r="QQ122"/>
      <c r="QR122"/>
      <c r="QS122"/>
      <c r="QT122"/>
      <c r="QU122"/>
      <c r="QV122"/>
      <c r="QW122"/>
      <c r="QX122"/>
      <c r="QY122"/>
      <c r="QZ122"/>
      <c r="RA122"/>
      <c r="RB122"/>
      <c r="RC122"/>
      <c r="RD122"/>
      <c r="RE122"/>
      <c r="RF122"/>
      <c r="RG122"/>
      <c r="RH122"/>
      <c r="RI122"/>
      <c r="RJ122"/>
      <c r="RK122"/>
      <c r="RL122"/>
      <c r="RM122"/>
      <c r="RN122"/>
      <c r="RO122"/>
      <c r="RP122"/>
      <c r="RQ122"/>
      <c r="RR122"/>
      <c r="RS122"/>
      <c r="RT122"/>
      <c r="RU122"/>
      <c r="RV122"/>
      <c r="RW122"/>
      <c r="RX122"/>
      <c r="RY122"/>
      <c r="RZ122"/>
      <c r="SA122"/>
      <c r="SB122"/>
      <c r="SC122"/>
      <c r="SD122"/>
      <c r="SE122"/>
      <c r="SF122"/>
      <c r="SG122"/>
      <c r="SH122"/>
      <c r="SI122"/>
      <c r="SJ122"/>
      <c r="SK122"/>
      <c r="SL122"/>
      <c r="SM122"/>
      <c r="SN122"/>
      <c r="SO122"/>
      <c r="SP122"/>
      <c r="SQ122"/>
      <c r="SR122"/>
      <c r="SS122"/>
      <c r="ST122"/>
      <c r="SU122"/>
      <c r="SV122"/>
      <c r="SW122"/>
      <c r="SX122"/>
      <c r="SY122"/>
      <c r="SZ122"/>
      <c r="TA122"/>
      <c r="TB122"/>
      <c r="TC122"/>
      <c r="TD122"/>
      <c r="TE122"/>
      <c r="TF122"/>
      <c r="TG122"/>
      <c r="TH122"/>
      <c r="TI122"/>
      <c r="TJ122"/>
      <c r="TK122"/>
      <c r="TL122"/>
      <c r="TM122"/>
      <c r="TN122"/>
      <c r="TO122"/>
      <c r="TP122"/>
      <c r="TQ122"/>
      <c r="TR122"/>
      <c r="TS122"/>
      <c r="TT122"/>
      <c r="TU122"/>
      <c r="TV122"/>
      <c r="TW122"/>
      <c r="TX122"/>
      <c r="TY122"/>
      <c r="TZ122"/>
      <c r="UA122"/>
      <c r="UB122"/>
      <c r="UC122"/>
      <c r="UD122"/>
      <c r="UE122"/>
      <c r="UF122"/>
      <c r="UG122"/>
      <c r="UH122"/>
      <c r="UI122"/>
      <c r="UJ122"/>
      <c r="UK122"/>
      <c r="UL122"/>
      <c r="UM122"/>
      <c r="UN122"/>
      <c r="UO122"/>
      <c r="UP122"/>
      <c r="UQ122"/>
      <c r="UR122"/>
      <c r="US122"/>
      <c r="UT122"/>
      <c r="UU122"/>
      <c r="UV122"/>
      <c r="UW122"/>
      <c r="UX122"/>
      <c r="UY122"/>
      <c r="UZ122"/>
      <c r="VA122"/>
      <c r="VB122"/>
      <c r="VC122"/>
      <c r="VD122"/>
      <c r="VE122"/>
      <c r="VF122"/>
      <c r="VG122"/>
      <c r="VH122"/>
      <c r="VI122"/>
      <c r="VJ122"/>
      <c r="VK122"/>
      <c r="VL122"/>
      <c r="VM122"/>
      <c r="VN122"/>
      <c r="VO122"/>
      <c r="VP122"/>
      <c r="VQ122"/>
      <c r="VR122"/>
      <c r="VS122"/>
      <c r="VT122"/>
      <c r="VU122"/>
      <c r="VV122"/>
      <c r="VW122"/>
      <c r="VX122"/>
      <c r="VY122"/>
      <c r="VZ122"/>
      <c r="WA122"/>
      <c r="WB122"/>
      <c r="WC122"/>
      <c r="WD122"/>
      <c r="WE122"/>
      <c r="WF122"/>
      <c r="WG122"/>
      <c r="WH122"/>
      <c r="WI122"/>
      <c r="WJ122"/>
      <c r="WK122"/>
      <c r="WL122"/>
      <c r="WM122"/>
      <c r="WN122"/>
      <c r="WO122"/>
      <c r="WP122"/>
      <c r="WQ122"/>
      <c r="WR122"/>
      <c r="WS122"/>
      <c r="WT122"/>
      <c r="WU122"/>
      <c r="WV122"/>
      <c r="WW122"/>
      <c r="WX122"/>
      <c r="WY122"/>
      <c r="WZ122"/>
      <c r="XA122"/>
      <c r="XB122"/>
      <c r="XC122"/>
      <c r="XD122"/>
      <c r="XE122"/>
      <c r="XF122"/>
      <c r="XG122"/>
      <c r="XH122"/>
      <c r="XI122"/>
      <c r="XJ122"/>
      <c r="XK122"/>
      <c r="XL122"/>
      <c r="XM122"/>
      <c r="XN122"/>
      <c r="XO122"/>
      <c r="XP122"/>
      <c r="XQ122"/>
      <c r="XR122"/>
      <c r="XS122"/>
      <c r="XT122"/>
      <c r="XU122"/>
      <c r="XV122"/>
      <c r="XW122"/>
      <c r="XX122"/>
      <c r="XY122"/>
      <c r="XZ122"/>
      <c r="YA122"/>
      <c r="YB122"/>
      <c r="YC122"/>
      <c r="YD122"/>
      <c r="YE122"/>
      <c r="YF122"/>
      <c r="YG122"/>
      <c r="YH122"/>
      <c r="YI122"/>
      <c r="YJ122"/>
      <c r="YK122"/>
      <c r="YL122"/>
      <c r="YM122"/>
      <c r="YN122"/>
      <c r="YO122"/>
      <c r="YP122"/>
      <c r="YQ122"/>
      <c r="YR122"/>
      <c r="YS122"/>
      <c r="YT122"/>
      <c r="YU122"/>
      <c r="YV122"/>
      <c r="YW122"/>
      <c r="YX122"/>
      <c r="YY122"/>
      <c r="YZ122"/>
      <c r="ZA122"/>
      <c r="ZB122"/>
      <c r="ZC122"/>
      <c r="ZD122"/>
      <c r="ZE122"/>
      <c r="ZF122"/>
      <c r="ZG122"/>
      <c r="ZH122"/>
      <c r="ZI122"/>
      <c r="ZJ122"/>
      <c r="ZK122"/>
      <c r="ZL122"/>
      <c r="ZM122"/>
      <c r="ZN122"/>
      <c r="ZO122"/>
      <c r="ZP122"/>
      <c r="ZQ122"/>
      <c r="ZR122"/>
      <c r="ZS122"/>
      <c r="ZT122"/>
      <c r="ZU122"/>
      <c r="ZV122"/>
      <c r="ZW122"/>
      <c r="ZX122"/>
      <c r="ZY122"/>
      <c r="ZZ122"/>
      <c r="AAA122"/>
      <c r="AAB122"/>
      <c r="AAC122"/>
      <c r="AAD122"/>
      <c r="AAE122"/>
      <c r="AAF122"/>
      <c r="AAG122"/>
      <c r="AAH122"/>
      <c r="AAI122"/>
      <c r="AAJ122"/>
      <c r="AAK122"/>
      <c r="AAL122"/>
      <c r="AAM122"/>
      <c r="AAN122"/>
      <c r="AAO122"/>
      <c r="AAP122"/>
      <c r="AAQ122"/>
      <c r="AAR122"/>
      <c r="AAS122"/>
      <c r="AAT122"/>
      <c r="AAU122"/>
      <c r="AAV122"/>
      <c r="AAW122"/>
      <c r="AAX122"/>
      <c r="AAY122"/>
      <c r="AAZ122"/>
      <c r="ABA122"/>
      <c r="ABB122"/>
      <c r="ABC122"/>
      <c r="ABD122"/>
      <c r="ABE122"/>
      <c r="ABF122"/>
      <c r="ABG122"/>
      <c r="ABH122"/>
      <c r="ABI122"/>
      <c r="ABJ122"/>
      <c r="ABK122"/>
      <c r="ABL122"/>
      <c r="ABM122"/>
      <c r="ABN122"/>
      <c r="ABO122"/>
      <c r="ABP122"/>
      <c r="ABQ122"/>
      <c r="ABR122"/>
      <c r="ABS122"/>
      <c r="ABT122"/>
      <c r="ABU122"/>
      <c r="ABV122"/>
      <c r="ABW122"/>
      <c r="ABX122"/>
      <c r="ABY122"/>
      <c r="ABZ122"/>
      <c r="ACA122"/>
      <c r="ACB122"/>
      <c r="ACC122"/>
      <c r="ACD122"/>
      <c r="ACE122"/>
      <c r="ACF122"/>
      <c r="ACG122"/>
      <c r="ACH122"/>
      <c r="ACI122"/>
      <c r="ACJ122"/>
      <c r="ACK122"/>
      <c r="ACL122"/>
      <c r="ACM122"/>
      <c r="ACN122"/>
      <c r="ACO122"/>
      <c r="ACP122"/>
      <c r="ACQ122"/>
      <c r="ACR122"/>
      <c r="ACS122"/>
      <c r="ACT122"/>
      <c r="ACU122"/>
      <c r="ACV122"/>
      <c r="ACW122"/>
      <c r="ACX122"/>
      <c r="ACY122"/>
      <c r="ACZ122"/>
      <c r="ADA122"/>
      <c r="ADB122"/>
      <c r="ADC122"/>
      <c r="ADD122"/>
      <c r="ADE122"/>
      <c r="ADF122"/>
      <c r="ADG122"/>
      <c r="ADH122"/>
      <c r="ADI122"/>
      <c r="ADJ122"/>
      <c r="ADK122"/>
      <c r="ADL122"/>
      <c r="ADM122"/>
      <c r="ADN122"/>
      <c r="ADO122"/>
      <c r="ADP122"/>
      <c r="ADQ122"/>
      <c r="ADR122"/>
      <c r="ADS122"/>
      <c r="ADT122"/>
      <c r="ADU122"/>
      <c r="ADV122"/>
      <c r="ADW122"/>
      <c r="ADX122"/>
      <c r="ADY122"/>
      <c r="ADZ122"/>
      <c r="AEA122"/>
      <c r="AEB122"/>
      <c r="AEC122"/>
      <c r="AED122"/>
      <c r="AEE122"/>
      <c r="AEF122"/>
      <c r="AEG122"/>
      <c r="AEH122"/>
      <c r="AEI122"/>
      <c r="AEJ122"/>
      <c r="AEK122"/>
      <c r="AEL122"/>
      <c r="AEM122"/>
      <c r="AEN122"/>
      <c r="AEO122"/>
      <c r="AEP122"/>
      <c r="AEQ122"/>
      <c r="AER122"/>
      <c r="AES122"/>
      <c r="AET122"/>
      <c r="AEU122"/>
      <c r="AEV122"/>
      <c r="AEW122"/>
      <c r="AEX122"/>
      <c r="AEY122"/>
      <c r="AEZ122"/>
      <c r="AFA122"/>
      <c r="AFB122"/>
      <c r="AFC122"/>
      <c r="AFD122"/>
      <c r="AFE122"/>
      <c r="AFF122"/>
      <c r="AFG122"/>
      <c r="AFH122"/>
      <c r="AFI122"/>
      <c r="AFJ122"/>
      <c r="AFK122"/>
      <c r="AFL122"/>
      <c r="AFM122"/>
      <c r="AFN122"/>
      <c r="AFO122"/>
      <c r="AFP122"/>
      <c r="AFQ122"/>
      <c r="AFR122"/>
      <c r="AFS122"/>
      <c r="AFT122"/>
      <c r="AFU122"/>
      <c r="AFV122"/>
      <c r="AFW122"/>
      <c r="AFX122"/>
      <c r="AFY122"/>
      <c r="AFZ122"/>
      <c r="AGA122"/>
      <c r="AGB122"/>
      <c r="AGC122"/>
      <c r="AGD122"/>
      <c r="AGE122"/>
      <c r="AGF122"/>
      <c r="AGG122"/>
      <c r="AGH122"/>
      <c r="AGI122"/>
      <c r="AGJ122"/>
      <c r="AGK122"/>
      <c r="AGL122"/>
      <c r="AGM122"/>
      <c r="AGN122"/>
      <c r="AGO122"/>
      <c r="AGP122"/>
      <c r="AGQ122"/>
      <c r="AGR122"/>
      <c r="AGS122"/>
      <c r="AGT122"/>
      <c r="AGU122"/>
      <c r="AGV122"/>
      <c r="AGW122"/>
      <c r="AGX122"/>
      <c r="AGY122"/>
      <c r="AGZ122"/>
      <c r="AHA122"/>
      <c r="AHB122"/>
      <c r="AHC122"/>
      <c r="AHD122"/>
      <c r="AHE122"/>
      <c r="AHF122"/>
      <c r="AHG122"/>
      <c r="AHH122"/>
      <c r="AHI122"/>
      <c r="AHJ122"/>
      <c r="AHK122"/>
      <c r="AHL122"/>
      <c r="AHM122"/>
      <c r="AHN122"/>
      <c r="AHO122"/>
      <c r="AHP122"/>
      <c r="AHQ122"/>
      <c r="AHR122"/>
      <c r="AHS122"/>
      <c r="AHT122"/>
      <c r="AHU122"/>
      <c r="AHV122"/>
      <c r="AHW122"/>
      <c r="AHX122"/>
      <c r="AHY122"/>
      <c r="AHZ122"/>
      <c r="AIA122"/>
      <c r="AIB122"/>
      <c r="AIC122"/>
      <c r="AID122"/>
      <c r="AIE122"/>
      <c r="AIF122"/>
      <c r="AIG122"/>
      <c r="AIH122"/>
      <c r="AII122"/>
      <c r="AIJ122"/>
      <c r="AIK122"/>
      <c r="AIL122"/>
      <c r="AIM122"/>
      <c r="AIN122"/>
      <c r="AIO122"/>
      <c r="AIP122"/>
      <c r="AIQ122"/>
      <c r="AIR122"/>
      <c r="AIS122"/>
      <c r="AIT122"/>
      <c r="AIU122"/>
      <c r="AIV122"/>
      <c r="AIW122"/>
      <c r="AIX122"/>
      <c r="AIY122"/>
      <c r="AIZ122"/>
      <c r="AJA122"/>
      <c r="AJB122"/>
      <c r="AJC122"/>
      <c r="AJD122"/>
      <c r="AJE122"/>
      <c r="AJF122"/>
      <c r="AJG122"/>
      <c r="AJH122"/>
      <c r="AJI122"/>
      <c r="AJJ122"/>
      <c r="AJK122"/>
      <c r="AJL122"/>
      <c r="AJM122"/>
      <c r="AJN122"/>
      <c r="AJO122"/>
      <c r="AJP122"/>
      <c r="AJQ122"/>
      <c r="AJR122"/>
      <c r="AJS122"/>
      <c r="AJT122"/>
      <c r="AJU122"/>
      <c r="AJV122"/>
      <c r="AJW122"/>
      <c r="AJX122"/>
      <c r="AJY122"/>
      <c r="AJZ122"/>
      <c r="AKA122"/>
      <c r="AKB122"/>
      <c r="AKC122"/>
      <c r="AKD122"/>
      <c r="AKE122"/>
      <c r="AKF122"/>
      <c r="AKG122"/>
      <c r="AKH122"/>
      <c r="AKI122"/>
      <c r="AKJ122"/>
      <c r="AKK122"/>
      <c r="AKL122"/>
      <c r="AKM122"/>
      <c r="AKN122"/>
      <c r="AKO122"/>
      <c r="AKP122"/>
      <c r="AKQ122"/>
      <c r="AKR122"/>
      <c r="AKS122"/>
      <c r="AKT122"/>
      <c r="AKU122"/>
      <c r="AKV122"/>
      <c r="AKW122"/>
      <c r="AKX122"/>
      <c r="AKY122"/>
      <c r="AKZ122"/>
      <c r="ALA122"/>
      <c r="ALB122"/>
      <c r="ALC122"/>
      <c r="ALD122"/>
      <c r="ALE122"/>
      <c r="ALF122"/>
      <c r="ALG122"/>
      <c r="ALH122"/>
      <c r="ALI122"/>
      <c r="ALJ122"/>
      <c r="ALK122"/>
      <c r="ALL122"/>
      <c r="ALM122"/>
      <c r="ALN122"/>
      <c r="ALO122"/>
      <c r="ALP122"/>
      <c r="ALQ122"/>
      <c r="ALR122"/>
      <c r="ALS122"/>
      <c r="ALT122"/>
      <c r="ALU122"/>
      <c r="ALV122"/>
      <c r="ALW122"/>
      <c r="ALX122"/>
      <c r="ALY122"/>
      <c r="ALZ122"/>
      <c r="AMA122"/>
      <c r="AMB122"/>
      <c r="AMC122"/>
      <c r="AMD122"/>
      <c r="AME122"/>
      <c r="AMF122"/>
      <c r="AMG122"/>
      <c r="AMI122"/>
      <c r="AMJ122"/>
      <c r="AMK122"/>
    </row>
    <row r="123" spans="1:1025" ht="15" customHeight="1" x14ac:dyDescent="0.2">
      <c r="A123" s="328" t="s">
        <v>306</v>
      </c>
      <c r="B123" s="260" t="s">
        <v>164</v>
      </c>
      <c r="C123" s="261">
        <f>22</f>
        <v>22</v>
      </c>
      <c r="D123" s="261">
        <f>22</f>
        <v>22</v>
      </c>
      <c r="E123" s="339"/>
      <c r="F123" s="331"/>
      <c r="G123" s="41">
        <f>(E123+F123)/2</f>
        <v>0</v>
      </c>
      <c r="H123" s="86">
        <f>C123*G123</f>
        <v>0</v>
      </c>
      <c r="I123" s="86">
        <f>D123*G123</f>
        <v>0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  <c r="ABW123"/>
      <c r="ABX123"/>
      <c r="ABY123"/>
      <c r="ABZ123"/>
      <c r="ACA123"/>
      <c r="ACB123"/>
      <c r="ACC123"/>
      <c r="ACD123"/>
      <c r="ACE123"/>
      <c r="ACF123"/>
      <c r="ACG123"/>
      <c r="ACH123"/>
      <c r="ACI123"/>
      <c r="ACJ123"/>
      <c r="ACK123"/>
      <c r="ACL123"/>
      <c r="ACM123"/>
      <c r="ACN123"/>
      <c r="ACO123"/>
      <c r="ACP123"/>
      <c r="ACQ123"/>
      <c r="ACR123"/>
      <c r="ACS123"/>
      <c r="ACT123"/>
      <c r="ACU123"/>
      <c r="ACV123"/>
      <c r="ACW123"/>
      <c r="ACX123"/>
      <c r="ACY123"/>
      <c r="ACZ123"/>
      <c r="ADA123"/>
      <c r="ADB123"/>
      <c r="ADC123"/>
      <c r="ADD123"/>
      <c r="ADE123"/>
      <c r="ADF123"/>
      <c r="ADG123"/>
      <c r="ADH123"/>
      <c r="ADI123"/>
      <c r="ADJ123"/>
      <c r="ADK123"/>
      <c r="ADL123"/>
      <c r="ADM123"/>
      <c r="ADN123"/>
      <c r="ADO123"/>
      <c r="ADP123"/>
      <c r="ADQ123"/>
      <c r="ADR123"/>
      <c r="ADS123"/>
      <c r="ADT123"/>
      <c r="ADU123"/>
      <c r="ADV123"/>
      <c r="ADW123"/>
      <c r="ADX123"/>
      <c r="ADY123"/>
      <c r="ADZ123"/>
      <c r="AEA123"/>
      <c r="AEB123"/>
      <c r="AEC123"/>
      <c r="AED123"/>
      <c r="AEE123"/>
      <c r="AEF123"/>
      <c r="AEG123"/>
      <c r="AEH123"/>
      <c r="AEI123"/>
      <c r="AEJ123"/>
      <c r="AEK123"/>
      <c r="AEL123"/>
      <c r="AEM123"/>
      <c r="AEN123"/>
      <c r="AEO123"/>
      <c r="AEP123"/>
      <c r="AEQ123"/>
      <c r="AER123"/>
      <c r="AES123"/>
      <c r="AET123"/>
      <c r="AEU123"/>
      <c r="AEV123"/>
      <c r="AEW123"/>
      <c r="AEX123"/>
      <c r="AEY123"/>
      <c r="AEZ123"/>
      <c r="AFA123"/>
      <c r="AFB123"/>
      <c r="AFC123"/>
      <c r="AFD123"/>
      <c r="AFE123"/>
      <c r="AFF123"/>
      <c r="AFG123"/>
      <c r="AFH123"/>
      <c r="AFI123"/>
      <c r="AFJ123"/>
      <c r="AFK123"/>
      <c r="AFL123"/>
      <c r="AFM123"/>
      <c r="AFN123"/>
      <c r="AFO123"/>
      <c r="AFP123"/>
      <c r="AFQ123"/>
      <c r="AFR123"/>
      <c r="AFS123"/>
      <c r="AFT123"/>
      <c r="AFU123"/>
      <c r="AFV123"/>
      <c r="AFW123"/>
      <c r="AFX123"/>
      <c r="AFY123"/>
      <c r="AFZ123"/>
      <c r="AGA123"/>
      <c r="AGB123"/>
      <c r="AGC123"/>
      <c r="AGD123"/>
      <c r="AGE123"/>
      <c r="AGF123"/>
      <c r="AGG123"/>
      <c r="AGH123"/>
      <c r="AGI123"/>
      <c r="AGJ123"/>
      <c r="AGK123"/>
      <c r="AGL123"/>
      <c r="AGM123"/>
      <c r="AGN123"/>
      <c r="AGO123"/>
      <c r="AGP123"/>
      <c r="AGQ123"/>
      <c r="AGR123"/>
      <c r="AGS123"/>
      <c r="AGT123"/>
      <c r="AGU123"/>
      <c r="AGV123"/>
      <c r="AGW123"/>
      <c r="AGX123"/>
      <c r="AGY123"/>
      <c r="AGZ123"/>
      <c r="AHA123"/>
      <c r="AHB123"/>
      <c r="AHC123"/>
      <c r="AHD123"/>
      <c r="AHE123"/>
      <c r="AHF123"/>
      <c r="AHG123"/>
      <c r="AHH123"/>
      <c r="AHI123"/>
      <c r="AHJ123"/>
      <c r="AHK123"/>
      <c r="AHL123"/>
      <c r="AHM123"/>
      <c r="AHN123"/>
      <c r="AHO123"/>
      <c r="AHP123"/>
      <c r="AHQ123"/>
      <c r="AHR123"/>
      <c r="AHS123"/>
      <c r="AHT123"/>
      <c r="AHU123"/>
      <c r="AHV123"/>
      <c r="AHW123"/>
      <c r="AHX123"/>
      <c r="AHY123"/>
      <c r="AHZ123"/>
      <c r="AIA123"/>
      <c r="AIB123"/>
      <c r="AIC123"/>
      <c r="AID123"/>
      <c r="AIE123"/>
      <c r="AIF123"/>
      <c r="AIG123"/>
      <c r="AIH123"/>
      <c r="AII123"/>
      <c r="AIJ123"/>
      <c r="AIK123"/>
      <c r="AIL123"/>
      <c r="AIM123"/>
      <c r="AIN123"/>
      <c r="AIO123"/>
      <c r="AIP123"/>
      <c r="AIQ123"/>
      <c r="AIR123"/>
      <c r="AIS123"/>
      <c r="AIT123"/>
      <c r="AIU123"/>
      <c r="AIV123"/>
      <c r="AIW123"/>
      <c r="AIX123"/>
      <c r="AIY123"/>
      <c r="AIZ123"/>
      <c r="AJA123"/>
      <c r="AJB123"/>
      <c r="AJC123"/>
      <c r="AJD123"/>
      <c r="AJE123"/>
      <c r="AJF123"/>
      <c r="AJG123"/>
      <c r="AJH123"/>
      <c r="AJI123"/>
      <c r="AJJ123"/>
      <c r="AJK123"/>
      <c r="AJL123"/>
      <c r="AJM123"/>
      <c r="AJN123"/>
      <c r="AJO123"/>
      <c r="AJP123"/>
      <c r="AJQ123"/>
      <c r="AJR123"/>
      <c r="AJS123"/>
      <c r="AJT123"/>
      <c r="AJU123"/>
      <c r="AJV123"/>
      <c r="AJW123"/>
      <c r="AJX123"/>
      <c r="AJY123"/>
      <c r="AJZ123"/>
      <c r="AKA123"/>
      <c r="AKB123"/>
      <c r="AKC123"/>
      <c r="AKD123"/>
      <c r="AKE123"/>
      <c r="AKF123"/>
      <c r="AKG123"/>
      <c r="AKH123"/>
      <c r="AKI123"/>
      <c r="AKJ123"/>
      <c r="AKK123"/>
      <c r="AKL123"/>
      <c r="AKM123"/>
      <c r="AKN123"/>
      <c r="AKO123"/>
      <c r="AKP123"/>
      <c r="AKQ123"/>
      <c r="AKR123"/>
      <c r="AKS123"/>
      <c r="AKT123"/>
      <c r="AKU123"/>
      <c r="AKV123"/>
      <c r="AKW123"/>
      <c r="AKX123"/>
      <c r="AKY123"/>
      <c r="AKZ123"/>
      <c r="ALA123"/>
      <c r="ALB123"/>
      <c r="ALC123"/>
      <c r="ALD123"/>
      <c r="ALE123"/>
      <c r="ALF123"/>
      <c r="ALG123"/>
      <c r="ALH123"/>
      <c r="ALI123"/>
      <c r="ALJ123"/>
      <c r="ALK123"/>
      <c r="ALL123"/>
      <c r="ALM123"/>
      <c r="ALN123"/>
      <c r="ALO123"/>
      <c r="ALP123"/>
      <c r="ALQ123"/>
      <c r="ALR123"/>
      <c r="ALS123"/>
      <c r="ALT123"/>
      <c r="ALU123"/>
      <c r="ALV123"/>
      <c r="ALW123"/>
      <c r="ALX123"/>
      <c r="ALY123"/>
      <c r="ALZ123"/>
      <c r="AMA123"/>
      <c r="AMB123"/>
      <c r="AMC123"/>
      <c r="AMD123"/>
      <c r="AME123"/>
      <c r="AMF123"/>
      <c r="AMH123"/>
      <c r="AMI123"/>
      <c r="AMJ123"/>
      <c r="AMK123"/>
    </row>
    <row r="124" spans="1:1025" ht="15" customHeight="1" x14ac:dyDescent="0.2">
      <c r="A124" s="328" t="s">
        <v>307</v>
      </c>
      <c r="B124" s="91" t="s">
        <v>164</v>
      </c>
      <c r="C124" s="257">
        <f>1/6</f>
        <v>0.16666666666666666</v>
      </c>
      <c r="D124" s="435">
        <f>1/6</f>
        <v>0.16666666666666666</v>
      </c>
      <c r="E124" s="339"/>
      <c r="F124" s="331"/>
      <c r="G124" s="81">
        <f>(E124+F124)/2</f>
        <v>0</v>
      </c>
      <c r="H124" s="82">
        <f>C124*G124</f>
        <v>0</v>
      </c>
      <c r="I124" s="79">
        <f t="shared" ref="I124:I127" si="11">D124*G124</f>
        <v>0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  <c r="ABW124"/>
      <c r="ABX124"/>
      <c r="ABY124"/>
      <c r="ABZ124"/>
      <c r="ACA124"/>
      <c r="ACB124"/>
      <c r="ACC124"/>
      <c r="ACD124"/>
      <c r="ACE124"/>
      <c r="ACF124"/>
      <c r="ACG124"/>
      <c r="ACH124"/>
      <c r="ACI124"/>
      <c r="ACJ124"/>
      <c r="ACK124"/>
      <c r="ACL124"/>
      <c r="ACM124"/>
      <c r="ACN124"/>
      <c r="ACO124"/>
      <c r="ACP124"/>
      <c r="ACQ124"/>
      <c r="ACR124"/>
      <c r="ACS124"/>
      <c r="ACT124"/>
      <c r="ACU124"/>
      <c r="ACV124"/>
      <c r="ACW124"/>
      <c r="ACX124"/>
      <c r="ACY124"/>
      <c r="ACZ124"/>
      <c r="ADA124"/>
      <c r="ADB124"/>
      <c r="ADC124"/>
      <c r="ADD124"/>
      <c r="ADE124"/>
      <c r="ADF124"/>
      <c r="ADG124"/>
      <c r="ADH124"/>
      <c r="ADI124"/>
      <c r="ADJ124"/>
      <c r="ADK124"/>
      <c r="ADL124"/>
      <c r="ADM124"/>
      <c r="ADN124"/>
      <c r="ADO124"/>
      <c r="ADP124"/>
      <c r="ADQ124"/>
      <c r="ADR124"/>
      <c r="ADS124"/>
      <c r="ADT124"/>
      <c r="ADU124"/>
      <c r="ADV124"/>
      <c r="ADW124"/>
      <c r="ADX124"/>
      <c r="ADY124"/>
      <c r="ADZ124"/>
      <c r="AEA124"/>
      <c r="AEB124"/>
      <c r="AEC124"/>
      <c r="AED124"/>
      <c r="AEE124"/>
      <c r="AEF124"/>
      <c r="AEG124"/>
      <c r="AEH124"/>
      <c r="AEI124"/>
      <c r="AEJ124"/>
      <c r="AEK124"/>
      <c r="AEL124"/>
      <c r="AEM124"/>
      <c r="AEN124"/>
      <c r="AEO124"/>
      <c r="AEP124"/>
      <c r="AEQ124"/>
      <c r="AER124"/>
      <c r="AES124"/>
      <c r="AET124"/>
      <c r="AEU124"/>
      <c r="AEV124"/>
      <c r="AEW124"/>
      <c r="AEX124"/>
      <c r="AEY124"/>
      <c r="AEZ124"/>
      <c r="AFA124"/>
      <c r="AFB124"/>
      <c r="AFC124"/>
      <c r="AFD124"/>
      <c r="AFE124"/>
      <c r="AFF124"/>
      <c r="AFG124"/>
      <c r="AFH124"/>
      <c r="AFI124"/>
      <c r="AFJ124"/>
      <c r="AFK124"/>
      <c r="AFL124"/>
      <c r="AFM124"/>
      <c r="AFN124"/>
      <c r="AFO124"/>
      <c r="AFP124"/>
      <c r="AFQ124"/>
      <c r="AFR124"/>
      <c r="AFS124"/>
      <c r="AFT124"/>
      <c r="AFU124"/>
      <c r="AFV124"/>
      <c r="AFW124"/>
      <c r="AFX124"/>
      <c r="AFY124"/>
      <c r="AFZ124"/>
      <c r="AGA124"/>
      <c r="AGB124"/>
      <c r="AGC124"/>
      <c r="AGD124"/>
      <c r="AGE124"/>
      <c r="AGF124"/>
      <c r="AGG124"/>
      <c r="AGH124"/>
      <c r="AGI124"/>
      <c r="AGJ124"/>
      <c r="AGK124"/>
      <c r="AGL124"/>
      <c r="AGM124"/>
      <c r="AGN124"/>
      <c r="AGO124"/>
      <c r="AGP124"/>
      <c r="AGQ124"/>
      <c r="AGR124"/>
      <c r="AGS124"/>
      <c r="AGT124"/>
      <c r="AGU124"/>
      <c r="AGV124"/>
      <c r="AGW124"/>
      <c r="AGX124"/>
      <c r="AGY124"/>
      <c r="AGZ124"/>
      <c r="AHA124"/>
      <c r="AHB124"/>
      <c r="AHC124"/>
      <c r="AHD124"/>
      <c r="AHE124"/>
      <c r="AHF124"/>
      <c r="AHG124"/>
      <c r="AHH124"/>
      <c r="AHI124"/>
      <c r="AHJ124"/>
      <c r="AHK124"/>
      <c r="AHL124"/>
      <c r="AHM124"/>
      <c r="AHN124"/>
      <c r="AHO124"/>
      <c r="AHP124"/>
      <c r="AHQ124"/>
      <c r="AHR124"/>
      <c r="AHS124"/>
      <c r="AHT124"/>
      <c r="AHU124"/>
      <c r="AHV124"/>
      <c r="AHW124"/>
      <c r="AHX124"/>
      <c r="AHY124"/>
      <c r="AHZ124"/>
      <c r="AIA124"/>
      <c r="AIB124"/>
      <c r="AIC124"/>
      <c r="AID124"/>
      <c r="AIE124"/>
      <c r="AIF124"/>
      <c r="AIG124"/>
      <c r="AIH124"/>
      <c r="AII124"/>
      <c r="AIJ124"/>
      <c r="AIK124"/>
      <c r="AIL124"/>
      <c r="AIM124"/>
      <c r="AIN124"/>
      <c r="AIO124"/>
      <c r="AIP124"/>
      <c r="AIQ124"/>
      <c r="AIR124"/>
      <c r="AIS124"/>
      <c r="AIT124"/>
      <c r="AIU124"/>
      <c r="AIV124"/>
      <c r="AIW124"/>
      <c r="AIX124"/>
      <c r="AIY124"/>
      <c r="AIZ124"/>
      <c r="AJA124"/>
      <c r="AJB124"/>
      <c r="AJC124"/>
      <c r="AJD124"/>
      <c r="AJE124"/>
      <c r="AJF124"/>
      <c r="AJG124"/>
      <c r="AJH124"/>
      <c r="AJI124"/>
      <c r="AJJ124"/>
      <c r="AJK124"/>
      <c r="AJL124"/>
      <c r="AJM124"/>
      <c r="AJN124"/>
      <c r="AJO124"/>
      <c r="AJP124"/>
      <c r="AJQ124"/>
      <c r="AJR124"/>
      <c r="AJS124"/>
      <c r="AJT124"/>
      <c r="AJU124"/>
      <c r="AJV124"/>
      <c r="AJW124"/>
      <c r="AJX124"/>
      <c r="AJY124"/>
      <c r="AJZ124"/>
      <c r="AKA124"/>
      <c r="AKB124"/>
      <c r="AKC124"/>
      <c r="AKD124"/>
      <c r="AKE124"/>
      <c r="AKF124"/>
      <c r="AKG124"/>
      <c r="AKH124"/>
      <c r="AKI124"/>
      <c r="AKJ124"/>
      <c r="AKK124"/>
      <c r="AKL124"/>
      <c r="AKM124"/>
      <c r="AKN124"/>
      <c r="AKO124"/>
      <c r="AKP124"/>
      <c r="AKQ124"/>
      <c r="AKR124"/>
      <c r="AKS124"/>
      <c r="AKT124"/>
      <c r="AKU124"/>
      <c r="AKV124"/>
      <c r="AKW124"/>
      <c r="AKX124"/>
      <c r="AKY124"/>
      <c r="AKZ124"/>
      <c r="ALA124"/>
      <c r="ALB124"/>
      <c r="ALC124"/>
      <c r="ALD124"/>
      <c r="ALE124"/>
      <c r="ALF124"/>
      <c r="ALG124"/>
      <c r="ALH124"/>
      <c r="ALI124"/>
      <c r="ALJ124"/>
      <c r="ALK124"/>
      <c r="ALL124"/>
      <c r="ALM124"/>
      <c r="ALN124"/>
      <c r="ALO124"/>
      <c r="ALP124"/>
      <c r="ALQ124"/>
      <c r="ALR124"/>
      <c r="ALS124"/>
      <c r="ALT124"/>
      <c r="ALU124"/>
      <c r="ALV124"/>
      <c r="ALW124"/>
      <c r="ALX124"/>
      <c r="ALY124"/>
      <c r="ALZ124"/>
      <c r="AMA124"/>
      <c r="AMB124"/>
      <c r="AMC124"/>
      <c r="AMD124"/>
      <c r="AME124"/>
      <c r="AMF124"/>
      <c r="AMH124"/>
      <c r="AMI124"/>
      <c r="AMJ124"/>
      <c r="AMK124"/>
    </row>
    <row r="125" spans="1:1025" ht="15" customHeight="1" x14ac:dyDescent="0.2">
      <c r="A125" s="328" t="s">
        <v>308</v>
      </c>
      <c r="B125" s="91" t="s">
        <v>184</v>
      </c>
      <c r="C125" s="256">
        <f>2*22</f>
        <v>44</v>
      </c>
      <c r="D125" s="261">
        <f>3*22</f>
        <v>66</v>
      </c>
      <c r="E125" s="339"/>
      <c r="F125" s="331"/>
      <c r="G125" s="81">
        <f>(E125+F125)/2</f>
        <v>0</v>
      </c>
      <c r="H125" s="82">
        <f>C125*G125</f>
        <v>0</v>
      </c>
      <c r="I125" s="79">
        <f t="shared" si="11"/>
        <v>0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  <c r="ABW125"/>
      <c r="ABX125"/>
      <c r="ABY125"/>
      <c r="ABZ125"/>
      <c r="ACA125"/>
      <c r="ACB125"/>
      <c r="ACC125"/>
      <c r="ACD125"/>
      <c r="ACE125"/>
      <c r="ACF125"/>
      <c r="ACG125"/>
      <c r="ACH125"/>
      <c r="ACI125"/>
      <c r="ACJ125"/>
      <c r="ACK125"/>
      <c r="ACL125"/>
      <c r="ACM125"/>
      <c r="ACN125"/>
      <c r="ACO125"/>
      <c r="ACP125"/>
      <c r="ACQ125"/>
      <c r="ACR125"/>
      <c r="ACS125"/>
      <c r="ACT125"/>
      <c r="ACU125"/>
      <c r="ACV125"/>
      <c r="ACW125"/>
      <c r="ACX125"/>
      <c r="ACY125"/>
      <c r="ACZ125"/>
      <c r="ADA125"/>
      <c r="ADB125"/>
      <c r="ADC125"/>
      <c r="ADD125"/>
      <c r="ADE125"/>
      <c r="ADF125"/>
      <c r="ADG125"/>
      <c r="ADH125"/>
      <c r="ADI125"/>
      <c r="ADJ125"/>
      <c r="ADK125"/>
      <c r="ADL125"/>
      <c r="ADM125"/>
      <c r="ADN125"/>
      <c r="ADO125"/>
      <c r="ADP125"/>
      <c r="ADQ125"/>
      <c r="ADR125"/>
      <c r="ADS125"/>
      <c r="ADT125"/>
      <c r="ADU125"/>
      <c r="ADV125"/>
      <c r="ADW125"/>
      <c r="ADX125"/>
      <c r="ADY125"/>
      <c r="ADZ125"/>
      <c r="AEA125"/>
      <c r="AEB125"/>
      <c r="AEC125"/>
      <c r="AED125"/>
      <c r="AEE125"/>
      <c r="AEF125"/>
      <c r="AEG125"/>
      <c r="AEH125"/>
      <c r="AEI125"/>
      <c r="AEJ125"/>
      <c r="AEK125"/>
      <c r="AEL125"/>
      <c r="AEM125"/>
      <c r="AEN125"/>
      <c r="AEO125"/>
      <c r="AEP125"/>
      <c r="AEQ125"/>
      <c r="AER125"/>
      <c r="AES125"/>
      <c r="AET125"/>
      <c r="AEU125"/>
      <c r="AEV125"/>
      <c r="AEW125"/>
      <c r="AEX125"/>
      <c r="AEY125"/>
      <c r="AEZ125"/>
      <c r="AFA125"/>
      <c r="AFB125"/>
      <c r="AFC125"/>
      <c r="AFD125"/>
      <c r="AFE125"/>
      <c r="AFF125"/>
      <c r="AFG125"/>
      <c r="AFH125"/>
      <c r="AFI125"/>
      <c r="AFJ125"/>
      <c r="AFK125"/>
      <c r="AFL125"/>
      <c r="AFM125"/>
      <c r="AFN125"/>
      <c r="AFO125"/>
      <c r="AFP125"/>
      <c r="AFQ125"/>
      <c r="AFR125"/>
      <c r="AFS125"/>
      <c r="AFT125"/>
      <c r="AFU125"/>
      <c r="AFV125"/>
      <c r="AFW125"/>
      <c r="AFX125"/>
      <c r="AFY125"/>
      <c r="AFZ125"/>
      <c r="AGA125"/>
      <c r="AGB125"/>
      <c r="AGC125"/>
      <c r="AGD125"/>
      <c r="AGE125"/>
      <c r="AGF125"/>
      <c r="AGG125"/>
      <c r="AGH125"/>
      <c r="AGI125"/>
      <c r="AGJ125"/>
      <c r="AGK125"/>
      <c r="AGL125"/>
      <c r="AGM125"/>
      <c r="AGN125"/>
      <c r="AGO125"/>
      <c r="AGP125"/>
      <c r="AGQ125"/>
      <c r="AGR125"/>
      <c r="AGS125"/>
      <c r="AGT125"/>
      <c r="AGU125"/>
      <c r="AGV125"/>
      <c r="AGW125"/>
      <c r="AGX125"/>
      <c r="AGY125"/>
      <c r="AGZ125"/>
      <c r="AHA125"/>
      <c r="AHB125"/>
      <c r="AHC125"/>
      <c r="AHD125"/>
      <c r="AHE125"/>
      <c r="AHF125"/>
      <c r="AHG125"/>
      <c r="AHH125"/>
      <c r="AHI125"/>
      <c r="AHJ125"/>
      <c r="AHK125"/>
      <c r="AHL125"/>
      <c r="AHM125"/>
      <c r="AHN125"/>
      <c r="AHO125"/>
      <c r="AHP125"/>
      <c r="AHQ125"/>
      <c r="AHR125"/>
      <c r="AHS125"/>
      <c r="AHT125"/>
      <c r="AHU125"/>
      <c r="AHV125"/>
      <c r="AHW125"/>
      <c r="AHX125"/>
      <c r="AHY125"/>
      <c r="AHZ125"/>
      <c r="AIA125"/>
      <c r="AIB125"/>
      <c r="AIC125"/>
      <c r="AID125"/>
      <c r="AIE125"/>
      <c r="AIF125"/>
      <c r="AIG125"/>
      <c r="AIH125"/>
      <c r="AII125"/>
      <c r="AIJ125"/>
      <c r="AIK125"/>
      <c r="AIL125"/>
      <c r="AIM125"/>
      <c r="AIN125"/>
      <c r="AIO125"/>
      <c r="AIP125"/>
      <c r="AIQ125"/>
      <c r="AIR125"/>
      <c r="AIS125"/>
      <c r="AIT125"/>
      <c r="AIU125"/>
      <c r="AIV125"/>
      <c r="AIW125"/>
      <c r="AIX125"/>
      <c r="AIY125"/>
      <c r="AIZ125"/>
      <c r="AJA125"/>
      <c r="AJB125"/>
      <c r="AJC125"/>
      <c r="AJD125"/>
      <c r="AJE125"/>
      <c r="AJF125"/>
      <c r="AJG125"/>
      <c r="AJH125"/>
      <c r="AJI125"/>
      <c r="AJJ125"/>
      <c r="AJK125"/>
      <c r="AJL125"/>
      <c r="AJM125"/>
      <c r="AJN125"/>
      <c r="AJO125"/>
      <c r="AJP125"/>
      <c r="AJQ125"/>
      <c r="AJR125"/>
      <c r="AJS125"/>
      <c r="AJT125"/>
      <c r="AJU125"/>
      <c r="AJV125"/>
      <c r="AJW125"/>
      <c r="AJX125"/>
      <c r="AJY125"/>
      <c r="AJZ125"/>
      <c r="AKA125"/>
      <c r="AKB125"/>
      <c r="AKC125"/>
      <c r="AKD125"/>
      <c r="AKE125"/>
      <c r="AKF125"/>
      <c r="AKG125"/>
      <c r="AKH125"/>
      <c r="AKI125"/>
      <c r="AKJ125"/>
      <c r="AKK125"/>
      <c r="AKL125"/>
      <c r="AKM125"/>
      <c r="AKN125"/>
      <c r="AKO125"/>
      <c r="AKP125"/>
      <c r="AKQ125"/>
      <c r="AKR125"/>
      <c r="AKS125"/>
      <c r="AKT125"/>
      <c r="AKU125"/>
      <c r="AKV125"/>
      <c r="AKW125"/>
      <c r="AKX125"/>
      <c r="AKY125"/>
      <c r="AKZ125"/>
      <c r="ALA125"/>
      <c r="ALB125"/>
      <c r="ALC125"/>
      <c r="ALD125"/>
      <c r="ALE125"/>
      <c r="ALF125"/>
      <c r="ALG125"/>
      <c r="ALH125"/>
      <c r="ALI125"/>
      <c r="ALJ125"/>
      <c r="ALK125"/>
      <c r="ALL125"/>
      <c r="ALM125"/>
      <c r="ALN125"/>
      <c r="ALO125"/>
      <c r="ALP125"/>
      <c r="ALQ125"/>
      <c r="ALR125"/>
      <c r="ALS125"/>
      <c r="ALT125"/>
      <c r="ALU125"/>
      <c r="ALV125"/>
      <c r="ALW125"/>
      <c r="ALX125"/>
      <c r="ALY125"/>
      <c r="ALZ125"/>
      <c r="AMA125"/>
      <c r="AMB125"/>
      <c r="AMC125"/>
      <c r="AMD125"/>
      <c r="AME125"/>
      <c r="AMF125"/>
      <c r="AMH125"/>
      <c r="AMI125"/>
      <c r="AMJ125"/>
      <c r="AMK125"/>
    </row>
    <row r="126" spans="1:1025" ht="15" customHeight="1" x14ac:dyDescent="0.2">
      <c r="A126" s="328" t="s">
        <v>309</v>
      </c>
      <c r="B126" s="91" t="s">
        <v>164</v>
      </c>
      <c r="C126" s="259">
        <f>2*22</f>
        <v>44</v>
      </c>
      <c r="D126" s="436">
        <f>3*22</f>
        <v>66</v>
      </c>
      <c r="E126" s="340"/>
      <c r="F126" s="331"/>
      <c r="G126" s="81">
        <f>(E126+F126)/2</f>
        <v>0</v>
      </c>
      <c r="H126" s="82">
        <f>C126*G126</f>
        <v>0</v>
      </c>
      <c r="I126" s="79">
        <f t="shared" si="11"/>
        <v>0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  <c r="ABW126"/>
      <c r="ABX126"/>
      <c r="ABY126"/>
      <c r="ABZ126"/>
      <c r="ACA126"/>
      <c r="ACB126"/>
      <c r="ACC126"/>
      <c r="ACD126"/>
      <c r="ACE126"/>
      <c r="ACF126"/>
      <c r="ACG126"/>
      <c r="ACH126"/>
      <c r="ACI126"/>
      <c r="ACJ126"/>
      <c r="ACK126"/>
      <c r="ACL126"/>
      <c r="ACM126"/>
      <c r="ACN126"/>
      <c r="ACO126"/>
      <c r="ACP126"/>
      <c r="ACQ126"/>
      <c r="ACR126"/>
      <c r="ACS126"/>
      <c r="ACT126"/>
      <c r="ACU126"/>
      <c r="ACV126"/>
      <c r="ACW126"/>
      <c r="ACX126"/>
      <c r="ACY126"/>
      <c r="ACZ126"/>
      <c r="ADA126"/>
      <c r="ADB126"/>
      <c r="ADC126"/>
      <c r="ADD126"/>
      <c r="ADE126"/>
      <c r="ADF126"/>
      <c r="ADG126"/>
      <c r="ADH126"/>
      <c r="ADI126"/>
      <c r="ADJ126"/>
      <c r="ADK126"/>
      <c r="ADL126"/>
      <c r="ADM126"/>
      <c r="ADN126"/>
      <c r="ADO126"/>
      <c r="ADP126"/>
      <c r="ADQ126"/>
      <c r="ADR126"/>
      <c r="ADS126"/>
      <c r="ADT126"/>
      <c r="ADU126"/>
      <c r="ADV126"/>
      <c r="ADW126"/>
      <c r="ADX126"/>
      <c r="ADY126"/>
      <c r="ADZ126"/>
      <c r="AEA126"/>
      <c r="AEB126"/>
      <c r="AEC126"/>
      <c r="AED126"/>
      <c r="AEE126"/>
      <c r="AEF126"/>
      <c r="AEG126"/>
      <c r="AEH126"/>
      <c r="AEI126"/>
      <c r="AEJ126"/>
      <c r="AEK126"/>
      <c r="AEL126"/>
      <c r="AEM126"/>
      <c r="AEN126"/>
      <c r="AEO126"/>
      <c r="AEP126"/>
      <c r="AEQ126"/>
      <c r="AER126"/>
      <c r="AES126"/>
      <c r="AET126"/>
      <c r="AEU126"/>
      <c r="AEV126"/>
      <c r="AEW126"/>
      <c r="AEX126"/>
      <c r="AEY126"/>
      <c r="AEZ126"/>
      <c r="AFA126"/>
      <c r="AFB126"/>
      <c r="AFC126"/>
      <c r="AFD126"/>
      <c r="AFE126"/>
      <c r="AFF126"/>
      <c r="AFG126"/>
      <c r="AFH126"/>
      <c r="AFI126"/>
      <c r="AFJ126"/>
      <c r="AFK126"/>
      <c r="AFL126"/>
      <c r="AFM126"/>
      <c r="AFN126"/>
      <c r="AFO126"/>
      <c r="AFP126"/>
      <c r="AFQ126"/>
      <c r="AFR126"/>
      <c r="AFS126"/>
      <c r="AFT126"/>
      <c r="AFU126"/>
      <c r="AFV126"/>
      <c r="AFW126"/>
      <c r="AFX126"/>
      <c r="AFY126"/>
      <c r="AFZ126"/>
      <c r="AGA126"/>
      <c r="AGB126"/>
      <c r="AGC126"/>
      <c r="AGD126"/>
      <c r="AGE126"/>
      <c r="AGF126"/>
      <c r="AGG126"/>
      <c r="AGH126"/>
      <c r="AGI126"/>
      <c r="AGJ126"/>
      <c r="AGK126"/>
      <c r="AGL126"/>
      <c r="AGM126"/>
      <c r="AGN126"/>
      <c r="AGO126"/>
      <c r="AGP126"/>
      <c r="AGQ126"/>
      <c r="AGR126"/>
      <c r="AGS126"/>
      <c r="AGT126"/>
      <c r="AGU126"/>
      <c r="AGV126"/>
      <c r="AGW126"/>
      <c r="AGX126"/>
      <c r="AGY126"/>
      <c r="AGZ126"/>
      <c r="AHA126"/>
      <c r="AHB126"/>
      <c r="AHC126"/>
      <c r="AHD126"/>
      <c r="AHE126"/>
      <c r="AHF126"/>
      <c r="AHG126"/>
      <c r="AHH126"/>
      <c r="AHI126"/>
      <c r="AHJ126"/>
      <c r="AHK126"/>
      <c r="AHL126"/>
      <c r="AHM126"/>
      <c r="AHN126"/>
      <c r="AHO126"/>
      <c r="AHP126"/>
      <c r="AHQ126"/>
      <c r="AHR126"/>
      <c r="AHS126"/>
      <c r="AHT126"/>
      <c r="AHU126"/>
      <c r="AHV126"/>
      <c r="AHW126"/>
      <c r="AHX126"/>
      <c r="AHY126"/>
      <c r="AHZ126"/>
      <c r="AIA126"/>
      <c r="AIB126"/>
      <c r="AIC126"/>
      <c r="AID126"/>
      <c r="AIE126"/>
      <c r="AIF126"/>
      <c r="AIG126"/>
      <c r="AIH126"/>
      <c r="AII126"/>
      <c r="AIJ126"/>
      <c r="AIK126"/>
      <c r="AIL126"/>
      <c r="AIM126"/>
      <c r="AIN126"/>
      <c r="AIO126"/>
      <c r="AIP126"/>
      <c r="AIQ126"/>
      <c r="AIR126"/>
      <c r="AIS126"/>
      <c r="AIT126"/>
      <c r="AIU126"/>
      <c r="AIV126"/>
      <c r="AIW126"/>
      <c r="AIX126"/>
      <c r="AIY126"/>
      <c r="AIZ126"/>
      <c r="AJA126"/>
      <c r="AJB126"/>
      <c r="AJC126"/>
      <c r="AJD126"/>
      <c r="AJE126"/>
      <c r="AJF126"/>
      <c r="AJG126"/>
      <c r="AJH126"/>
      <c r="AJI126"/>
      <c r="AJJ126"/>
      <c r="AJK126"/>
      <c r="AJL126"/>
      <c r="AJM126"/>
      <c r="AJN126"/>
      <c r="AJO126"/>
      <c r="AJP126"/>
      <c r="AJQ126"/>
      <c r="AJR126"/>
      <c r="AJS126"/>
      <c r="AJT126"/>
      <c r="AJU126"/>
      <c r="AJV126"/>
      <c r="AJW126"/>
      <c r="AJX126"/>
      <c r="AJY126"/>
      <c r="AJZ126"/>
      <c r="AKA126"/>
      <c r="AKB126"/>
      <c r="AKC126"/>
      <c r="AKD126"/>
      <c r="AKE126"/>
      <c r="AKF126"/>
      <c r="AKG126"/>
      <c r="AKH126"/>
      <c r="AKI126"/>
      <c r="AKJ126"/>
      <c r="AKK126"/>
      <c r="AKL126"/>
      <c r="AKM126"/>
      <c r="AKN126"/>
      <c r="AKO126"/>
      <c r="AKP126"/>
      <c r="AKQ126"/>
      <c r="AKR126"/>
      <c r="AKS126"/>
      <c r="AKT126"/>
      <c r="AKU126"/>
      <c r="AKV126"/>
      <c r="AKW126"/>
      <c r="AKX126"/>
      <c r="AKY126"/>
      <c r="AKZ126"/>
      <c r="ALA126"/>
      <c r="ALB126"/>
      <c r="ALC126"/>
      <c r="ALD126"/>
      <c r="ALE126"/>
      <c r="ALF126"/>
      <c r="ALG126"/>
      <c r="ALH126"/>
      <c r="ALI126"/>
      <c r="ALJ126"/>
      <c r="ALK126"/>
      <c r="ALL126"/>
      <c r="ALM126"/>
      <c r="ALN126"/>
      <c r="ALO126"/>
      <c r="ALP126"/>
      <c r="ALQ126"/>
      <c r="ALR126"/>
      <c r="ALS126"/>
      <c r="ALT126"/>
      <c r="ALU126"/>
      <c r="ALV126"/>
      <c r="ALW126"/>
      <c r="ALX126"/>
      <c r="ALY126"/>
      <c r="ALZ126"/>
      <c r="AMA126"/>
      <c r="AMB126"/>
      <c r="AMC126"/>
      <c r="AMD126"/>
      <c r="AME126"/>
      <c r="AMF126"/>
      <c r="AMH126"/>
      <c r="AMI126"/>
      <c r="AMJ126"/>
      <c r="AMK126"/>
    </row>
    <row r="127" spans="1:1025" ht="15" customHeight="1" x14ac:dyDescent="0.2">
      <c r="A127" s="336" t="s">
        <v>310</v>
      </c>
      <c r="B127" s="258" t="s">
        <v>164</v>
      </c>
      <c r="C127" s="259">
        <f>22</f>
        <v>22</v>
      </c>
      <c r="D127" s="259">
        <f>22</f>
        <v>22</v>
      </c>
      <c r="E127" s="464"/>
      <c r="F127" s="335"/>
      <c r="G127" s="83">
        <f>(E127+F127)/2</f>
        <v>0</v>
      </c>
      <c r="H127" s="84">
        <f>C127*G127</f>
        <v>0</v>
      </c>
      <c r="I127" s="465">
        <f t="shared" si="11"/>
        <v>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  <c r="ABW127"/>
      <c r="ABX127"/>
      <c r="ABY127"/>
      <c r="ABZ127"/>
      <c r="ACA127"/>
      <c r="ACB127"/>
      <c r="ACC127"/>
      <c r="ACD127"/>
      <c r="ACE127"/>
      <c r="ACF127"/>
      <c r="ACG127"/>
      <c r="ACH127"/>
      <c r="ACI127"/>
      <c r="ACJ127"/>
      <c r="ACK127"/>
      <c r="ACL127"/>
      <c r="ACM127"/>
      <c r="ACN127"/>
      <c r="ACO127"/>
      <c r="ACP127"/>
      <c r="ACQ127"/>
      <c r="ACR127"/>
      <c r="ACS127"/>
      <c r="ACT127"/>
      <c r="ACU127"/>
      <c r="ACV127"/>
      <c r="ACW127"/>
      <c r="ACX127"/>
      <c r="ACY127"/>
      <c r="ACZ127"/>
      <c r="ADA127"/>
      <c r="ADB127"/>
      <c r="ADC127"/>
      <c r="ADD127"/>
      <c r="ADE127"/>
      <c r="ADF127"/>
      <c r="ADG127"/>
      <c r="ADH127"/>
      <c r="ADI127"/>
      <c r="ADJ127"/>
      <c r="ADK127"/>
      <c r="ADL127"/>
      <c r="ADM127"/>
      <c r="ADN127"/>
      <c r="ADO127"/>
      <c r="ADP127"/>
      <c r="ADQ127"/>
      <c r="ADR127"/>
      <c r="ADS127"/>
      <c r="ADT127"/>
      <c r="ADU127"/>
      <c r="ADV127"/>
      <c r="ADW127"/>
      <c r="ADX127"/>
      <c r="ADY127"/>
      <c r="ADZ127"/>
      <c r="AEA127"/>
      <c r="AEB127"/>
      <c r="AEC127"/>
      <c r="AED127"/>
      <c r="AEE127"/>
      <c r="AEF127"/>
      <c r="AEG127"/>
      <c r="AEH127"/>
      <c r="AEI127"/>
      <c r="AEJ127"/>
      <c r="AEK127"/>
      <c r="AEL127"/>
      <c r="AEM127"/>
      <c r="AEN127"/>
      <c r="AEO127"/>
      <c r="AEP127"/>
      <c r="AEQ127"/>
      <c r="AER127"/>
      <c r="AES127"/>
      <c r="AET127"/>
      <c r="AEU127"/>
      <c r="AEV127"/>
      <c r="AEW127"/>
      <c r="AEX127"/>
      <c r="AEY127"/>
      <c r="AEZ127"/>
      <c r="AFA127"/>
      <c r="AFB127"/>
      <c r="AFC127"/>
      <c r="AFD127"/>
      <c r="AFE127"/>
      <c r="AFF127"/>
      <c r="AFG127"/>
      <c r="AFH127"/>
      <c r="AFI127"/>
      <c r="AFJ127"/>
      <c r="AFK127"/>
      <c r="AFL127"/>
      <c r="AFM127"/>
      <c r="AFN127"/>
      <c r="AFO127"/>
      <c r="AFP127"/>
      <c r="AFQ127"/>
      <c r="AFR127"/>
      <c r="AFS127"/>
      <c r="AFT127"/>
      <c r="AFU127"/>
      <c r="AFV127"/>
      <c r="AFW127"/>
      <c r="AFX127"/>
      <c r="AFY127"/>
      <c r="AFZ127"/>
      <c r="AGA127"/>
      <c r="AGB127"/>
      <c r="AGC127"/>
      <c r="AGD127"/>
      <c r="AGE127"/>
      <c r="AGF127"/>
      <c r="AGG127"/>
      <c r="AGH127"/>
      <c r="AGI127"/>
      <c r="AGJ127"/>
      <c r="AGK127"/>
      <c r="AGL127"/>
      <c r="AGM127"/>
      <c r="AGN127"/>
      <c r="AGO127"/>
      <c r="AGP127"/>
      <c r="AGQ127"/>
      <c r="AGR127"/>
      <c r="AGS127"/>
      <c r="AGT127"/>
      <c r="AGU127"/>
      <c r="AGV127"/>
      <c r="AGW127"/>
      <c r="AGX127"/>
      <c r="AGY127"/>
      <c r="AGZ127"/>
      <c r="AHA127"/>
      <c r="AHB127"/>
      <c r="AHC127"/>
      <c r="AHD127"/>
      <c r="AHE127"/>
      <c r="AHF127"/>
      <c r="AHG127"/>
      <c r="AHH127"/>
      <c r="AHI127"/>
      <c r="AHJ127"/>
      <c r="AHK127"/>
      <c r="AHL127"/>
      <c r="AHM127"/>
      <c r="AHN127"/>
      <c r="AHO127"/>
      <c r="AHP127"/>
      <c r="AHQ127"/>
      <c r="AHR127"/>
      <c r="AHS127"/>
      <c r="AHT127"/>
      <c r="AHU127"/>
      <c r="AHV127"/>
      <c r="AHW127"/>
      <c r="AHX127"/>
      <c r="AHY127"/>
      <c r="AHZ127"/>
      <c r="AIA127"/>
      <c r="AIB127"/>
      <c r="AIC127"/>
      <c r="AID127"/>
      <c r="AIE127"/>
      <c r="AIF127"/>
      <c r="AIG127"/>
      <c r="AIH127"/>
      <c r="AII127"/>
      <c r="AIJ127"/>
      <c r="AIK127"/>
      <c r="AIL127"/>
      <c r="AIM127"/>
      <c r="AIN127"/>
      <c r="AIO127"/>
      <c r="AIP127"/>
      <c r="AIQ127"/>
      <c r="AIR127"/>
      <c r="AIS127"/>
      <c r="AIT127"/>
      <c r="AIU127"/>
      <c r="AIV127"/>
      <c r="AIW127"/>
      <c r="AIX127"/>
      <c r="AIY127"/>
      <c r="AIZ127"/>
      <c r="AJA127"/>
      <c r="AJB127"/>
      <c r="AJC127"/>
      <c r="AJD127"/>
      <c r="AJE127"/>
      <c r="AJF127"/>
      <c r="AJG127"/>
      <c r="AJH127"/>
      <c r="AJI127"/>
      <c r="AJJ127"/>
      <c r="AJK127"/>
      <c r="AJL127"/>
      <c r="AJM127"/>
      <c r="AJN127"/>
      <c r="AJO127"/>
      <c r="AJP127"/>
      <c r="AJQ127"/>
      <c r="AJR127"/>
      <c r="AJS127"/>
      <c r="AJT127"/>
      <c r="AJU127"/>
      <c r="AJV127"/>
      <c r="AJW127"/>
      <c r="AJX127"/>
      <c r="AJY127"/>
      <c r="AJZ127"/>
      <c r="AKA127"/>
      <c r="AKB127"/>
      <c r="AKC127"/>
      <c r="AKD127"/>
      <c r="AKE127"/>
      <c r="AKF127"/>
      <c r="AKG127"/>
      <c r="AKH127"/>
      <c r="AKI127"/>
      <c r="AKJ127"/>
      <c r="AKK127"/>
      <c r="AKL127"/>
      <c r="AKM127"/>
      <c r="AKN127"/>
      <c r="AKO127"/>
      <c r="AKP127"/>
      <c r="AKQ127"/>
      <c r="AKR127"/>
      <c r="AKS127"/>
      <c r="AKT127"/>
      <c r="AKU127"/>
      <c r="AKV127"/>
      <c r="AKW127"/>
      <c r="AKX127"/>
      <c r="AKY127"/>
      <c r="AKZ127"/>
      <c r="ALA127"/>
      <c r="ALB127"/>
      <c r="ALC127"/>
      <c r="ALD127"/>
      <c r="ALE127"/>
      <c r="ALF127"/>
      <c r="ALG127"/>
      <c r="ALH127"/>
      <c r="ALI127"/>
      <c r="ALJ127"/>
      <c r="ALK127"/>
      <c r="ALL127"/>
      <c r="ALM127"/>
      <c r="ALN127"/>
      <c r="ALO127"/>
      <c r="ALP127"/>
      <c r="ALQ127"/>
      <c r="ALR127"/>
      <c r="ALS127"/>
      <c r="ALT127"/>
      <c r="ALU127"/>
      <c r="ALV127"/>
      <c r="ALW127"/>
      <c r="ALX127"/>
      <c r="ALY127"/>
      <c r="ALZ127"/>
      <c r="AMA127"/>
      <c r="AMB127"/>
      <c r="AMC127"/>
      <c r="AMD127"/>
      <c r="AME127"/>
      <c r="AMF127"/>
      <c r="AMH127"/>
      <c r="AMI127"/>
      <c r="AMJ127"/>
      <c r="AMK127"/>
    </row>
    <row r="128" spans="1:1025" s="69" customFormat="1" ht="56.25" customHeight="1" x14ac:dyDescent="0.2">
      <c r="A128" s="459" t="s">
        <v>130</v>
      </c>
      <c r="B128" s="460" t="s">
        <v>131</v>
      </c>
      <c r="C128" s="460" t="s">
        <v>311</v>
      </c>
      <c r="D128" s="460" t="s">
        <v>312</v>
      </c>
      <c r="E128" s="460" t="s">
        <v>313</v>
      </c>
      <c r="F128" s="461" t="s">
        <v>302</v>
      </c>
      <c r="G128" s="461" t="s">
        <v>283</v>
      </c>
      <c r="H128" s="462" t="s">
        <v>303</v>
      </c>
      <c r="I128" s="463" t="s">
        <v>304</v>
      </c>
    </row>
    <row r="129" spans="1:1025" ht="20.25" customHeight="1" x14ac:dyDescent="0.2">
      <c r="A129" s="973" t="s">
        <v>314</v>
      </c>
      <c r="B129" s="974"/>
      <c r="C129" s="974"/>
      <c r="D129" s="974"/>
      <c r="E129" s="974"/>
      <c r="F129" s="974"/>
      <c r="G129" s="975"/>
      <c r="H129" s="466">
        <f>SUM(H130:H133)</f>
        <v>0</v>
      </c>
      <c r="I129" s="466">
        <f>SUM(I130:I133)</f>
        <v>0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  <c r="IW129"/>
      <c r="IX129"/>
      <c r="IY129"/>
      <c r="IZ129"/>
      <c r="JA129"/>
      <c r="JB129"/>
      <c r="JC129"/>
      <c r="JD129"/>
      <c r="JE129"/>
      <c r="JF129"/>
      <c r="JG129"/>
      <c r="JH129"/>
      <c r="JI129"/>
      <c r="JJ129"/>
      <c r="JK129"/>
      <c r="JL129"/>
      <c r="JM129"/>
      <c r="JN129"/>
      <c r="JO129"/>
      <c r="JP129"/>
      <c r="JQ129"/>
      <c r="JR129"/>
      <c r="JS129"/>
      <c r="JT129"/>
      <c r="JU129"/>
      <c r="JV129"/>
      <c r="JW129"/>
      <c r="JX129"/>
      <c r="JY129"/>
      <c r="JZ129"/>
      <c r="KA129"/>
      <c r="KB129"/>
      <c r="KC129"/>
      <c r="KD129"/>
      <c r="KE129"/>
      <c r="KF129"/>
      <c r="KG129"/>
      <c r="KH129"/>
      <c r="KI129"/>
      <c r="KJ129"/>
      <c r="KK129"/>
      <c r="KL129"/>
      <c r="KM129"/>
      <c r="KN129"/>
      <c r="KO129"/>
      <c r="KP129"/>
      <c r="KQ129"/>
      <c r="KR129"/>
      <c r="KS129"/>
      <c r="KT129"/>
      <c r="KU129"/>
      <c r="KV129"/>
      <c r="KW129"/>
      <c r="KX129"/>
      <c r="KY129"/>
      <c r="KZ129"/>
      <c r="LA129"/>
      <c r="LB129"/>
      <c r="LC129"/>
      <c r="LD129"/>
      <c r="LE129"/>
      <c r="LF129"/>
      <c r="LG129"/>
      <c r="LH129"/>
      <c r="LI129"/>
      <c r="LJ129"/>
      <c r="LK129"/>
      <c r="LL129"/>
      <c r="LM129"/>
      <c r="LN129"/>
      <c r="LO129"/>
      <c r="LP129"/>
      <c r="LQ129"/>
      <c r="LR129"/>
      <c r="LS129"/>
      <c r="LT129"/>
      <c r="LU129"/>
      <c r="LV129"/>
      <c r="LW129"/>
      <c r="LX129"/>
      <c r="LY129"/>
      <c r="LZ129"/>
      <c r="MA129"/>
      <c r="MB129"/>
      <c r="MC129"/>
      <c r="MD129"/>
      <c r="ME129"/>
      <c r="MF129"/>
      <c r="MG129"/>
      <c r="MH129"/>
      <c r="MI129"/>
      <c r="MJ129"/>
      <c r="MK129"/>
      <c r="ML129"/>
      <c r="MM129"/>
      <c r="MN129"/>
      <c r="MO129"/>
      <c r="MP129"/>
      <c r="MQ129"/>
      <c r="MR129"/>
      <c r="MS129"/>
      <c r="MT129"/>
      <c r="MU129"/>
      <c r="MV129"/>
      <c r="MW129"/>
      <c r="MX129"/>
      <c r="MY129"/>
      <c r="MZ129"/>
      <c r="NA129"/>
      <c r="NB129"/>
      <c r="NC129"/>
      <c r="ND129"/>
      <c r="NE129"/>
      <c r="NF129"/>
      <c r="NG129"/>
      <c r="NH129"/>
      <c r="NI129"/>
      <c r="NJ129"/>
      <c r="NK129"/>
      <c r="NL129"/>
      <c r="NM129"/>
      <c r="NN129"/>
      <c r="NO129"/>
      <c r="NP129"/>
      <c r="NQ129"/>
      <c r="NR129"/>
      <c r="NS129"/>
      <c r="NT129"/>
      <c r="NU129"/>
      <c r="NV129"/>
      <c r="NW129"/>
      <c r="NX129"/>
      <c r="NY129"/>
      <c r="NZ129"/>
      <c r="OA129"/>
      <c r="OB129"/>
      <c r="OC129"/>
      <c r="OD129"/>
      <c r="OE129"/>
      <c r="OF129"/>
      <c r="OG129"/>
      <c r="OH129"/>
      <c r="OI129"/>
      <c r="OJ129"/>
      <c r="OK129"/>
      <c r="OL129"/>
      <c r="OM129"/>
      <c r="ON129"/>
      <c r="OO129"/>
      <c r="OP129"/>
      <c r="OQ129"/>
      <c r="OR129"/>
      <c r="OS129"/>
      <c r="OT129"/>
      <c r="OU129"/>
      <c r="OV129"/>
      <c r="OW129"/>
      <c r="OX129"/>
      <c r="OY129"/>
      <c r="OZ129"/>
      <c r="PA129"/>
      <c r="PB129"/>
      <c r="PC129"/>
      <c r="PD129"/>
      <c r="PE129"/>
      <c r="PF129"/>
      <c r="PG129"/>
      <c r="PH129"/>
      <c r="PI129"/>
      <c r="PJ129"/>
      <c r="PK129"/>
      <c r="PL129"/>
      <c r="PM129"/>
      <c r="PN129"/>
      <c r="PO129"/>
      <c r="PP129"/>
      <c r="PQ129"/>
      <c r="PR129"/>
      <c r="PS129"/>
      <c r="PT129"/>
      <c r="PU129"/>
      <c r="PV129"/>
      <c r="PW129"/>
      <c r="PX129"/>
      <c r="PY129"/>
      <c r="PZ129"/>
      <c r="QA129"/>
      <c r="QB129"/>
      <c r="QC129"/>
      <c r="QD129"/>
      <c r="QE129"/>
      <c r="QF129"/>
      <c r="QG129"/>
      <c r="QH129"/>
      <c r="QI129"/>
      <c r="QJ129"/>
      <c r="QK129"/>
      <c r="QL129"/>
      <c r="QM129"/>
      <c r="QN129"/>
      <c r="QO129"/>
      <c r="QP129"/>
      <c r="QQ129"/>
      <c r="QR129"/>
      <c r="QS129"/>
      <c r="QT129"/>
      <c r="QU129"/>
      <c r="QV129"/>
      <c r="QW129"/>
      <c r="QX129"/>
      <c r="QY129"/>
      <c r="QZ129"/>
      <c r="RA129"/>
      <c r="RB129"/>
      <c r="RC129"/>
      <c r="RD129"/>
      <c r="RE129"/>
      <c r="RF129"/>
      <c r="RG129"/>
      <c r="RH129"/>
      <c r="RI129"/>
      <c r="RJ129"/>
      <c r="RK129"/>
      <c r="RL129"/>
      <c r="RM129"/>
      <c r="RN129"/>
      <c r="RO129"/>
      <c r="RP129"/>
      <c r="RQ129"/>
      <c r="RR129"/>
      <c r="RS129"/>
      <c r="RT129"/>
      <c r="RU129"/>
      <c r="RV129"/>
      <c r="RW129"/>
      <c r="RX129"/>
      <c r="RY129"/>
      <c r="RZ129"/>
      <c r="SA129"/>
      <c r="SB129"/>
      <c r="SC129"/>
      <c r="SD129"/>
      <c r="SE129"/>
      <c r="SF129"/>
      <c r="SG129"/>
      <c r="SH129"/>
      <c r="SI129"/>
      <c r="SJ129"/>
      <c r="SK129"/>
      <c r="SL129"/>
      <c r="SM129"/>
      <c r="SN129"/>
      <c r="SO129"/>
      <c r="SP129"/>
      <c r="SQ129"/>
      <c r="SR129"/>
      <c r="SS129"/>
      <c r="ST129"/>
      <c r="SU129"/>
      <c r="SV129"/>
      <c r="SW129"/>
      <c r="SX129"/>
      <c r="SY129"/>
      <c r="SZ129"/>
      <c r="TA129"/>
      <c r="TB129"/>
      <c r="TC129"/>
      <c r="TD129"/>
      <c r="TE129"/>
      <c r="TF129"/>
      <c r="TG129"/>
      <c r="TH129"/>
      <c r="TI129"/>
      <c r="TJ129"/>
      <c r="TK129"/>
      <c r="TL129"/>
      <c r="TM129"/>
      <c r="TN129"/>
      <c r="TO129"/>
      <c r="TP129"/>
      <c r="TQ129"/>
      <c r="TR129"/>
      <c r="TS129"/>
      <c r="TT129"/>
      <c r="TU129"/>
      <c r="TV129"/>
      <c r="TW129"/>
      <c r="TX129"/>
      <c r="TY129"/>
      <c r="TZ129"/>
      <c r="UA129"/>
      <c r="UB129"/>
      <c r="UC129"/>
      <c r="UD129"/>
      <c r="UE129"/>
      <c r="UF129"/>
      <c r="UG129"/>
      <c r="UH129"/>
      <c r="UI129"/>
      <c r="UJ129"/>
      <c r="UK129"/>
      <c r="UL129"/>
      <c r="UM129"/>
      <c r="UN129"/>
      <c r="UO129"/>
      <c r="UP129"/>
      <c r="UQ129"/>
      <c r="UR129"/>
      <c r="US129"/>
      <c r="UT129"/>
      <c r="UU129"/>
      <c r="UV129"/>
      <c r="UW129"/>
      <c r="UX129"/>
      <c r="UY129"/>
      <c r="UZ129"/>
      <c r="VA129"/>
      <c r="VB129"/>
      <c r="VC129"/>
      <c r="VD129"/>
      <c r="VE129"/>
      <c r="VF129"/>
      <c r="VG129"/>
      <c r="VH129"/>
      <c r="VI129"/>
      <c r="VJ129"/>
      <c r="VK129"/>
      <c r="VL129"/>
      <c r="VM129"/>
      <c r="VN129"/>
      <c r="VO129"/>
      <c r="VP129"/>
      <c r="VQ129"/>
      <c r="VR129"/>
      <c r="VS129"/>
      <c r="VT129"/>
      <c r="VU129"/>
      <c r="VV129"/>
      <c r="VW129"/>
      <c r="VX129"/>
      <c r="VY129"/>
      <c r="VZ129"/>
      <c r="WA129"/>
      <c r="WB129"/>
      <c r="WC129"/>
      <c r="WD129"/>
      <c r="WE129"/>
      <c r="WF129"/>
      <c r="WG129"/>
      <c r="WH129"/>
      <c r="WI129"/>
      <c r="WJ129"/>
      <c r="WK129"/>
      <c r="WL129"/>
      <c r="WM129"/>
      <c r="WN129"/>
      <c r="WO129"/>
      <c r="WP129"/>
      <c r="WQ129"/>
      <c r="WR129"/>
      <c r="WS129"/>
      <c r="WT129"/>
      <c r="WU129"/>
      <c r="WV129"/>
      <c r="WW129"/>
      <c r="WX129"/>
      <c r="WY129"/>
      <c r="WZ129"/>
      <c r="XA129"/>
      <c r="XB129"/>
      <c r="XC129"/>
      <c r="XD129"/>
      <c r="XE129"/>
      <c r="XF129"/>
      <c r="XG129"/>
      <c r="XH129"/>
      <c r="XI129"/>
      <c r="XJ129"/>
      <c r="XK129"/>
      <c r="XL129"/>
      <c r="XM129"/>
      <c r="XN129"/>
      <c r="XO129"/>
      <c r="XP129"/>
      <c r="XQ129"/>
      <c r="XR129"/>
      <c r="XS129"/>
      <c r="XT129"/>
      <c r="XU129"/>
      <c r="XV129"/>
      <c r="XW129"/>
      <c r="XX129"/>
      <c r="XY129"/>
      <c r="XZ129"/>
      <c r="YA129"/>
      <c r="YB129"/>
      <c r="YC129"/>
      <c r="YD129"/>
      <c r="YE129"/>
      <c r="YF129"/>
      <c r="YG129"/>
      <c r="YH129"/>
      <c r="YI129"/>
      <c r="YJ129"/>
      <c r="YK129"/>
      <c r="YL129"/>
      <c r="YM129"/>
      <c r="YN129"/>
      <c r="YO129"/>
      <c r="YP129"/>
      <c r="YQ129"/>
      <c r="YR129"/>
      <c r="YS129"/>
      <c r="YT129"/>
      <c r="YU129"/>
      <c r="YV129"/>
      <c r="YW129"/>
      <c r="YX129"/>
      <c r="YY129"/>
      <c r="YZ129"/>
      <c r="ZA129"/>
      <c r="ZB129"/>
      <c r="ZC129"/>
      <c r="ZD129"/>
      <c r="ZE129"/>
      <c r="ZF129"/>
      <c r="ZG129"/>
      <c r="ZH129"/>
      <c r="ZI129"/>
      <c r="ZJ129"/>
      <c r="ZK129"/>
      <c r="ZL129"/>
      <c r="ZM129"/>
      <c r="ZN129"/>
      <c r="ZO129"/>
      <c r="ZP129"/>
      <c r="ZQ129"/>
      <c r="ZR129"/>
      <c r="ZS129"/>
      <c r="ZT129"/>
      <c r="ZU129"/>
      <c r="ZV129"/>
      <c r="ZW129"/>
      <c r="ZX129"/>
      <c r="ZY129"/>
      <c r="ZZ129"/>
      <c r="AAA129"/>
      <c r="AAB129"/>
      <c r="AAC129"/>
      <c r="AAD129"/>
      <c r="AAE129"/>
      <c r="AAF129"/>
      <c r="AAG129"/>
      <c r="AAH129"/>
      <c r="AAI129"/>
      <c r="AAJ129"/>
      <c r="AAK129"/>
      <c r="AAL129"/>
      <c r="AAM129"/>
      <c r="AAN129"/>
      <c r="AAO129"/>
      <c r="AAP129"/>
      <c r="AAQ129"/>
      <c r="AAR129"/>
      <c r="AAS129"/>
      <c r="AAT129"/>
      <c r="AAU129"/>
      <c r="AAV129"/>
      <c r="AAW129"/>
      <c r="AAX129"/>
      <c r="AAY129"/>
      <c r="AAZ129"/>
      <c r="ABA129"/>
      <c r="ABB129"/>
      <c r="ABC129"/>
      <c r="ABD129"/>
      <c r="ABE129"/>
      <c r="ABF129"/>
      <c r="ABG129"/>
      <c r="ABH129"/>
      <c r="ABI129"/>
      <c r="ABJ129"/>
      <c r="ABK129"/>
      <c r="ABL129"/>
      <c r="ABM129"/>
      <c r="ABN129"/>
      <c r="ABO129"/>
      <c r="ABP129"/>
      <c r="ABQ129"/>
      <c r="ABR129"/>
      <c r="ABS129"/>
      <c r="ABT129"/>
      <c r="ABU129"/>
      <c r="ABV129"/>
      <c r="ABW129"/>
      <c r="ABX129"/>
      <c r="ABY129"/>
      <c r="ABZ129"/>
      <c r="ACA129"/>
      <c r="ACB129"/>
      <c r="ACC129"/>
      <c r="ACD129"/>
      <c r="ACE129"/>
      <c r="ACF129"/>
      <c r="ACG129"/>
      <c r="ACH129"/>
      <c r="ACI129"/>
      <c r="ACJ129"/>
      <c r="ACK129"/>
      <c r="ACL129"/>
      <c r="ACM129"/>
      <c r="ACN129"/>
      <c r="ACO129"/>
      <c r="ACP129"/>
      <c r="ACQ129"/>
      <c r="ACR129"/>
      <c r="ACS129"/>
      <c r="ACT129"/>
      <c r="ACU129"/>
      <c r="ACV129"/>
      <c r="ACW129"/>
      <c r="ACX129"/>
      <c r="ACY129"/>
      <c r="ACZ129"/>
      <c r="ADA129"/>
      <c r="ADB129"/>
      <c r="ADC129"/>
      <c r="ADD129"/>
      <c r="ADE129"/>
      <c r="ADF129"/>
      <c r="ADG129"/>
      <c r="ADH129"/>
      <c r="ADI129"/>
      <c r="ADJ129"/>
      <c r="ADK129"/>
      <c r="ADL129"/>
      <c r="ADM129"/>
      <c r="ADN129"/>
      <c r="ADO129"/>
      <c r="ADP129"/>
      <c r="ADQ129"/>
      <c r="ADR129"/>
      <c r="ADS129"/>
      <c r="ADT129"/>
      <c r="ADU129"/>
      <c r="ADV129"/>
      <c r="ADW129"/>
      <c r="ADX129"/>
      <c r="ADY129"/>
      <c r="ADZ129"/>
      <c r="AEA129"/>
      <c r="AEB129"/>
      <c r="AEC129"/>
      <c r="AED129"/>
      <c r="AEE129"/>
      <c r="AEF129"/>
      <c r="AEG129"/>
      <c r="AEH129"/>
      <c r="AEI129"/>
      <c r="AEJ129"/>
      <c r="AEK129"/>
      <c r="AEL129"/>
      <c r="AEM129"/>
      <c r="AEN129"/>
      <c r="AEO129"/>
      <c r="AEP129"/>
      <c r="AEQ129"/>
      <c r="AER129"/>
      <c r="AES129"/>
      <c r="AET129"/>
      <c r="AEU129"/>
      <c r="AEV129"/>
      <c r="AEW129"/>
      <c r="AEX129"/>
      <c r="AEY129"/>
      <c r="AEZ129"/>
      <c r="AFA129"/>
      <c r="AFB129"/>
      <c r="AFC129"/>
      <c r="AFD129"/>
      <c r="AFE129"/>
      <c r="AFF129"/>
      <c r="AFG129"/>
      <c r="AFH129"/>
      <c r="AFI129"/>
      <c r="AFJ129"/>
      <c r="AFK129"/>
      <c r="AFL129"/>
      <c r="AFM129"/>
      <c r="AFN129"/>
      <c r="AFO129"/>
      <c r="AFP129"/>
      <c r="AFQ129"/>
      <c r="AFR129"/>
      <c r="AFS129"/>
      <c r="AFT129"/>
      <c r="AFU129"/>
      <c r="AFV129"/>
      <c r="AFW129"/>
      <c r="AFX129"/>
      <c r="AFY129"/>
      <c r="AFZ129"/>
      <c r="AGA129"/>
      <c r="AGB129"/>
      <c r="AGC129"/>
      <c r="AGD129"/>
      <c r="AGE129"/>
      <c r="AGF129"/>
      <c r="AGG129"/>
      <c r="AGH129"/>
      <c r="AGI129"/>
      <c r="AGJ129"/>
      <c r="AGK129"/>
      <c r="AGL129"/>
      <c r="AGM129"/>
      <c r="AGN129"/>
      <c r="AGO129"/>
      <c r="AGP129"/>
      <c r="AGQ129"/>
      <c r="AGR129"/>
      <c r="AGS129"/>
      <c r="AGT129"/>
      <c r="AGU129"/>
      <c r="AGV129"/>
      <c r="AGW129"/>
      <c r="AGX129"/>
      <c r="AGY129"/>
      <c r="AGZ129"/>
      <c r="AHA129"/>
      <c r="AHB129"/>
      <c r="AHC129"/>
      <c r="AHD129"/>
      <c r="AHE129"/>
      <c r="AHF129"/>
      <c r="AHG129"/>
      <c r="AHH129"/>
      <c r="AHI129"/>
      <c r="AHJ129"/>
      <c r="AHK129"/>
      <c r="AHL129"/>
      <c r="AHM129"/>
      <c r="AHN129"/>
      <c r="AHO129"/>
      <c r="AHP129"/>
      <c r="AHQ129"/>
      <c r="AHR129"/>
      <c r="AHS129"/>
      <c r="AHT129"/>
      <c r="AHU129"/>
      <c r="AHV129"/>
      <c r="AHW129"/>
      <c r="AHX129"/>
      <c r="AHY129"/>
      <c r="AHZ129"/>
      <c r="AIA129"/>
      <c r="AIB129"/>
      <c r="AIC129"/>
      <c r="AID129"/>
      <c r="AIE129"/>
      <c r="AIF129"/>
      <c r="AIG129"/>
      <c r="AIH129"/>
      <c r="AII129"/>
      <c r="AIJ129"/>
      <c r="AIK129"/>
      <c r="AIL129"/>
      <c r="AIM129"/>
      <c r="AIN129"/>
      <c r="AIO129"/>
      <c r="AIP129"/>
      <c r="AIQ129"/>
      <c r="AIR129"/>
      <c r="AIS129"/>
      <c r="AIT129"/>
      <c r="AIU129"/>
      <c r="AIV129"/>
      <c r="AIW129"/>
      <c r="AIX129"/>
      <c r="AIY129"/>
      <c r="AIZ129"/>
      <c r="AJA129"/>
      <c r="AJB129"/>
      <c r="AJC129"/>
      <c r="AJD129"/>
      <c r="AJE129"/>
      <c r="AJF129"/>
      <c r="AJG129"/>
      <c r="AJH129"/>
      <c r="AJI129"/>
      <c r="AJJ129"/>
      <c r="AJK129"/>
      <c r="AJL129"/>
      <c r="AJM129"/>
      <c r="AJN129"/>
      <c r="AJO129"/>
      <c r="AJP129"/>
      <c r="AJQ129"/>
      <c r="AJR129"/>
      <c r="AJS129"/>
      <c r="AJT129"/>
      <c r="AJU129"/>
      <c r="AJV129"/>
      <c r="AJW129"/>
      <c r="AJX129"/>
      <c r="AJY129"/>
      <c r="AJZ129"/>
      <c r="AKA129"/>
      <c r="AKB129"/>
      <c r="AKC129"/>
      <c r="AKD129"/>
      <c r="AKE129"/>
      <c r="AKF129"/>
      <c r="AKG129"/>
      <c r="AKH129"/>
      <c r="AKI129"/>
      <c r="AKJ129"/>
      <c r="AKK129"/>
      <c r="AKL129"/>
      <c r="AKM129"/>
      <c r="AKN129"/>
      <c r="AKO129"/>
      <c r="AKP129"/>
      <c r="AKQ129"/>
      <c r="AKR129"/>
      <c r="AKS129"/>
      <c r="AKT129"/>
      <c r="AKU129"/>
      <c r="AKV129"/>
      <c r="AKW129"/>
      <c r="AKX129"/>
      <c r="AKY129"/>
      <c r="AKZ129"/>
      <c r="ALA129"/>
      <c r="ALB129"/>
      <c r="ALC129"/>
      <c r="ALD129"/>
      <c r="ALE129"/>
      <c r="ALF129"/>
      <c r="ALG129"/>
      <c r="ALH129"/>
      <c r="ALI129"/>
      <c r="ALJ129"/>
      <c r="ALK129"/>
      <c r="ALL129"/>
      <c r="ALM129"/>
      <c r="ALN129"/>
      <c r="ALO129"/>
      <c r="ALP129"/>
      <c r="ALQ129"/>
      <c r="ALR129"/>
      <c r="ALS129"/>
      <c r="ALT129"/>
      <c r="ALU129"/>
      <c r="ALV129"/>
      <c r="ALW129"/>
      <c r="ALX129"/>
      <c r="ALY129"/>
      <c r="ALZ129"/>
      <c r="AMA129"/>
      <c r="AMB129"/>
      <c r="AMC129"/>
      <c r="AMD129"/>
      <c r="AME129"/>
      <c r="AMF129"/>
      <c r="AMH129"/>
      <c r="AMI129"/>
      <c r="AMJ129"/>
      <c r="AMK129"/>
    </row>
    <row r="130" spans="1:1025" ht="15" customHeight="1" x14ac:dyDescent="0.2">
      <c r="A130" s="328" t="s">
        <v>315</v>
      </c>
      <c r="B130" s="40" t="s">
        <v>164</v>
      </c>
      <c r="C130" s="85">
        <v>1</v>
      </c>
      <c r="D130" s="85">
        <v>1</v>
      </c>
      <c r="E130" s="339"/>
      <c r="F130" s="331"/>
      <c r="G130" s="41">
        <f>(E130+F130)/2</f>
        <v>0</v>
      </c>
      <c r="H130" s="86">
        <f>(C130*G130)/12</f>
        <v>0</v>
      </c>
      <c r="I130" s="86">
        <f>(D130*G130)/12</f>
        <v>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  <c r="IW130"/>
      <c r="IX130"/>
      <c r="IY130"/>
      <c r="IZ130"/>
      <c r="JA130"/>
      <c r="JB130"/>
      <c r="JC130"/>
      <c r="JD130"/>
      <c r="JE130"/>
      <c r="JF130"/>
      <c r="JG130"/>
      <c r="JH130"/>
      <c r="JI130"/>
      <c r="JJ130"/>
      <c r="JK130"/>
      <c r="JL130"/>
      <c r="JM130"/>
      <c r="JN130"/>
      <c r="JO130"/>
      <c r="JP130"/>
      <c r="JQ130"/>
      <c r="JR130"/>
      <c r="JS130"/>
      <c r="JT130"/>
      <c r="JU130"/>
      <c r="JV130"/>
      <c r="JW130"/>
      <c r="JX130"/>
      <c r="JY130"/>
      <c r="JZ130"/>
      <c r="KA130"/>
      <c r="KB130"/>
      <c r="KC130"/>
      <c r="KD130"/>
      <c r="KE130"/>
      <c r="KF130"/>
      <c r="KG130"/>
      <c r="KH130"/>
      <c r="KI130"/>
      <c r="KJ130"/>
      <c r="KK130"/>
      <c r="KL130"/>
      <c r="KM130"/>
      <c r="KN130"/>
      <c r="KO130"/>
      <c r="KP130"/>
      <c r="KQ130"/>
      <c r="KR130"/>
      <c r="KS130"/>
      <c r="KT130"/>
      <c r="KU130"/>
      <c r="KV130"/>
      <c r="KW130"/>
      <c r="KX130"/>
      <c r="KY130"/>
      <c r="KZ130"/>
      <c r="LA130"/>
      <c r="LB130"/>
      <c r="LC130"/>
      <c r="LD130"/>
      <c r="LE130"/>
      <c r="LF130"/>
      <c r="LG130"/>
      <c r="LH130"/>
      <c r="LI130"/>
      <c r="LJ130"/>
      <c r="LK130"/>
      <c r="LL130"/>
      <c r="LM130"/>
      <c r="LN130"/>
      <c r="LO130"/>
      <c r="LP130"/>
      <c r="LQ130"/>
      <c r="LR130"/>
      <c r="LS130"/>
      <c r="LT130"/>
      <c r="LU130"/>
      <c r="LV130"/>
      <c r="LW130"/>
      <c r="LX130"/>
      <c r="LY130"/>
      <c r="LZ130"/>
      <c r="MA130"/>
      <c r="MB130"/>
      <c r="MC130"/>
      <c r="MD130"/>
      <c r="ME130"/>
      <c r="MF130"/>
      <c r="MG130"/>
      <c r="MH130"/>
      <c r="MI130"/>
      <c r="MJ130"/>
      <c r="MK130"/>
      <c r="ML130"/>
      <c r="MM130"/>
      <c r="MN130"/>
      <c r="MO130"/>
      <c r="MP130"/>
      <c r="MQ130"/>
      <c r="MR130"/>
      <c r="MS130"/>
      <c r="MT130"/>
      <c r="MU130"/>
      <c r="MV130"/>
      <c r="MW130"/>
      <c r="MX130"/>
      <c r="MY130"/>
      <c r="MZ130"/>
      <c r="NA130"/>
      <c r="NB130"/>
      <c r="NC130"/>
      <c r="ND130"/>
      <c r="NE130"/>
      <c r="NF130"/>
      <c r="NG130"/>
      <c r="NH130"/>
      <c r="NI130"/>
      <c r="NJ130"/>
      <c r="NK130"/>
      <c r="NL130"/>
      <c r="NM130"/>
      <c r="NN130"/>
      <c r="NO130"/>
      <c r="NP130"/>
      <c r="NQ130"/>
      <c r="NR130"/>
      <c r="NS130"/>
      <c r="NT130"/>
      <c r="NU130"/>
      <c r="NV130"/>
      <c r="NW130"/>
      <c r="NX130"/>
      <c r="NY130"/>
      <c r="NZ130"/>
      <c r="OA130"/>
      <c r="OB130"/>
      <c r="OC130"/>
      <c r="OD130"/>
      <c r="OE130"/>
      <c r="OF130"/>
      <c r="OG130"/>
      <c r="OH130"/>
      <c r="OI130"/>
      <c r="OJ130"/>
      <c r="OK130"/>
      <c r="OL130"/>
      <c r="OM130"/>
      <c r="ON130"/>
      <c r="OO130"/>
      <c r="OP130"/>
      <c r="OQ130"/>
      <c r="OR130"/>
      <c r="OS130"/>
      <c r="OT130"/>
      <c r="OU130"/>
      <c r="OV130"/>
      <c r="OW130"/>
      <c r="OX130"/>
      <c r="OY130"/>
      <c r="OZ130"/>
      <c r="PA130"/>
      <c r="PB130"/>
      <c r="PC130"/>
      <c r="PD130"/>
      <c r="PE130"/>
      <c r="PF130"/>
      <c r="PG130"/>
      <c r="PH130"/>
      <c r="PI130"/>
      <c r="PJ130"/>
      <c r="PK130"/>
      <c r="PL130"/>
      <c r="PM130"/>
      <c r="PN130"/>
      <c r="PO130"/>
      <c r="PP130"/>
      <c r="PQ130"/>
      <c r="PR130"/>
      <c r="PS130"/>
      <c r="PT130"/>
      <c r="PU130"/>
      <c r="PV130"/>
      <c r="PW130"/>
      <c r="PX130"/>
      <c r="PY130"/>
      <c r="PZ130"/>
      <c r="QA130"/>
      <c r="QB130"/>
      <c r="QC130"/>
      <c r="QD130"/>
      <c r="QE130"/>
      <c r="QF130"/>
      <c r="QG130"/>
      <c r="QH130"/>
      <c r="QI130"/>
      <c r="QJ130"/>
      <c r="QK130"/>
      <c r="QL130"/>
      <c r="QM130"/>
      <c r="QN130"/>
      <c r="QO130"/>
      <c r="QP130"/>
      <c r="QQ130"/>
      <c r="QR130"/>
      <c r="QS130"/>
      <c r="QT130"/>
      <c r="QU130"/>
      <c r="QV130"/>
      <c r="QW130"/>
      <c r="QX130"/>
      <c r="QY130"/>
      <c r="QZ130"/>
      <c r="RA130"/>
      <c r="RB130"/>
      <c r="RC130"/>
      <c r="RD130"/>
      <c r="RE130"/>
      <c r="RF130"/>
      <c r="RG130"/>
      <c r="RH130"/>
      <c r="RI130"/>
      <c r="RJ130"/>
      <c r="RK130"/>
      <c r="RL130"/>
      <c r="RM130"/>
      <c r="RN130"/>
      <c r="RO130"/>
      <c r="RP130"/>
      <c r="RQ130"/>
      <c r="RR130"/>
      <c r="RS130"/>
      <c r="RT130"/>
      <c r="RU130"/>
      <c r="RV130"/>
      <c r="RW130"/>
      <c r="RX130"/>
      <c r="RY130"/>
      <c r="RZ130"/>
      <c r="SA130"/>
      <c r="SB130"/>
      <c r="SC130"/>
      <c r="SD130"/>
      <c r="SE130"/>
      <c r="SF130"/>
      <c r="SG130"/>
      <c r="SH130"/>
      <c r="SI130"/>
      <c r="SJ130"/>
      <c r="SK130"/>
      <c r="SL130"/>
      <c r="SM130"/>
      <c r="SN130"/>
      <c r="SO130"/>
      <c r="SP130"/>
      <c r="SQ130"/>
      <c r="SR130"/>
      <c r="SS130"/>
      <c r="ST130"/>
      <c r="SU130"/>
      <c r="SV130"/>
      <c r="SW130"/>
      <c r="SX130"/>
      <c r="SY130"/>
      <c r="SZ130"/>
      <c r="TA130"/>
      <c r="TB130"/>
      <c r="TC130"/>
      <c r="TD130"/>
      <c r="TE130"/>
      <c r="TF130"/>
      <c r="TG130"/>
      <c r="TH130"/>
      <c r="TI130"/>
      <c r="TJ130"/>
      <c r="TK130"/>
      <c r="TL130"/>
      <c r="TM130"/>
      <c r="TN130"/>
      <c r="TO130"/>
      <c r="TP130"/>
      <c r="TQ130"/>
      <c r="TR130"/>
      <c r="TS130"/>
      <c r="TT130"/>
      <c r="TU130"/>
      <c r="TV130"/>
      <c r="TW130"/>
      <c r="TX130"/>
      <c r="TY130"/>
      <c r="TZ130"/>
      <c r="UA130"/>
      <c r="UB130"/>
      <c r="UC130"/>
      <c r="UD130"/>
      <c r="UE130"/>
      <c r="UF130"/>
      <c r="UG130"/>
      <c r="UH130"/>
      <c r="UI130"/>
      <c r="UJ130"/>
      <c r="UK130"/>
      <c r="UL130"/>
      <c r="UM130"/>
      <c r="UN130"/>
      <c r="UO130"/>
      <c r="UP130"/>
      <c r="UQ130"/>
      <c r="UR130"/>
      <c r="US130"/>
      <c r="UT130"/>
      <c r="UU130"/>
      <c r="UV130"/>
      <c r="UW130"/>
      <c r="UX130"/>
      <c r="UY130"/>
      <c r="UZ130"/>
      <c r="VA130"/>
      <c r="VB130"/>
      <c r="VC130"/>
      <c r="VD130"/>
      <c r="VE130"/>
      <c r="VF130"/>
      <c r="VG130"/>
      <c r="VH130"/>
      <c r="VI130"/>
      <c r="VJ130"/>
      <c r="VK130"/>
      <c r="VL130"/>
      <c r="VM130"/>
      <c r="VN130"/>
      <c r="VO130"/>
      <c r="VP130"/>
      <c r="VQ130"/>
      <c r="VR130"/>
      <c r="VS130"/>
      <c r="VT130"/>
      <c r="VU130"/>
      <c r="VV130"/>
      <c r="VW130"/>
      <c r="VX130"/>
      <c r="VY130"/>
      <c r="VZ130"/>
      <c r="WA130"/>
      <c r="WB130"/>
      <c r="WC130"/>
      <c r="WD130"/>
      <c r="WE130"/>
      <c r="WF130"/>
      <c r="WG130"/>
      <c r="WH130"/>
      <c r="WI130"/>
      <c r="WJ130"/>
      <c r="WK130"/>
      <c r="WL130"/>
      <c r="WM130"/>
      <c r="WN130"/>
      <c r="WO130"/>
      <c r="WP130"/>
      <c r="WQ130"/>
      <c r="WR130"/>
      <c r="WS130"/>
      <c r="WT130"/>
      <c r="WU130"/>
      <c r="WV130"/>
      <c r="WW130"/>
      <c r="WX130"/>
      <c r="WY130"/>
      <c r="WZ130"/>
      <c r="XA130"/>
      <c r="XB130"/>
      <c r="XC130"/>
      <c r="XD130"/>
      <c r="XE130"/>
      <c r="XF130"/>
      <c r="XG130"/>
      <c r="XH130"/>
      <c r="XI130"/>
      <c r="XJ130"/>
      <c r="XK130"/>
      <c r="XL130"/>
      <c r="XM130"/>
      <c r="XN130"/>
      <c r="XO130"/>
      <c r="XP130"/>
      <c r="XQ130"/>
      <c r="XR130"/>
      <c r="XS130"/>
      <c r="XT130"/>
      <c r="XU130"/>
      <c r="XV130"/>
      <c r="XW130"/>
      <c r="XX130"/>
      <c r="XY130"/>
      <c r="XZ130"/>
      <c r="YA130"/>
      <c r="YB130"/>
      <c r="YC130"/>
      <c r="YD130"/>
      <c r="YE130"/>
      <c r="YF130"/>
      <c r="YG130"/>
      <c r="YH130"/>
      <c r="YI130"/>
      <c r="YJ130"/>
      <c r="YK130"/>
      <c r="YL130"/>
      <c r="YM130"/>
      <c r="YN130"/>
      <c r="YO130"/>
      <c r="YP130"/>
      <c r="YQ130"/>
      <c r="YR130"/>
      <c r="YS130"/>
      <c r="YT130"/>
      <c r="YU130"/>
      <c r="YV130"/>
      <c r="YW130"/>
      <c r="YX130"/>
      <c r="YY130"/>
      <c r="YZ130"/>
      <c r="ZA130"/>
      <c r="ZB130"/>
      <c r="ZC130"/>
      <c r="ZD130"/>
      <c r="ZE130"/>
      <c r="ZF130"/>
      <c r="ZG130"/>
      <c r="ZH130"/>
      <c r="ZI130"/>
      <c r="ZJ130"/>
      <c r="ZK130"/>
      <c r="ZL130"/>
      <c r="ZM130"/>
      <c r="ZN130"/>
      <c r="ZO130"/>
      <c r="ZP130"/>
      <c r="ZQ130"/>
      <c r="ZR130"/>
      <c r="ZS130"/>
      <c r="ZT130"/>
      <c r="ZU130"/>
      <c r="ZV130"/>
      <c r="ZW130"/>
      <c r="ZX130"/>
      <c r="ZY130"/>
      <c r="ZZ130"/>
      <c r="AAA130"/>
      <c r="AAB130"/>
      <c r="AAC130"/>
      <c r="AAD130"/>
      <c r="AAE130"/>
      <c r="AAF130"/>
      <c r="AAG130"/>
      <c r="AAH130"/>
      <c r="AAI130"/>
      <c r="AAJ130"/>
      <c r="AAK130"/>
      <c r="AAL130"/>
      <c r="AAM130"/>
      <c r="AAN130"/>
      <c r="AAO130"/>
      <c r="AAP130"/>
      <c r="AAQ130"/>
      <c r="AAR130"/>
      <c r="AAS130"/>
      <c r="AAT130"/>
      <c r="AAU130"/>
      <c r="AAV130"/>
      <c r="AAW130"/>
      <c r="AAX130"/>
      <c r="AAY130"/>
      <c r="AAZ130"/>
      <c r="ABA130"/>
      <c r="ABB130"/>
      <c r="ABC130"/>
      <c r="ABD130"/>
      <c r="ABE130"/>
      <c r="ABF130"/>
      <c r="ABG130"/>
      <c r="ABH130"/>
      <c r="ABI130"/>
      <c r="ABJ130"/>
      <c r="ABK130"/>
      <c r="ABL130"/>
      <c r="ABM130"/>
      <c r="ABN130"/>
      <c r="ABO130"/>
      <c r="ABP130"/>
      <c r="ABQ130"/>
      <c r="ABR130"/>
      <c r="ABS130"/>
      <c r="ABT130"/>
      <c r="ABU130"/>
      <c r="ABV130"/>
      <c r="ABW130"/>
      <c r="ABX130"/>
      <c r="ABY130"/>
      <c r="ABZ130"/>
      <c r="ACA130"/>
      <c r="ACB130"/>
      <c r="ACC130"/>
      <c r="ACD130"/>
      <c r="ACE130"/>
      <c r="ACF130"/>
      <c r="ACG130"/>
      <c r="ACH130"/>
      <c r="ACI130"/>
      <c r="ACJ130"/>
      <c r="ACK130"/>
      <c r="ACL130"/>
      <c r="ACM130"/>
      <c r="ACN130"/>
      <c r="ACO130"/>
      <c r="ACP130"/>
      <c r="ACQ130"/>
      <c r="ACR130"/>
      <c r="ACS130"/>
      <c r="ACT130"/>
      <c r="ACU130"/>
      <c r="ACV130"/>
      <c r="ACW130"/>
      <c r="ACX130"/>
      <c r="ACY130"/>
      <c r="ACZ130"/>
      <c r="ADA130"/>
      <c r="ADB130"/>
      <c r="ADC130"/>
      <c r="ADD130"/>
      <c r="ADE130"/>
      <c r="ADF130"/>
      <c r="ADG130"/>
      <c r="ADH130"/>
      <c r="ADI130"/>
      <c r="ADJ130"/>
      <c r="ADK130"/>
      <c r="ADL130"/>
      <c r="ADM130"/>
      <c r="ADN130"/>
      <c r="ADO130"/>
      <c r="ADP130"/>
      <c r="ADQ130"/>
      <c r="ADR130"/>
      <c r="ADS130"/>
      <c r="ADT130"/>
      <c r="ADU130"/>
      <c r="ADV130"/>
      <c r="ADW130"/>
      <c r="ADX130"/>
      <c r="ADY130"/>
      <c r="ADZ130"/>
      <c r="AEA130"/>
      <c r="AEB130"/>
      <c r="AEC130"/>
      <c r="AED130"/>
      <c r="AEE130"/>
      <c r="AEF130"/>
      <c r="AEG130"/>
      <c r="AEH130"/>
      <c r="AEI130"/>
      <c r="AEJ130"/>
      <c r="AEK130"/>
      <c r="AEL130"/>
      <c r="AEM130"/>
      <c r="AEN130"/>
      <c r="AEO130"/>
      <c r="AEP130"/>
      <c r="AEQ130"/>
      <c r="AER130"/>
      <c r="AES130"/>
      <c r="AET130"/>
      <c r="AEU130"/>
      <c r="AEV130"/>
      <c r="AEW130"/>
      <c r="AEX130"/>
      <c r="AEY130"/>
      <c r="AEZ130"/>
      <c r="AFA130"/>
      <c r="AFB130"/>
      <c r="AFC130"/>
      <c r="AFD130"/>
      <c r="AFE130"/>
      <c r="AFF130"/>
      <c r="AFG130"/>
      <c r="AFH130"/>
      <c r="AFI130"/>
      <c r="AFJ130"/>
      <c r="AFK130"/>
      <c r="AFL130"/>
      <c r="AFM130"/>
      <c r="AFN130"/>
      <c r="AFO130"/>
      <c r="AFP130"/>
      <c r="AFQ130"/>
      <c r="AFR130"/>
      <c r="AFS130"/>
      <c r="AFT130"/>
      <c r="AFU130"/>
      <c r="AFV130"/>
      <c r="AFW130"/>
      <c r="AFX130"/>
      <c r="AFY130"/>
      <c r="AFZ130"/>
      <c r="AGA130"/>
      <c r="AGB130"/>
      <c r="AGC130"/>
      <c r="AGD130"/>
      <c r="AGE130"/>
      <c r="AGF130"/>
      <c r="AGG130"/>
      <c r="AGH130"/>
      <c r="AGI130"/>
      <c r="AGJ130"/>
      <c r="AGK130"/>
      <c r="AGL130"/>
      <c r="AGM130"/>
      <c r="AGN130"/>
      <c r="AGO130"/>
      <c r="AGP130"/>
      <c r="AGQ130"/>
      <c r="AGR130"/>
      <c r="AGS130"/>
      <c r="AGT130"/>
      <c r="AGU130"/>
      <c r="AGV130"/>
      <c r="AGW130"/>
      <c r="AGX130"/>
      <c r="AGY130"/>
      <c r="AGZ130"/>
      <c r="AHA130"/>
      <c r="AHB130"/>
      <c r="AHC130"/>
      <c r="AHD130"/>
      <c r="AHE130"/>
      <c r="AHF130"/>
      <c r="AHG130"/>
      <c r="AHH130"/>
      <c r="AHI130"/>
      <c r="AHJ130"/>
      <c r="AHK130"/>
      <c r="AHL130"/>
      <c r="AHM130"/>
      <c r="AHN130"/>
      <c r="AHO130"/>
      <c r="AHP130"/>
      <c r="AHQ130"/>
      <c r="AHR130"/>
      <c r="AHS130"/>
      <c r="AHT130"/>
      <c r="AHU130"/>
      <c r="AHV130"/>
      <c r="AHW130"/>
      <c r="AHX130"/>
      <c r="AHY130"/>
      <c r="AHZ130"/>
      <c r="AIA130"/>
      <c r="AIB130"/>
      <c r="AIC130"/>
      <c r="AID130"/>
      <c r="AIE130"/>
      <c r="AIF130"/>
      <c r="AIG130"/>
      <c r="AIH130"/>
      <c r="AII130"/>
      <c r="AIJ130"/>
      <c r="AIK130"/>
      <c r="AIL130"/>
      <c r="AIM130"/>
      <c r="AIN130"/>
      <c r="AIO130"/>
      <c r="AIP130"/>
      <c r="AIQ130"/>
      <c r="AIR130"/>
      <c r="AIS130"/>
      <c r="AIT130"/>
      <c r="AIU130"/>
      <c r="AIV130"/>
      <c r="AIW130"/>
      <c r="AIX130"/>
      <c r="AIY130"/>
      <c r="AIZ130"/>
      <c r="AJA130"/>
      <c r="AJB130"/>
      <c r="AJC130"/>
      <c r="AJD130"/>
      <c r="AJE130"/>
      <c r="AJF130"/>
      <c r="AJG130"/>
      <c r="AJH130"/>
      <c r="AJI130"/>
      <c r="AJJ130"/>
      <c r="AJK130"/>
      <c r="AJL130"/>
      <c r="AJM130"/>
      <c r="AJN130"/>
      <c r="AJO130"/>
      <c r="AJP130"/>
      <c r="AJQ130"/>
      <c r="AJR130"/>
      <c r="AJS130"/>
      <c r="AJT130"/>
      <c r="AJU130"/>
      <c r="AJV130"/>
      <c r="AJW130"/>
      <c r="AJX130"/>
      <c r="AJY130"/>
      <c r="AJZ130"/>
      <c r="AKA130"/>
      <c r="AKB130"/>
      <c r="AKC130"/>
      <c r="AKD130"/>
      <c r="AKE130"/>
      <c r="AKF130"/>
      <c r="AKG130"/>
      <c r="AKH130"/>
      <c r="AKI130"/>
      <c r="AKJ130"/>
      <c r="AKK130"/>
      <c r="AKL130"/>
      <c r="AKM130"/>
      <c r="AKN130"/>
      <c r="AKO130"/>
      <c r="AKP130"/>
      <c r="AKQ130"/>
      <c r="AKR130"/>
      <c r="AKS130"/>
      <c r="AKT130"/>
      <c r="AKU130"/>
      <c r="AKV130"/>
      <c r="AKW130"/>
      <c r="AKX130"/>
      <c r="AKY130"/>
      <c r="AKZ130"/>
      <c r="ALA130"/>
      <c r="ALB130"/>
      <c r="ALC130"/>
      <c r="ALD130"/>
      <c r="ALE130"/>
      <c r="ALF130"/>
      <c r="ALG130"/>
      <c r="ALH130"/>
      <c r="ALI130"/>
      <c r="ALJ130"/>
      <c r="ALK130"/>
      <c r="ALL130"/>
      <c r="ALM130"/>
      <c r="ALN130"/>
      <c r="ALO130"/>
      <c r="ALP130"/>
      <c r="ALQ130"/>
      <c r="ALR130"/>
      <c r="ALS130"/>
      <c r="ALT130"/>
      <c r="ALU130"/>
      <c r="ALV130"/>
      <c r="ALW130"/>
      <c r="ALX130"/>
      <c r="ALY130"/>
      <c r="ALZ130"/>
      <c r="AMA130"/>
      <c r="AMB130"/>
      <c r="AMC130"/>
      <c r="AMD130"/>
      <c r="AME130"/>
      <c r="AMG130"/>
      <c r="AMH130"/>
      <c r="AMI130"/>
      <c r="AMJ130"/>
      <c r="AMK130"/>
    </row>
    <row r="131" spans="1:1025" ht="15" customHeight="1" x14ac:dyDescent="0.2">
      <c r="A131" s="328" t="s">
        <v>316</v>
      </c>
      <c r="B131" s="46" t="s">
        <v>184</v>
      </c>
      <c r="C131" s="80">
        <v>2</v>
      </c>
      <c r="D131" s="80">
        <v>2</v>
      </c>
      <c r="E131" s="339"/>
      <c r="F131" s="331"/>
      <c r="G131" s="81">
        <f>(E131+F131)/2</f>
        <v>0</v>
      </c>
      <c r="H131" s="86">
        <f>(C131*G131)/12</f>
        <v>0</v>
      </c>
      <c r="I131" s="86">
        <f t="shared" ref="I131:I133" si="12">(D131*G131)/12</f>
        <v>0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  <c r="IW131"/>
      <c r="IX131"/>
      <c r="IY131"/>
      <c r="IZ131"/>
      <c r="JA131"/>
      <c r="JB131"/>
      <c r="JC131"/>
      <c r="JD131"/>
      <c r="JE131"/>
      <c r="JF131"/>
      <c r="JG131"/>
      <c r="JH131"/>
      <c r="JI131"/>
      <c r="JJ131"/>
      <c r="JK131"/>
      <c r="JL131"/>
      <c r="JM131"/>
      <c r="JN131"/>
      <c r="JO131"/>
      <c r="JP131"/>
      <c r="JQ131"/>
      <c r="JR131"/>
      <c r="JS131"/>
      <c r="JT131"/>
      <c r="JU131"/>
      <c r="JV131"/>
      <c r="JW131"/>
      <c r="JX131"/>
      <c r="JY131"/>
      <c r="JZ131"/>
      <c r="KA131"/>
      <c r="KB131"/>
      <c r="KC131"/>
      <c r="KD131"/>
      <c r="KE131"/>
      <c r="KF131"/>
      <c r="KG131"/>
      <c r="KH131"/>
      <c r="KI131"/>
      <c r="KJ131"/>
      <c r="KK131"/>
      <c r="KL131"/>
      <c r="KM131"/>
      <c r="KN131"/>
      <c r="KO131"/>
      <c r="KP131"/>
      <c r="KQ131"/>
      <c r="KR131"/>
      <c r="KS131"/>
      <c r="KT131"/>
      <c r="KU131"/>
      <c r="KV131"/>
      <c r="KW131"/>
      <c r="KX131"/>
      <c r="KY131"/>
      <c r="KZ131"/>
      <c r="LA131"/>
      <c r="LB131"/>
      <c r="LC131"/>
      <c r="LD131"/>
      <c r="LE131"/>
      <c r="LF131"/>
      <c r="LG131"/>
      <c r="LH131"/>
      <c r="LI131"/>
      <c r="LJ131"/>
      <c r="LK131"/>
      <c r="LL131"/>
      <c r="LM131"/>
      <c r="LN131"/>
      <c r="LO131"/>
      <c r="LP131"/>
      <c r="LQ131"/>
      <c r="LR131"/>
      <c r="LS131"/>
      <c r="LT131"/>
      <c r="LU131"/>
      <c r="LV131"/>
      <c r="LW131"/>
      <c r="LX131"/>
      <c r="LY131"/>
      <c r="LZ131"/>
      <c r="MA131"/>
      <c r="MB131"/>
      <c r="MC131"/>
      <c r="MD131"/>
      <c r="ME131"/>
      <c r="MF131"/>
      <c r="MG131"/>
      <c r="MH131"/>
      <c r="MI131"/>
      <c r="MJ131"/>
      <c r="MK131"/>
      <c r="ML131"/>
      <c r="MM131"/>
      <c r="MN131"/>
      <c r="MO131"/>
      <c r="MP131"/>
      <c r="MQ131"/>
      <c r="MR131"/>
      <c r="MS131"/>
      <c r="MT131"/>
      <c r="MU131"/>
      <c r="MV131"/>
      <c r="MW131"/>
      <c r="MX131"/>
      <c r="MY131"/>
      <c r="MZ131"/>
      <c r="NA131"/>
      <c r="NB131"/>
      <c r="NC131"/>
      <c r="ND131"/>
      <c r="NE131"/>
      <c r="NF131"/>
      <c r="NG131"/>
      <c r="NH131"/>
      <c r="NI131"/>
      <c r="NJ131"/>
      <c r="NK131"/>
      <c r="NL131"/>
      <c r="NM131"/>
      <c r="NN131"/>
      <c r="NO131"/>
      <c r="NP131"/>
      <c r="NQ131"/>
      <c r="NR131"/>
      <c r="NS131"/>
      <c r="NT131"/>
      <c r="NU131"/>
      <c r="NV131"/>
      <c r="NW131"/>
      <c r="NX131"/>
      <c r="NY131"/>
      <c r="NZ131"/>
      <c r="OA131"/>
      <c r="OB131"/>
      <c r="OC131"/>
      <c r="OD131"/>
      <c r="OE131"/>
      <c r="OF131"/>
      <c r="OG131"/>
      <c r="OH131"/>
      <c r="OI131"/>
      <c r="OJ131"/>
      <c r="OK131"/>
      <c r="OL131"/>
      <c r="OM131"/>
      <c r="ON131"/>
      <c r="OO131"/>
      <c r="OP131"/>
      <c r="OQ131"/>
      <c r="OR131"/>
      <c r="OS131"/>
      <c r="OT131"/>
      <c r="OU131"/>
      <c r="OV131"/>
      <c r="OW131"/>
      <c r="OX131"/>
      <c r="OY131"/>
      <c r="OZ131"/>
      <c r="PA131"/>
      <c r="PB131"/>
      <c r="PC131"/>
      <c r="PD131"/>
      <c r="PE131"/>
      <c r="PF131"/>
      <c r="PG131"/>
      <c r="PH131"/>
      <c r="PI131"/>
      <c r="PJ131"/>
      <c r="PK131"/>
      <c r="PL131"/>
      <c r="PM131"/>
      <c r="PN131"/>
      <c r="PO131"/>
      <c r="PP131"/>
      <c r="PQ131"/>
      <c r="PR131"/>
      <c r="PS131"/>
      <c r="PT131"/>
      <c r="PU131"/>
      <c r="PV131"/>
      <c r="PW131"/>
      <c r="PX131"/>
      <c r="PY131"/>
      <c r="PZ131"/>
      <c r="QA131"/>
      <c r="QB131"/>
      <c r="QC131"/>
      <c r="QD131"/>
      <c r="QE131"/>
      <c r="QF131"/>
      <c r="QG131"/>
      <c r="QH131"/>
      <c r="QI131"/>
      <c r="QJ131"/>
      <c r="QK131"/>
      <c r="QL131"/>
      <c r="QM131"/>
      <c r="QN131"/>
      <c r="QO131"/>
      <c r="QP131"/>
      <c r="QQ131"/>
      <c r="QR131"/>
      <c r="QS131"/>
      <c r="QT131"/>
      <c r="QU131"/>
      <c r="QV131"/>
      <c r="QW131"/>
      <c r="QX131"/>
      <c r="QY131"/>
      <c r="QZ131"/>
      <c r="RA131"/>
      <c r="RB131"/>
      <c r="RC131"/>
      <c r="RD131"/>
      <c r="RE131"/>
      <c r="RF131"/>
      <c r="RG131"/>
      <c r="RH131"/>
      <c r="RI131"/>
      <c r="RJ131"/>
      <c r="RK131"/>
      <c r="RL131"/>
      <c r="RM131"/>
      <c r="RN131"/>
      <c r="RO131"/>
      <c r="RP131"/>
      <c r="RQ131"/>
      <c r="RR131"/>
      <c r="RS131"/>
      <c r="RT131"/>
      <c r="RU131"/>
      <c r="RV131"/>
      <c r="RW131"/>
      <c r="RX131"/>
      <c r="RY131"/>
      <c r="RZ131"/>
      <c r="SA131"/>
      <c r="SB131"/>
      <c r="SC131"/>
      <c r="SD131"/>
      <c r="SE131"/>
      <c r="SF131"/>
      <c r="SG131"/>
      <c r="SH131"/>
      <c r="SI131"/>
      <c r="SJ131"/>
      <c r="SK131"/>
      <c r="SL131"/>
      <c r="SM131"/>
      <c r="SN131"/>
      <c r="SO131"/>
      <c r="SP131"/>
      <c r="SQ131"/>
      <c r="SR131"/>
      <c r="SS131"/>
      <c r="ST131"/>
      <c r="SU131"/>
      <c r="SV131"/>
      <c r="SW131"/>
      <c r="SX131"/>
      <c r="SY131"/>
      <c r="SZ131"/>
      <c r="TA131"/>
      <c r="TB131"/>
      <c r="TC131"/>
      <c r="TD131"/>
      <c r="TE131"/>
      <c r="TF131"/>
      <c r="TG131"/>
      <c r="TH131"/>
      <c r="TI131"/>
      <c r="TJ131"/>
      <c r="TK131"/>
      <c r="TL131"/>
      <c r="TM131"/>
      <c r="TN131"/>
      <c r="TO131"/>
      <c r="TP131"/>
      <c r="TQ131"/>
      <c r="TR131"/>
      <c r="TS131"/>
      <c r="TT131"/>
      <c r="TU131"/>
      <c r="TV131"/>
      <c r="TW131"/>
      <c r="TX131"/>
      <c r="TY131"/>
      <c r="TZ131"/>
      <c r="UA131"/>
      <c r="UB131"/>
      <c r="UC131"/>
      <c r="UD131"/>
      <c r="UE131"/>
      <c r="UF131"/>
      <c r="UG131"/>
      <c r="UH131"/>
      <c r="UI131"/>
      <c r="UJ131"/>
      <c r="UK131"/>
      <c r="UL131"/>
      <c r="UM131"/>
      <c r="UN131"/>
      <c r="UO131"/>
      <c r="UP131"/>
      <c r="UQ131"/>
      <c r="UR131"/>
      <c r="US131"/>
      <c r="UT131"/>
      <c r="UU131"/>
      <c r="UV131"/>
      <c r="UW131"/>
      <c r="UX131"/>
      <c r="UY131"/>
      <c r="UZ131"/>
      <c r="VA131"/>
      <c r="VB131"/>
      <c r="VC131"/>
      <c r="VD131"/>
      <c r="VE131"/>
      <c r="VF131"/>
      <c r="VG131"/>
      <c r="VH131"/>
      <c r="VI131"/>
      <c r="VJ131"/>
      <c r="VK131"/>
      <c r="VL131"/>
      <c r="VM131"/>
      <c r="VN131"/>
      <c r="VO131"/>
      <c r="VP131"/>
      <c r="VQ131"/>
      <c r="VR131"/>
      <c r="VS131"/>
      <c r="VT131"/>
      <c r="VU131"/>
      <c r="VV131"/>
      <c r="VW131"/>
      <c r="VX131"/>
      <c r="VY131"/>
      <c r="VZ131"/>
      <c r="WA131"/>
      <c r="WB131"/>
      <c r="WC131"/>
      <c r="WD131"/>
      <c r="WE131"/>
      <c r="WF131"/>
      <c r="WG131"/>
      <c r="WH131"/>
      <c r="WI131"/>
      <c r="WJ131"/>
      <c r="WK131"/>
      <c r="WL131"/>
      <c r="WM131"/>
      <c r="WN131"/>
      <c r="WO131"/>
      <c r="WP131"/>
      <c r="WQ131"/>
      <c r="WR131"/>
      <c r="WS131"/>
      <c r="WT131"/>
      <c r="WU131"/>
      <c r="WV131"/>
      <c r="WW131"/>
      <c r="WX131"/>
      <c r="WY131"/>
      <c r="WZ131"/>
      <c r="XA131"/>
      <c r="XB131"/>
      <c r="XC131"/>
      <c r="XD131"/>
      <c r="XE131"/>
      <c r="XF131"/>
      <c r="XG131"/>
      <c r="XH131"/>
      <c r="XI131"/>
      <c r="XJ131"/>
      <c r="XK131"/>
      <c r="XL131"/>
      <c r="XM131"/>
      <c r="XN131"/>
      <c r="XO131"/>
      <c r="XP131"/>
      <c r="XQ131"/>
      <c r="XR131"/>
      <c r="XS131"/>
      <c r="XT131"/>
      <c r="XU131"/>
      <c r="XV131"/>
      <c r="XW131"/>
      <c r="XX131"/>
      <c r="XY131"/>
      <c r="XZ131"/>
      <c r="YA131"/>
      <c r="YB131"/>
      <c r="YC131"/>
      <c r="YD131"/>
      <c r="YE131"/>
      <c r="YF131"/>
      <c r="YG131"/>
      <c r="YH131"/>
      <c r="YI131"/>
      <c r="YJ131"/>
      <c r="YK131"/>
      <c r="YL131"/>
      <c r="YM131"/>
      <c r="YN131"/>
      <c r="YO131"/>
      <c r="YP131"/>
      <c r="YQ131"/>
      <c r="YR131"/>
      <c r="YS131"/>
      <c r="YT131"/>
      <c r="YU131"/>
      <c r="YV131"/>
      <c r="YW131"/>
      <c r="YX131"/>
      <c r="YY131"/>
      <c r="YZ131"/>
      <c r="ZA131"/>
      <c r="ZB131"/>
      <c r="ZC131"/>
      <c r="ZD131"/>
      <c r="ZE131"/>
      <c r="ZF131"/>
      <c r="ZG131"/>
      <c r="ZH131"/>
      <c r="ZI131"/>
      <c r="ZJ131"/>
      <c r="ZK131"/>
      <c r="ZL131"/>
      <c r="ZM131"/>
      <c r="ZN131"/>
      <c r="ZO131"/>
      <c r="ZP131"/>
      <c r="ZQ131"/>
      <c r="ZR131"/>
      <c r="ZS131"/>
      <c r="ZT131"/>
      <c r="ZU131"/>
      <c r="ZV131"/>
      <c r="ZW131"/>
      <c r="ZX131"/>
      <c r="ZY131"/>
      <c r="ZZ131"/>
      <c r="AAA131"/>
      <c r="AAB131"/>
      <c r="AAC131"/>
      <c r="AAD131"/>
      <c r="AAE131"/>
      <c r="AAF131"/>
      <c r="AAG131"/>
      <c r="AAH131"/>
      <c r="AAI131"/>
      <c r="AAJ131"/>
      <c r="AAK131"/>
      <c r="AAL131"/>
      <c r="AAM131"/>
      <c r="AAN131"/>
      <c r="AAO131"/>
      <c r="AAP131"/>
      <c r="AAQ131"/>
      <c r="AAR131"/>
      <c r="AAS131"/>
      <c r="AAT131"/>
      <c r="AAU131"/>
      <c r="AAV131"/>
      <c r="AAW131"/>
      <c r="AAX131"/>
      <c r="AAY131"/>
      <c r="AAZ131"/>
      <c r="ABA131"/>
      <c r="ABB131"/>
      <c r="ABC131"/>
      <c r="ABD131"/>
      <c r="ABE131"/>
      <c r="ABF131"/>
      <c r="ABG131"/>
      <c r="ABH131"/>
      <c r="ABI131"/>
      <c r="ABJ131"/>
      <c r="ABK131"/>
      <c r="ABL131"/>
      <c r="ABM131"/>
      <c r="ABN131"/>
      <c r="ABO131"/>
      <c r="ABP131"/>
      <c r="ABQ131"/>
      <c r="ABR131"/>
      <c r="ABS131"/>
      <c r="ABT131"/>
      <c r="ABU131"/>
      <c r="ABV131"/>
      <c r="ABW131"/>
      <c r="ABX131"/>
      <c r="ABY131"/>
      <c r="ABZ131"/>
      <c r="ACA131"/>
      <c r="ACB131"/>
      <c r="ACC131"/>
      <c r="ACD131"/>
      <c r="ACE131"/>
      <c r="ACF131"/>
      <c r="ACG131"/>
      <c r="ACH131"/>
      <c r="ACI131"/>
      <c r="ACJ131"/>
      <c r="ACK131"/>
      <c r="ACL131"/>
      <c r="ACM131"/>
      <c r="ACN131"/>
      <c r="ACO131"/>
      <c r="ACP131"/>
      <c r="ACQ131"/>
      <c r="ACR131"/>
      <c r="ACS131"/>
      <c r="ACT131"/>
      <c r="ACU131"/>
      <c r="ACV131"/>
      <c r="ACW131"/>
      <c r="ACX131"/>
      <c r="ACY131"/>
      <c r="ACZ131"/>
      <c r="ADA131"/>
      <c r="ADB131"/>
      <c r="ADC131"/>
      <c r="ADD131"/>
      <c r="ADE131"/>
      <c r="ADF131"/>
      <c r="ADG131"/>
      <c r="ADH131"/>
      <c r="ADI131"/>
      <c r="ADJ131"/>
      <c r="ADK131"/>
      <c r="ADL131"/>
      <c r="ADM131"/>
      <c r="ADN131"/>
      <c r="ADO131"/>
      <c r="ADP131"/>
      <c r="ADQ131"/>
      <c r="ADR131"/>
      <c r="ADS131"/>
      <c r="ADT131"/>
      <c r="ADU131"/>
      <c r="ADV131"/>
      <c r="ADW131"/>
      <c r="ADX131"/>
      <c r="ADY131"/>
      <c r="ADZ131"/>
      <c r="AEA131"/>
      <c r="AEB131"/>
      <c r="AEC131"/>
      <c r="AED131"/>
      <c r="AEE131"/>
      <c r="AEF131"/>
      <c r="AEG131"/>
      <c r="AEH131"/>
      <c r="AEI131"/>
      <c r="AEJ131"/>
      <c r="AEK131"/>
      <c r="AEL131"/>
      <c r="AEM131"/>
      <c r="AEN131"/>
      <c r="AEO131"/>
      <c r="AEP131"/>
      <c r="AEQ131"/>
      <c r="AER131"/>
      <c r="AES131"/>
      <c r="AET131"/>
      <c r="AEU131"/>
      <c r="AEV131"/>
      <c r="AEW131"/>
      <c r="AEX131"/>
      <c r="AEY131"/>
      <c r="AEZ131"/>
      <c r="AFA131"/>
      <c r="AFB131"/>
      <c r="AFC131"/>
      <c r="AFD131"/>
      <c r="AFE131"/>
      <c r="AFF131"/>
      <c r="AFG131"/>
      <c r="AFH131"/>
      <c r="AFI131"/>
      <c r="AFJ131"/>
      <c r="AFK131"/>
      <c r="AFL131"/>
      <c r="AFM131"/>
      <c r="AFN131"/>
      <c r="AFO131"/>
      <c r="AFP131"/>
      <c r="AFQ131"/>
      <c r="AFR131"/>
      <c r="AFS131"/>
      <c r="AFT131"/>
      <c r="AFU131"/>
      <c r="AFV131"/>
      <c r="AFW131"/>
      <c r="AFX131"/>
      <c r="AFY131"/>
      <c r="AFZ131"/>
      <c r="AGA131"/>
      <c r="AGB131"/>
      <c r="AGC131"/>
      <c r="AGD131"/>
      <c r="AGE131"/>
      <c r="AGF131"/>
      <c r="AGG131"/>
      <c r="AGH131"/>
      <c r="AGI131"/>
      <c r="AGJ131"/>
      <c r="AGK131"/>
      <c r="AGL131"/>
      <c r="AGM131"/>
      <c r="AGN131"/>
      <c r="AGO131"/>
      <c r="AGP131"/>
      <c r="AGQ131"/>
      <c r="AGR131"/>
      <c r="AGS131"/>
      <c r="AGT131"/>
      <c r="AGU131"/>
      <c r="AGV131"/>
      <c r="AGW131"/>
      <c r="AGX131"/>
      <c r="AGY131"/>
      <c r="AGZ131"/>
      <c r="AHA131"/>
      <c r="AHB131"/>
      <c r="AHC131"/>
      <c r="AHD131"/>
      <c r="AHE131"/>
      <c r="AHF131"/>
      <c r="AHG131"/>
      <c r="AHH131"/>
      <c r="AHI131"/>
      <c r="AHJ131"/>
      <c r="AHK131"/>
      <c r="AHL131"/>
      <c r="AHM131"/>
      <c r="AHN131"/>
      <c r="AHO131"/>
      <c r="AHP131"/>
      <c r="AHQ131"/>
      <c r="AHR131"/>
      <c r="AHS131"/>
      <c r="AHT131"/>
      <c r="AHU131"/>
      <c r="AHV131"/>
      <c r="AHW131"/>
      <c r="AHX131"/>
      <c r="AHY131"/>
      <c r="AHZ131"/>
      <c r="AIA131"/>
      <c r="AIB131"/>
      <c r="AIC131"/>
      <c r="AID131"/>
      <c r="AIE131"/>
      <c r="AIF131"/>
      <c r="AIG131"/>
      <c r="AIH131"/>
      <c r="AII131"/>
      <c r="AIJ131"/>
      <c r="AIK131"/>
      <c r="AIL131"/>
      <c r="AIM131"/>
      <c r="AIN131"/>
      <c r="AIO131"/>
      <c r="AIP131"/>
      <c r="AIQ131"/>
      <c r="AIR131"/>
      <c r="AIS131"/>
      <c r="AIT131"/>
      <c r="AIU131"/>
      <c r="AIV131"/>
      <c r="AIW131"/>
      <c r="AIX131"/>
      <c r="AIY131"/>
      <c r="AIZ131"/>
      <c r="AJA131"/>
      <c r="AJB131"/>
      <c r="AJC131"/>
      <c r="AJD131"/>
      <c r="AJE131"/>
      <c r="AJF131"/>
      <c r="AJG131"/>
      <c r="AJH131"/>
      <c r="AJI131"/>
      <c r="AJJ131"/>
      <c r="AJK131"/>
      <c r="AJL131"/>
      <c r="AJM131"/>
      <c r="AJN131"/>
      <c r="AJO131"/>
      <c r="AJP131"/>
      <c r="AJQ131"/>
      <c r="AJR131"/>
      <c r="AJS131"/>
      <c r="AJT131"/>
      <c r="AJU131"/>
      <c r="AJV131"/>
      <c r="AJW131"/>
      <c r="AJX131"/>
      <c r="AJY131"/>
      <c r="AJZ131"/>
      <c r="AKA131"/>
      <c r="AKB131"/>
      <c r="AKC131"/>
      <c r="AKD131"/>
      <c r="AKE131"/>
      <c r="AKF131"/>
      <c r="AKG131"/>
      <c r="AKH131"/>
      <c r="AKI131"/>
      <c r="AKJ131"/>
      <c r="AKK131"/>
      <c r="AKL131"/>
      <c r="AKM131"/>
      <c r="AKN131"/>
      <c r="AKO131"/>
      <c r="AKP131"/>
      <c r="AKQ131"/>
      <c r="AKR131"/>
      <c r="AKS131"/>
      <c r="AKT131"/>
      <c r="AKU131"/>
      <c r="AKV131"/>
      <c r="AKW131"/>
      <c r="AKX131"/>
      <c r="AKY131"/>
      <c r="AKZ131"/>
      <c r="ALA131"/>
      <c r="ALB131"/>
      <c r="ALC131"/>
      <c r="ALD131"/>
      <c r="ALE131"/>
      <c r="ALF131"/>
      <c r="ALG131"/>
      <c r="ALH131"/>
      <c r="ALI131"/>
      <c r="ALJ131"/>
      <c r="ALK131"/>
      <c r="ALL131"/>
      <c r="ALM131"/>
      <c r="ALN131"/>
      <c r="ALO131"/>
      <c r="ALP131"/>
      <c r="ALQ131"/>
      <c r="ALR131"/>
      <c r="ALS131"/>
      <c r="ALT131"/>
      <c r="ALU131"/>
      <c r="ALV131"/>
      <c r="ALW131"/>
      <c r="ALX131"/>
      <c r="ALY131"/>
      <c r="ALZ131"/>
      <c r="AMA131"/>
      <c r="AMB131"/>
      <c r="AMC131"/>
      <c r="AMD131"/>
      <c r="AME131"/>
      <c r="AMG131"/>
      <c r="AMH131"/>
      <c r="AMI131"/>
      <c r="AMJ131"/>
      <c r="AMK131"/>
    </row>
    <row r="132" spans="1:1025" ht="15" customHeight="1" x14ac:dyDescent="0.2">
      <c r="A132" s="328" t="s">
        <v>309</v>
      </c>
      <c r="B132" s="46" t="s">
        <v>164</v>
      </c>
      <c r="C132" s="46">
        <f>2*22*12</f>
        <v>528</v>
      </c>
      <c r="D132" s="46">
        <f>3*22*12</f>
        <v>792</v>
      </c>
      <c r="E132" s="339"/>
      <c r="F132" s="331"/>
      <c r="G132" s="81">
        <f>(E132+F132)/2</f>
        <v>0</v>
      </c>
      <c r="H132" s="86">
        <f>(C132*G132)/12</f>
        <v>0</v>
      </c>
      <c r="I132" s="86">
        <f t="shared" si="12"/>
        <v>0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  <c r="ABW132"/>
      <c r="ABX132"/>
      <c r="ABY132"/>
      <c r="ABZ132"/>
      <c r="ACA132"/>
      <c r="ACB132"/>
      <c r="ACC132"/>
      <c r="ACD132"/>
      <c r="ACE132"/>
      <c r="ACF132"/>
      <c r="ACG132"/>
      <c r="ACH132"/>
      <c r="ACI132"/>
      <c r="ACJ132"/>
      <c r="ACK132"/>
      <c r="ACL132"/>
      <c r="ACM132"/>
      <c r="ACN132"/>
      <c r="ACO132"/>
      <c r="ACP132"/>
      <c r="ACQ132"/>
      <c r="ACR132"/>
      <c r="ACS132"/>
      <c r="ACT132"/>
      <c r="ACU132"/>
      <c r="ACV132"/>
      <c r="ACW132"/>
      <c r="ACX132"/>
      <c r="ACY132"/>
      <c r="ACZ132"/>
      <c r="ADA132"/>
      <c r="ADB132"/>
      <c r="ADC132"/>
      <c r="ADD132"/>
      <c r="ADE132"/>
      <c r="ADF132"/>
      <c r="ADG132"/>
      <c r="ADH132"/>
      <c r="ADI132"/>
      <c r="ADJ132"/>
      <c r="ADK132"/>
      <c r="ADL132"/>
      <c r="ADM132"/>
      <c r="ADN132"/>
      <c r="ADO132"/>
      <c r="ADP132"/>
      <c r="ADQ132"/>
      <c r="ADR132"/>
      <c r="ADS132"/>
      <c r="ADT132"/>
      <c r="ADU132"/>
      <c r="ADV132"/>
      <c r="ADW132"/>
      <c r="ADX132"/>
      <c r="ADY132"/>
      <c r="ADZ132"/>
      <c r="AEA132"/>
      <c r="AEB132"/>
      <c r="AEC132"/>
      <c r="AED132"/>
      <c r="AEE132"/>
      <c r="AEF132"/>
      <c r="AEG132"/>
      <c r="AEH132"/>
      <c r="AEI132"/>
      <c r="AEJ132"/>
      <c r="AEK132"/>
      <c r="AEL132"/>
      <c r="AEM132"/>
      <c r="AEN132"/>
      <c r="AEO132"/>
      <c r="AEP132"/>
      <c r="AEQ132"/>
      <c r="AER132"/>
      <c r="AES132"/>
      <c r="AET132"/>
      <c r="AEU132"/>
      <c r="AEV132"/>
      <c r="AEW132"/>
      <c r="AEX132"/>
      <c r="AEY132"/>
      <c r="AEZ132"/>
      <c r="AFA132"/>
      <c r="AFB132"/>
      <c r="AFC132"/>
      <c r="AFD132"/>
      <c r="AFE132"/>
      <c r="AFF132"/>
      <c r="AFG132"/>
      <c r="AFH132"/>
      <c r="AFI132"/>
      <c r="AFJ132"/>
      <c r="AFK132"/>
      <c r="AFL132"/>
      <c r="AFM132"/>
      <c r="AFN132"/>
      <c r="AFO132"/>
      <c r="AFP132"/>
      <c r="AFQ132"/>
      <c r="AFR132"/>
      <c r="AFS132"/>
      <c r="AFT132"/>
      <c r="AFU132"/>
      <c r="AFV132"/>
      <c r="AFW132"/>
      <c r="AFX132"/>
      <c r="AFY132"/>
      <c r="AFZ132"/>
      <c r="AGA132"/>
      <c r="AGB132"/>
      <c r="AGC132"/>
      <c r="AGD132"/>
      <c r="AGE132"/>
      <c r="AGF132"/>
      <c r="AGG132"/>
      <c r="AGH132"/>
      <c r="AGI132"/>
      <c r="AGJ132"/>
      <c r="AGK132"/>
      <c r="AGL132"/>
      <c r="AGM132"/>
      <c r="AGN132"/>
      <c r="AGO132"/>
      <c r="AGP132"/>
      <c r="AGQ132"/>
      <c r="AGR132"/>
      <c r="AGS132"/>
      <c r="AGT132"/>
      <c r="AGU132"/>
      <c r="AGV132"/>
      <c r="AGW132"/>
      <c r="AGX132"/>
      <c r="AGY132"/>
      <c r="AGZ132"/>
      <c r="AHA132"/>
      <c r="AHB132"/>
      <c r="AHC132"/>
      <c r="AHD132"/>
      <c r="AHE132"/>
      <c r="AHF132"/>
      <c r="AHG132"/>
      <c r="AHH132"/>
      <c r="AHI132"/>
      <c r="AHJ132"/>
      <c r="AHK132"/>
      <c r="AHL132"/>
      <c r="AHM132"/>
      <c r="AHN132"/>
      <c r="AHO132"/>
      <c r="AHP132"/>
      <c r="AHQ132"/>
      <c r="AHR132"/>
      <c r="AHS132"/>
      <c r="AHT132"/>
      <c r="AHU132"/>
      <c r="AHV132"/>
      <c r="AHW132"/>
      <c r="AHX132"/>
      <c r="AHY132"/>
      <c r="AHZ132"/>
      <c r="AIA132"/>
      <c r="AIB132"/>
      <c r="AIC132"/>
      <c r="AID132"/>
      <c r="AIE132"/>
      <c r="AIF132"/>
      <c r="AIG132"/>
      <c r="AIH132"/>
      <c r="AII132"/>
      <c r="AIJ132"/>
      <c r="AIK132"/>
      <c r="AIL132"/>
      <c r="AIM132"/>
      <c r="AIN132"/>
      <c r="AIO132"/>
      <c r="AIP132"/>
      <c r="AIQ132"/>
      <c r="AIR132"/>
      <c r="AIS132"/>
      <c r="AIT132"/>
      <c r="AIU132"/>
      <c r="AIV132"/>
      <c r="AIW132"/>
      <c r="AIX132"/>
      <c r="AIY132"/>
      <c r="AIZ132"/>
      <c r="AJA132"/>
      <c r="AJB132"/>
      <c r="AJC132"/>
      <c r="AJD132"/>
      <c r="AJE132"/>
      <c r="AJF132"/>
      <c r="AJG132"/>
      <c r="AJH132"/>
      <c r="AJI132"/>
      <c r="AJJ132"/>
      <c r="AJK132"/>
      <c r="AJL132"/>
      <c r="AJM132"/>
      <c r="AJN132"/>
      <c r="AJO132"/>
      <c r="AJP132"/>
      <c r="AJQ132"/>
      <c r="AJR132"/>
      <c r="AJS132"/>
      <c r="AJT132"/>
      <c r="AJU132"/>
      <c r="AJV132"/>
      <c r="AJW132"/>
      <c r="AJX132"/>
      <c r="AJY132"/>
      <c r="AJZ132"/>
      <c r="AKA132"/>
      <c r="AKB132"/>
      <c r="AKC132"/>
      <c r="AKD132"/>
      <c r="AKE132"/>
      <c r="AKF132"/>
      <c r="AKG132"/>
      <c r="AKH132"/>
      <c r="AKI132"/>
      <c r="AKJ132"/>
      <c r="AKK132"/>
      <c r="AKL132"/>
      <c r="AKM132"/>
      <c r="AKN132"/>
      <c r="AKO132"/>
      <c r="AKP132"/>
      <c r="AKQ132"/>
      <c r="AKR132"/>
      <c r="AKS132"/>
      <c r="AKT132"/>
      <c r="AKU132"/>
      <c r="AKV132"/>
      <c r="AKW132"/>
      <c r="AKX132"/>
      <c r="AKY132"/>
      <c r="AKZ132"/>
      <c r="ALA132"/>
      <c r="ALB132"/>
      <c r="ALC132"/>
      <c r="ALD132"/>
      <c r="ALE132"/>
      <c r="ALF132"/>
      <c r="ALG132"/>
      <c r="ALH132"/>
      <c r="ALI132"/>
      <c r="ALJ132"/>
      <c r="ALK132"/>
      <c r="ALL132"/>
      <c r="ALM132"/>
      <c r="ALN132"/>
      <c r="ALO132"/>
      <c r="ALP132"/>
      <c r="ALQ132"/>
      <c r="ALR132"/>
      <c r="ALS132"/>
      <c r="ALT132"/>
      <c r="ALU132"/>
      <c r="ALV132"/>
      <c r="ALW132"/>
      <c r="ALX132"/>
      <c r="ALY132"/>
      <c r="ALZ132"/>
      <c r="AMA132"/>
      <c r="AMB132"/>
      <c r="AMC132"/>
      <c r="AMD132"/>
      <c r="AME132"/>
      <c r="AMG132"/>
      <c r="AMH132"/>
      <c r="AMI132"/>
      <c r="AMJ132"/>
      <c r="AMK132"/>
    </row>
    <row r="133" spans="1:1025" ht="15" customHeight="1" x14ac:dyDescent="0.2">
      <c r="A133" s="328" t="s">
        <v>317</v>
      </c>
      <c r="B133" s="46" t="s">
        <v>164</v>
      </c>
      <c r="C133" s="80">
        <v>1</v>
      </c>
      <c r="D133" s="80">
        <v>1</v>
      </c>
      <c r="E133" s="339"/>
      <c r="F133" s="331"/>
      <c r="G133" s="81">
        <f>(E133+F133)/2</f>
        <v>0</v>
      </c>
      <c r="H133" s="86">
        <f>(C133*G133)/12</f>
        <v>0</v>
      </c>
      <c r="I133" s="86">
        <f t="shared" si="12"/>
        <v>0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  <c r="OF133"/>
      <c r="OG133"/>
      <c r="OH133"/>
      <c r="OI133"/>
      <c r="OJ133"/>
      <c r="OK133"/>
      <c r="OL133"/>
      <c r="OM133"/>
      <c r="ON133"/>
      <c r="OO133"/>
      <c r="OP133"/>
      <c r="OQ133"/>
      <c r="OR133"/>
      <c r="OS133"/>
      <c r="OT133"/>
      <c r="OU133"/>
      <c r="OV133"/>
      <c r="OW133"/>
      <c r="OX133"/>
      <c r="OY133"/>
      <c r="OZ133"/>
      <c r="PA133"/>
      <c r="PB133"/>
      <c r="PC133"/>
      <c r="PD133"/>
      <c r="PE133"/>
      <c r="PF133"/>
      <c r="PG133"/>
      <c r="PH133"/>
      <c r="PI133"/>
      <c r="PJ133"/>
      <c r="PK133"/>
      <c r="PL133"/>
      <c r="PM133"/>
      <c r="PN133"/>
      <c r="PO133"/>
      <c r="PP133"/>
      <c r="PQ133"/>
      <c r="PR133"/>
      <c r="PS133"/>
      <c r="PT133"/>
      <c r="PU133"/>
      <c r="PV133"/>
      <c r="PW133"/>
      <c r="PX133"/>
      <c r="PY133"/>
      <c r="PZ133"/>
      <c r="QA133"/>
      <c r="QB133"/>
      <c r="QC133"/>
      <c r="QD133"/>
      <c r="QE133"/>
      <c r="QF133"/>
      <c r="QG133"/>
      <c r="QH133"/>
      <c r="QI133"/>
      <c r="QJ133"/>
      <c r="QK133"/>
      <c r="QL133"/>
      <c r="QM133"/>
      <c r="QN133"/>
      <c r="QO133"/>
      <c r="QP133"/>
      <c r="QQ133"/>
      <c r="QR133"/>
      <c r="QS133"/>
      <c r="QT133"/>
      <c r="QU133"/>
      <c r="QV133"/>
      <c r="QW133"/>
      <c r="QX133"/>
      <c r="QY133"/>
      <c r="QZ133"/>
      <c r="RA133"/>
      <c r="RB133"/>
      <c r="RC133"/>
      <c r="RD133"/>
      <c r="RE133"/>
      <c r="RF133"/>
      <c r="RG133"/>
      <c r="RH133"/>
      <c r="RI133"/>
      <c r="RJ133"/>
      <c r="RK133"/>
      <c r="RL133"/>
      <c r="RM133"/>
      <c r="RN133"/>
      <c r="RO133"/>
      <c r="RP133"/>
      <c r="RQ133"/>
      <c r="RR133"/>
      <c r="RS133"/>
      <c r="RT133"/>
      <c r="RU133"/>
      <c r="RV133"/>
      <c r="RW133"/>
      <c r="RX133"/>
      <c r="RY133"/>
      <c r="RZ133"/>
      <c r="SA133"/>
      <c r="SB133"/>
      <c r="SC133"/>
      <c r="SD133"/>
      <c r="SE133"/>
      <c r="SF133"/>
      <c r="SG133"/>
      <c r="SH133"/>
      <c r="SI133"/>
      <c r="SJ133"/>
      <c r="SK133"/>
      <c r="SL133"/>
      <c r="SM133"/>
      <c r="SN133"/>
      <c r="SO133"/>
      <c r="SP133"/>
      <c r="SQ133"/>
      <c r="SR133"/>
      <c r="SS133"/>
      <c r="ST133"/>
      <c r="SU133"/>
      <c r="SV133"/>
      <c r="SW133"/>
      <c r="SX133"/>
      <c r="SY133"/>
      <c r="SZ133"/>
      <c r="TA133"/>
      <c r="TB133"/>
      <c r="TC133"/>
      <c r="TD133"/>
      <c r="TE133"/>
      <c r="TF133"/>
      <c r="TG133"/>
      <c r="TH133"/>
      <c r="TI133"/>
      <c r="TJ133"/>
      <c r="TK133"/>
      <c r="TL133"/>
      <c r="TM133"/>
      <c r="TN133"/>
      <c r="TO133"/>
      <c r="TP133"/>
      <c r="TQ133"/>
      <c r="TR133"/>
      <c r="TS133"/>
      <c r="TT133"/>
      <c r="TU133"/>
      <c r="TV133"/>
      <c r="TW133"/>
      <c r="TX133"/>
      <c r="TY133"/>
      <c r="TZ133"/>
      <c r="UA133"/>
      <c r="UB133"/>
      <c r="UC133"/>
      <c r="UD133"/>
      <c r="UE133"/>
      <c r="UF133"/>
      <c r="UG133"/>
      <c r="UH133"/>
      <c r="UI133"/>
      <c r="UJ133"/>
      <c r="UK133"/>
      <c r="UL133"/>
      <c r="UM133"/>
      <c r="UN133"/>
      <c r="UO133"/>
      <c r="UP133"/>
      <c r="UQ133"/>
      <c r="UR133"/>
      <c r="US133"/>
      <c r="UT133"/>
      <c r="UU133"/>
      <c r="UV133"/>
      <c r="UW133"/>
      <c r="UX133"/>
      <c r="UY133"/>
      <c r="UZ133"/>
      <c r="VA133"/>
      <c r="VB133"/>
      <c r="VC133"/>
      <c r="VD133"/>
      <c r="VE133"/>
      <c r="VF133"/>
      <c r="VG133"/>
      <c r="VH133"/>
      <c r="VI133"/>
      <c r="VJ133"/>
      <c r="VK133"/>
      <c r="VL133"/>
      <c r="VM133"/>
      <c r="VN133"/>
      <c r="VO133"/>
      <c r="VP133"/>
      <c r="VQ133"/>
      <c r="VR133"/>
      <c r="VS133"/>
      <c r="VT133"/>
      <c r="VU133"/>
      <c r="VV133"/>
      <c r="VW133"/>
      <c r="VX133"/>
      <c r="VY133"/>
      <c r="VZ133"/>
      <c r="WA133"/>
      <c r="WB133"/>
      <c r="WC133"/>
      <c r="WD133"/>
      <c r="WE133"/>
      <c r="WF133"/>
      <c r="WG133"/>
      <c r="WH133"/>
      <c r="WI133"/>
      <c r="WJ133"/>
      <c r="WK133"/>
      <c r="WL133"/>
      <c r="WM133"/>
      <c r="WN133"/>
      <c r="WO133"/>
      <c r="WP133"/>
      <c r="WQ133"/>
      <c r="WR133"/>
      <c r="WS133"/>
      <c r="WT133"/>
      <c r="WU133"/>
      <c r="WV133"/>
      <c r="WW133"/>
      <c r="WX133"/>
      <c r="WY133"/>
      <c r="WZ133"/>
      <c r="XA133"/>
      <c r="XB133"/>
      <c r="XC133"/>
      <c r="XD133"/>
      <c r="XE133"/>
      <c r="XF133"/>
      <c r="XG133"/>
      <c r="XH133"/>
      <c r="XI133"/>
      <c r="XJ133"/>
      <c r="XK133"/>
      <c r="XL133"/>
      <c r="XM133"/>
      <c r="XN133"/>
      <c r="XO133"/>
      <c r="XP133"/>
      <c r="XQ133"/>
      <c r="XR133"/>
      <c r="XS133"/>
      <c r="XT133"/>
      <c r="XU133"/>
      <c r="XV133"/>
      <c r="XW133"/>
      <c r="XX133"/>
      <c r="XY133"/>
      <c r="XZ133"/>
      <c r="YA133"/>
      <c r="YB133"/>
      <c r="YC133"/>
      <c r="YD133"/>
      <c r="YE133"/>
      <c r="YF133"/>
      <c r="YG133"/>
      <c r="YH133"/>
      <c r="YI133"/>
      <c r="YJ133"/>
      <c r="YK133"/>
      <c r="YL133"/>
      <c r="YM133"/>
      <c r="YN133"/>
      <c r="YO133"/>
      <c r="YP133"/>
      <c r="YQ133"/>
      <c r="YR133"/>
      <c r="YS133"/>
      <c r="YT133"/>
      <c r="YU133"/>
      <c r="YV133"/>
      <c r="YW133"/>
      <c r="YX133"/>
      <c r="YY133"/>
      <c r="YZ133"/>
      <c r="ZA133"/>
      <c r="ZB133"/>
      <c r="ZC133"/>
      <c r="ZD133"/>
      <c r="ZE133"/>
      <c r="ZF133"/>
      <c r="ZG133"/>
      <c r="ZH133"/>
      <c r="ZI133"/>
      <c r="ZJ133"/>
      <c r="ZK133"/>
      <c r="ZL133"/>
      <c r="ZM133"/>
      <c r="ZN133"/>
      <c r="ZO133"/>
      <c r="ZP133"/>
      <c r="ZQ133"/>
      <c r="ZR133"/>
      <c r="ZS133"/>
      <c r="ZT133"/>
      <c r="ZU133"/>
      <c r="ZV133"/>
      <c r="ZW133"/>
      <c r="ZX133"/>
      <c r="ZY133"/>
      <c r="ZZ133"/>
      <c r="AAA133"/>
      <c r="AAB133"/>
      <c r="AAC133"/>
      <c r="AAD133"/>
      <c r="AAE133"/>
      <c r="AAF133"/>
      <c r="AAG133"/>
      <c r="AAH133"/>
      <c r="AAI133"/>
      <c r="AAJ133"/>
      <c r="AAK133"/>
      <c r="AAL133"/>
      <c r="AAM133"/>
      <c r="AAN133"/>
      <c r="AAO133"/>
      <c r="AAP133"/>
      <c r="AAQ133"/>
      <c r="AAR133"/>
      <c r="AAS133"/>
      <c r="AAT133"/>
      <c r="AAU133"/>
      <c r="AAV133"/>
      <c r="AAW133"/>
      <c r="AAX133"/>
      <c r="AAY133"/>
      <c r="AAZ133"/>
      <c r="ABA133"/>
      <c r="ABB133"/>
      <c r="ABC133"/>
      <c r="ABD133"/>
      <c r="ABE133"/>
      <c r="ABF133"/>
      <c r="ABG133"/>
      <c r="ABH133"/>
      <c r="ABI133"/>
      <c r="ABJ133"/>
      <c r="ABK133"/>
      <c r="ABL133"/>
      <c r="ABM133"/>
      <c r="ABN133"/>
      <c r="ABO133"/>
      <c r="ABP133"/>
      <c r="ABQ133"/>
      <c r="ABR133"/>
      <c r="ABS133"/>
      <c r="ABT133"/>
      <c r="ABU133"/>
      <c r="ABV133"/>
      <c r="ABW133"/>
      <c r="ABX133"/>
      <c r="ABY133"/>
      <c r="ABZ133"/>
      <c r="ACA133"/>
      <c r="ACB133"/>
      <c r="ACC133"/>
      <c r="ACD133"/>
      <c r="ACE133"/>
      <c r="ACF133"/>
      <c r="ACG133"/>
      <c r="ACH133"/>
      <c r="ACI133"/>
      <c r="ACJ133"/>
      <c r="ACK133"/>
      <c r="ACL133"/>
      <c r="ACM133"/>
      <c r="ACN133"/>
      <c r="ACO133"/>
      <c r="ACP133"/>
      <c r="ACQ133"/>
      <c r="ACR133"/>
      <c r="ACS133"/>
      <c r="ACT133"/>
      <c r="ACU133"/>
      <c r="ACV133"/>
      <c r="ACW133"/>
      <c r="ACX133"/>
      <c r="ACY133"/>
      <c r="ACZ133"/>
      <c r="ADA133"/>
      <c r="ADB133"/>
      <c r="ADC133"/>
      <c r="ADD133"/>
      <c r="ADE133"/>
      <c r="ADF133"/>
      <c r="ADG133"/>
      <c r="ADH133"/>
      <c r="ADI133"/>
      <c r="ADJ133"/>
      <c r="ADK133"/>
      <c r="ADL133"/>
      <c r="ADM133"/>
      <c r="ADN133"/>
      <c r="ADO133"/>
      <c r="ADP133"/>
      <c r="ADQ133"/>
      <c r="ADR133"/>
      <c r="ADS133"/>
      <c r="ADT133"/>
      <c r="ADU133"/>
      <c r="ADV133"/>
      <c r="ADW133"/>
      <c r="ADX133"/>
      <c r="ADY133"/>
      <c r="ADZ133"/>
      <c r="AEA133"/>
      <c r="AEB133"/>
      <c r="AEC133"/>
      <c r="AED133"/>
      <c r="AEE133"/>
      <c r="AEF133"/>
      <c r="AEG133"/>
      <c r="AEH133"/>
      <c r="AEI133"/>
      <c r="AEJ133"/>
      <c r="AEK133"/>
      <c r="AEL133"/>
      <c r="AEM133"/>
      <c r="AEN133"/>
      <c r="AEO133"/>
      <c r="AEP133"/>
      <c r="AEQ133"/>
      <c r="AER133"/>
      <c r="AES133"/>
      <c r="AET133"/>
      <c r="AEU133"/>
      <c r="AEV133"/>
      <c r="AEW133"/>
      <c r="AEX133"/>
      <c r="AEY133"/>
      <c r="AEZ133"/>
      <c r="AFA133"/>
      <c r="AFB133"/>
      <c r="AFC133"/>
      <c r="AFD133"/>
      <c r="AFE133"/>
      <c r="AFF133"/>
      <c r="AFG133"/>
      <c r="AFH133"/>
      <c r="AFI133"/>
      <c r="AFJ133"/>
      <c r="AFK133"/>
      <c r="AFL133"/>
      <c r="AFM133"/>
      <c r="AFN133"/>
      <c r="AFO133"/>
      <c r="AFP133"/>
      <c r="AFQ133"/>
      <c r="AFR133"/>
      <c r="AFS133"/>
      <c r="AFT133"/>
      <c r="AFU133"/>
      <c r="AFV133"/>
      <c r="AFW133"/>
      <c r="AFX133"/>
      <c r="AFY133"/>
      <c r="AFZ133"/>
      <c r="AGA133"/>
      <c r="AGB133"/>
      <c r="AGC133"/>
      <c r="AGD133"/>
      <c r="AGE133"/>
      <c r="AGF133"/>
      <c r="AGG133"/>
      <c r="AGH133"/>
      <c r="AGI133"/>
      <c r="AGJ133"/>
      <c r="AGK133"/>
      <c r="AGL133"/>
      <c r="AGM133"/>
      <c r="AGN133"/>
      <c r="AGO133"/>
      <c r="AGP133"/>
      <c r="AGQ133"/>
      <c r="AGR133"/>
      <c r="AGS133"/>
      <c r="AGT133"/>
      <c r="AGU133"/>
      <c r="AGV133"/>
      <c r="AGW133"/>
      <c r="AGX133"/>
      <c r="AGY133"/>
      <c r="AGZ133"/>
      <c r="AHA133"/>
      <c r="AHB133"/>
      <c r="AHC133"/>
      <c r="AHD133"/>
      <c r="AHE133"/>
      <c r="AHF133"/>
      <c r="AHG133"/>
      <c r="AHH133"/>
      <c r="AHI133"/>
      <c r="AHJ133"/>
      <c r="AHK133"/>
      <c r="AHL133"/>
      <c r="AHM133"/>
      <c r="AHN133"/>
      <c r="AHO133"/>
      <c r="AHP133"/>
      <c r="AHQ133"/>
      <c r="AHR133"/>
      <c r="AHS133"/>
      <c r="AHT133"/>
      <c r="AHU133"/>
      <c r="AHV133"/>
      <c r="AHW133"/>
      <c r="AHX133"/>
      <c r="AHY133"/>
      <c r="AHZ133"/>
      <c r="AIA133"/>
      <c r="AIB133"/>
      <c r="AIC133"/>
      <c r="AID133"/>
      <c r="AIE133"/>
      <c r="AIF133"/>
      <c r="AIG133"/>
      <c r="AIH133"/>
      <c r="AII133"/>
      <c r="AIJ133"/>
      <c r="AIK133"/>
      <c r="AIL133"/>
      <c r="AIM133"/>
      <c r="AIN133"/>
      <c r="AIO133"/>
      <c r="AIP133"/>
      <c r="AIQ133"/>
      <c r="AIR133"/>
      <c r="AIS133"/>
      <c r="AIT133"/>
      <c r="AIU133"/>
      <c r="AIV133"/>
      <c r="AIW133"/>
      <c r="AIX133"/>
      <c r="AIY133"/>
      <c r="AIZ133"/>
      <c r="AJA133"/>
      <c r="AJB133"/>
      <c r="AJC133"/>
      <c r="AJD133"/>
      <c r="AJE133"/>
      <c r="AJF133"/>
      <c r="AJG133"/>
      <c r="AJH133"/>
      <c r="AJI133"/>
      <c r="AJJ133"/>
      <c r="AJK133"/>
      <c r="AJL133"/>
      <c r="AJM133"/>
      <c r="AJN133"/>
      <c r="AJO133"/>
      <c r="AJP133"/>
      <c r="AJQ133"/>
      <c r="AJR133"/>
      <c r="AJS133"/>
      <c r="AJT133"/>
      <c r="AJU133"/>
      <c r="AJV133"/>
      <c r="AJW133"/>
      <c r="AJX133"/>
      <c r="AJY133"/>
      <c r="AJZ133"/>
      <c r="AKA133"/>
      <c r="AKB133"/>
      <c r="AKC133"/>
      <c r="AKD133"/>
      <c r="AKE133"/>
      <c r="AKF133"/>
      <c r="AKG133"/>
      <c r="AKH133"/>
      <c r="AKI133"/>
      <c r="AKJ133"/>
      <c r="AKK133"/>
      <c r="AKL133"/>
      <c r="AKM133"/>
      <c r="AKN133"/>
      <c r="AKO133"/>
      <c r="AKP133"/>
      <c r="AKQ133"/>
      <c r="AKR133"/>
      <c r="AKS133"/>
      <c r="AKT133"/>
      <c r="AKU133"/>
      <c r="AKV133"/>
      <c r="AKW133"/>
      <c r="AKX133"/>
      <c r="AKY133"/>
      <c r="AKZ133"/>
      <c r="ALA133"/>
      <c r="ALB133"/>
      <c r="ALC133"/>
      <c r="ALD133"/>
      <c r="ALE133"/>
      <c r="ALF133"/>
      <c r="ALG133"/>
      <c r="ALH133"/>
      <c r="ALI133"/>
      <c r="ALJ133"/>
      <c r="ALK133"/>
      <c r="ALL133"/>
      <c r="ALM133"/>
      <c r="ALN133"/>
      <c r="ALO133"/>
      <c r="ALP133"/>
      <c r="ALQ133"/>
      <c r="ALR133"/>
      <c r="ALS133"/>
      <c r="ALT133"/>
      <c r="ALU133"/>
      <c r="ALV133"/>
      <c r="ALW133"/>
      <c r="ALX133"/>
      <c r="ALY133"/>
      <c r="ALZ133"/>
      <c r="AMA133"/>
      <c r="AMB133"/>
      <c r="AMC133"/>
      <c r="AMD133"/>
      <c r="AME133"/>
      <c r="AMG133"/>
      <c r="AMH133"/>
      <c r="AMI133"/>
      <c r="AMJ133"/>
      <c r="AMK133"/>
    </row>
    <row r="134" spans="1:1025" x14ac:dyDescent="0.2">
      <c r="A134" s="56"/>
      <c r="B134" s="57"/>
      <c r="C134" s="57"/>
      <c r="D134" s="57"/>
      <c r="E134" s="57"/>
      <c r="F134" s="57"/>
      <c r="G134" s="57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  <c r="OF134"/>
      <c r="OG134"/>
      <c r="OH134"/>
      <c r="OI134"/>
      <c r="OJ134"/>
      <c r="OK134"/>
      <c r="OL134"/>
      <c r="OM134"/>
      <c r="ON134"/>
      <c r="OO134"/>
      <c r="OP134"/>
      <c r="OQ134"/>
      <c r="OR134"/>
      <c r="OS134"/>
      <c r="OT134"/>
      <c r="OU134"/>
      <c r="OV134"/>
      <c r="OW134"/>
      <c r="OX134"/>
      <c r="OY134"/>
      <c r="OZ134"/>
      <c r="PA134"/>
      <c r="PB134"/>
      <c r="PC134"/>
      <c r="PD134"/>
      <c r="PE134"/>
      <c r="PF134"/>
      <c r="PG134"/>
      <c r="PH134"/>
      <c r="PI134"/>
      <c r="PJ134"/>
      <c r="PK134"/>
      <c r="PL134"/>
      <c r="PM134"/>
      <c r="PN134"/>
      <c r="PO134"/>
      <c r="PP134"/>
      <c r="PQ134"/>
      <c r="PR134"/>
      <c r="PS134"/>
      <c r="PT134"/>
      <c r="PU134"/>
      <c r="PV134"/>
      <c r="PW134"/>
      <c r="PX134"/>
      <c r="PY134"/>
      <c r="PZ134"/>
      <c r="QA134"/>
      <c r="QB134"/>
      <c r="QC134"/>
      <c r="QD134"/>
      <c r="QE134"/>
      <c r="QF134"/>
      <c r="QG134"/>
      <c r="QH134"/>
      <c r="QI134"/>
      <c r="QJ134"/>
      <c r="QK134"/>
      <c r="QL134"/>
      <c r="QM134"/>
      <c r="QN134"/>
      <c r="QO134"/>
      <c r="QP134"/>
      <c r="QQ134"/>
      <c r="QR134"/>
      <c r="QS134"/>
      <c r="QT134"/>
      <c r="QU134"/>
      <c r="QV134"/>
      <c r="QW134"/>
      <c r="QX134"/>
      <c r="QY134"/>
      <c r="QZ134"/>
      <c r="RA134"/>
      <c r="RB134"/>
      <c r="RC134"/>
      <c r="RD134"/>
      <c r="RE134"/>
      <c r="RF134"/>
      <c r="RG134"/>
      <c r="RH134"/>
      <c r="RI134"/>
      <c r="RJ134"/>
      <c r="RK134"/>
      <c r="RL134"/>
      <c r="RM134"/>
      <c r="RN134"/>
      <c r="RO134"/>
      <c r="RP134"/>
      <c r="RQ134"/>
      <c r="RR134"/>
      <c r="RS134"/>
      <c r="RT134"/>
      <c r="RU134"/>
      <c r="RV134"/>
      <c r="RW134"/>
      <c r="RX134"/>
      <c r="RY134"/>
      <c r="RZ134"/>
      <c r="SA134"/>
      <c r="SB134"/>
      <c r="SC134"/>
      <c r="SD134"/>
      <c r="SE134"/>
      <c r="SF134"/>
      <c r="SG134"/>
      <c r="SH134"/>
      <c r="SI134"/>
      <c r="SJ134"/>
      <c r="SK134"/>
      <c r="SL134"/>
      <c r="SM134"/>
      <c r="SN134"/>
      <c r="SO134"/>
      <c r="SP134"/>
      <c r="SQ134"/>
      <c r="SR134"/>
      <c r="SS134"/>
      <c r="ST134"/>
      <c r="SU134"/>
      <c r="SV134"/>
      <c r="SW134"/>
      <c r="SX134"/>
      <c r="SY134"/>
      <c r="SZ134"/>
      <c r="TA134"/>
      <c r="TB134"/>
      <c r="TC134"/>
      <c r="TD134"/>
      <c r="TE134"/>
      <c r="TF134"/>
      <c r="TG134"/>
      <c r="TH134"/>
      <c r="TI134"/>
      <c r="TJ134"/>
      <c r="TK134"/>
      <c r="TL134"/>
      <c r="TM134"/>
      <c r="TN134"/>
      <c r="TO134"/>
      <c r="TP134"/>
      <c r="TQ134"/>
      <c r="TR134"/>
      <c r="TS134"/>
      <c r="TT134"/>
      <c r="TU134"/>
      <c r="TV134"/>
      <c r="TW134"/>
      <c r="TX134"/>
      <c r="TY134"/>
      <c r="TZ134"/>
      <c r="UA134"/>
      <c r="UB134"/>
      <c r="UC134"/>
      <c r="UD134"/>
      <c r="UE134"/>
      <c r="UF134"/>
      <c r="UG134"/>
      <c r="UH134"/>
      <c r="UI134"/>
      <c r="UJ134"/>
      <c r="UK134"/>
      <c r="UL134"/>
      <c r="UM134"/>
      <c r="UN134"/>
      <c r="UO134"/>
      <c r="UP134"/>
      <c r="UQ134"/>
      <c r="UR134"/>
      <c r="US134"/>
      <c r="UT134"/>
      <c r="UU134"/>
      <c r="UV134"/>
      <c r="UW134"/>
      <c r="UX134"/>
      <c r="UY134"/>
      <c r="UZ134"/>
      <c r="VA134"/>
      <c r="VB134"/>
      <c r="VC134"/>
      <c r="VD134"/>
      <c r="VE134"/>
      <c r="VF134"/>
      <c r="VG134"/>
      <c r="VH134"/>
      <c r="VI134"/>
      <c r="VJ134"/>
      <c r="VK134"/>
      <c r="VL134"/>
      <c r="VM134"/>
      <c r="VN134"/>
      <c r="VO134"/>
      <c r="VP134"/>
      <c r="VQ134"/>
      <c r="VR134"/>
      <c r="VS134"/>
      <c r="VT134"/>
      <c r="VU134"/>
      <c r="VV134"/>
      <c r="VW134"/>
      <c r="VX134"/>
      <c r="VY134"/>
      <c r="VZ134"/>
      <c r="WA134"/>
      <c r="WB134"/>
      <c r="WC134"/>
      <c r="WD134"/>
      <c r="WE134"/>
      <c r="WF134"/>
      <c r="WG134"/>
      <c r="WH134"/>
      <c r="WI134"/>
      <c r="WJ134"/>
      <c r="WK134"/>
      <c r="WL134"/>
      <c r="WM134"/>
      <c r="WN134"/>
      <c r="WO134"/>
      <c r="WP134"/>
      <c r="WQ134"/>
      <c r="WR134"/>
      <c r="WS134"/>
      <c r="WT134"/>
      <c r="WU134"/>
      <c r="WV134"/>
      <c r="WW134"/>
      <c r="WX134"/>
      <c r="WY134"/>
      <c r="WZ134"/>
      <c r="XA134"/>
      <c r="XB134"/>
      <c r="XC134"/>
      <c r="XD134"/>
      <c r="XE134"/>
      <c r="XF134"/>
      <c r="XG134"/>
      <c r="XH134"/>
      <c r="XI134"/>
      <c r="XJ134"/>
      <c r="XK134"/>
      <c r="XL134"/>
      <c r="XM134"/>
      <c r="XN134"/>
      <c r="XO134"/>
      <c r="XP134"/>
      <c r="XQ134"/>
      <c r="XR134"/>
      <c r="XS134"/>
      <c r="XT134"/>
      <c r="XU134"/>
      <c r="XV134"/>
      <c r="XW134"/>
      <c r="XX134"/>
      <c r="XY134"/>
      <c r="XZ134"/>
      <c r="YA134"/>
      <c r="YB134"/>
      <c r="YC134"/>
      <c r="YD134"/>
      <c r="YE134"/>
      <c r="YF134"/>
      <c r="YG134"/>
      <c r="YH134"/>
      <c r="YI134"/>
      <c r="YJ134"/>
      <c r="YK134"/>
      <c r="YL134"/>
      <c r="YM134"/>
      <c r="YN134"/>
      <c r="YO134"/>
      <c r="YP134"/>
      <c r="YQ134"/>
      <c r="YR134"/>
      <c r="YS134"/>
      <c r="YT134"/>
      <c r="YU134"/>
      <c r="YV134"/>
      <c r="YW134"/>
      <c r="YX134"/>
      <c r="YY134"/>
      <c r="YZ134"/>
      <c r="ZA134"/>
      <c r="ZB134"/>
      <c r="ZC134"/>
      <c r="ZD134"/>
      <c r="ZE134"/>
      <c r="ZF134"/>
      <c r="ZG134"/>
      <c r="ZH134"/>
      <c r="ZI134"/>
      <c r="ZJ134"/>
      <c r="ZK134"/>
      <c r="ZL134"/>
      <c r="ZM134"/>
      <c r="ZN134"/>
      <c r="ZO134"/>
      <c r="ZP134"/>
      <c r="ZQ134"/>
      <c r="ZR134"/>
      <c r="ZS134"/>
      <c r="ZT134"/>
      <c r="ZU134"/>
      <c r="ZV134"/>
      <c r="ZW134"/>
      <c r="ZX134"/>
      <c r="ZY134"/>
      <c r="ZZ134"/>
      <c r="AAA134"/>
      <c r="AAB134"/>
      <c r="AAC134"/>
      <c r="AAD134"/>
      <c r="AAE134"/>
      <c r="AAF134"/>
      <c r="AAG134"/>
      <c r="AAH134"/>
      <c r="AAI134"/>
      <c r="AAJ134"/>
      <c r="AAK134"/>
      <c r="AAL134"/>
      <c r="AAM134"/>
      <c r="AAN134"/>
      <c r="AAO134"/>
      <c r="AAP134"/>
      <c r="AAQ134"/>
      <c r="AAR134"/>
      <c r="AAS134"/>
      <c r="AAT134"/>
      <c r="AAU134"/>
      <c r="AAV134"/>
      <c r="AAW134"/>
      <c r="AAX134"/>
      <c r="AAY134"/>
      <c r="AAZ134"/>
      <c r="ABA134"/>
      <c r="ABB134"/>
      <c r="ABC134"/>
      <c r="ABD134"/>
      <c r="ABE134"/>
      <c r="ABF134"/>
      <c r="ABG134"/>
      <c r="ABH134"/>
      <c r="ABI134"/>
      <c r="ABJ134"/>
      <c r="ABK134"/>
      <c r="ABL134"/>
      <c r="ABM134"/>
      <c r="ABN134"/>
      <c r="ABO134"/>
      <c r="ABP134"/>
      <c r="ABQ134"/>
      <c r="ABR134"/>
      <c r="ABS134"/>
      <c r="ABT134"/>
      <c r="ABU134"/>
      <c r="ABV134"/>
      <c r="ABW134"/>
      <c r="ABX134"/>
      <c r="ABY134"/>
      <c r="ABZ134"/>
      <c r="ACA134"/>
      <c r="ACB134"/>
      <c r="ACC134"/>
      <c r="ACD134"/>
      <c r="ACE134"/>
      <c r="ACF134"/>
      <c r="ACG134"/>
      <c r="ACH134"/>
      <c r="ACI134"/>
      <c r="ACJ134"/>
      <c r="ACK134"/>
      <c r="ACL134"/>
      <c r="ACM134"/>
      <c r="ACN134"/>
      <c r="ACO134"/>
      <c r="ACP134"/>
      <c r="ACQ134"/>
      <c r="ACR134"/>
      <c r="ACS134"/>
      <c r="ACT134"/>
      <c r="ACU134"/>
      <c r="ACV134"/>
      <c r="ACW134"/>
      <c r="ACX134"/>
      <c r="ACY134"/>
      <c r="ACZ134"/>
      <c r="ADA134"/>
      <c r="ADB134"/>
      <c r="ADC134"/>
      <c r="ADD134"/>
      <c r="ADE134"/>
      <c r="ADF134"/>
      <c r="ADG134"/>
      <c r="ADH134"/>
      <c r="ADI134"/>
      <c r="ADJ134"/>
      <c r="ADK134"/>
      <c r="ADL134"/>
      <c r="ADM134"/>
      <c r="ADN134"/>
      <c r="ADO134"/>
      <c r="ADP134"/>
      <c r="ADQ134"/>
      <c r="ADR134"/>
      <c r="ADS134"/>
      <c r="ADT134"/>
      <c r="ADU134"/>
      <c r="ADV134"/>
      <c r="ADW134"/>
      <c r="ADX134"/>
      <c r="ADY134"/>
      <c r="ADZ134"/>
      <c r="AEA134"/>
      <c r="AEB134"/>
      <c r="AEC134"/>
      <c r="AED134"/>
      <c r="AEE134"/>
      <c r="AEF134"/>
      <c r="AEG134"/>
      <c r="AEH134"/>
      <c r="AEI134"/>
      <c r="AEJ134"/>
      <c r="AEK134"/>
      <c r="AEL134"/>
      <c r="AEM134"/>
      <c r="AEN134"/>
      <c r="AEO134"/>
      <c r="AEP134"/>
      <c r="AEQ134"/>
      <c r="AER134"/>
      <c r="AES134"/>
      <c r="AET134"/>
      <c r="AEU134"/>
      <c r="AEV134"/>
      <c r="AEW134"/>
      <c r="AEX134"/>
      <c r="AEY134"/>
      <c r="AEZ134"/>
      <c r="AFA134"/>
      <c r="AFB134"/>
      <c r="AFC134"/>
      <c r="AFD134"/>
      <c r="AFE134"/>
      <c r="AFF134"/>
      <c r="AFG134"/>
      <c r="AFH134"/>
      <c r="AFI134"/>
      <c r="AFJ134"/>
      <c r="AFK134"/>
      <c r="AFL134"/>
      <c r="AFM134"/>
      <c r="AFN134"/>
      <c r="AFO134"/>
      <c r="AFP134"/>
      <c r="AFQ134"/>
      <c r="AFR134"/>
      <c r="AFS134"/>
      <c r="AFT134"/>
      <c r="AFU134"/>
      <c r="AFV134"/>
      <c r="AFW134"/>
      <c r="AFX134"/>
      <c r="AFY134"/>
      <c r="AFZ134"/>
      <c r="AGA134"/>
      <c r="AGB134"/>
      <c r="AGC134"/>
      <c r="AGD134"/>
      <c r="AGE134"/>
      <c r="AGF134"/>
      <c r="AGG134"/>
      <c r="AGH134"/>
      <c r="AGI134"/>
      <c r="AGJ134"/>
      <c r="AGK134"/>
      <c r="AGL134"/>
      <c r="AGM134"/>
      <c r="AGN134"/>
      <c r="AGO134"/>
      <c r="AGP134"/>
      <c r="AGQ134"/>
      <c r="AGR134"/>
      <c r="AGS134"/>
      <c r="AGT134"/>
      <c r="AGU134"/>
      <c r="AGV134"/>
      <c r="AGW134"/>
      <c r="AGX134"/>
      <c r="AGY134"/>
      <c r="AGZ134"/>
      <c r="AHA134"/>
      <c r="AHB134"/>
      <c r="AHC134"/>
      <c r="AHD134"/>
      <c r="AHE134"/>
      <c r="AHF134"/>
      <c r="AHG134"/>
      <c r="AHH134"/>
      <c r="AHI134"/>
      <c r="AHJ134"/>
      <c r="AHK134"/>
      <c r="AHL134"/>
      <c r="AHM134"/>
      <c r="AHN134"/>
      <c r="AHO134"/>
      <c r="AHP134"/>
      <c r="AHQ134"/>
      <c r="AHR134"/>
      <c r="AHS134"/>
      <c r="AHT134"/>
      <c r="AHU134"/>
      <c r="AHV134"/>
      <c r="AHW134"/>
      <c r="AHX134"/>
      <c r="AHY134"/>
      <c r="AHZ134"/>
      <c r="AIA134"/>
      <c r="AIB134"/>
      <c r="AIC134"/>
      <c r="AID134"/>
      <c r="AIE134"/>
      <c r="AIF134"/>
      <c r="AIG134"/>
      <c r="AIH134"/>
      <c r="AII134"/>
      <c r="AIJ134"/>
      <c r="AIK134"/>
      <c r="AIL134"/>
      <c r="AIM134"/>
      <c r="AIN134"/>
      <c r="AIO134"/>
      <c r="AIP134"/>
      <c r="AIQ134"/>
      <c r="AIR134"/>
      <c r="AIS134"/>
      <c r="AIT134"/>
      <c r="AIU134"/>
      <c r="AIV134"/>
      <c r="AIW134"/>
      <c r="AIX134"/>
      <c r="AIY134"/>
      <c r="AIZ134"/>
      <c r="AJA134"/>
      <c r="AJB134"/>
      <c r="AJC134"/>
      <c r="AJD134"/>
      <c r="AJE134"/>
      <c r="AJF134"/>
      <c r="AJG134"/>
      <c r="AJH134"/>
      <c r="AJI134"/>
      <c r="AJJ134"/>
      <c r="AJK134"/>
      <c r="AJL134"/>
      <c r="AJM134"/>
      <c r="AJN134"/>
      <c r="AJO134"/>
      <c r="AJP134"/>
      <c r="AJQ134"/>
      <c r="AJR134"/>
      <c r="AJS134"/>
      <c r="AJT134"/>
      <c r="AJU134"/>
      <c r="AJV134"/>
      <c r="AJW134"/>
      <c r="AJX134"/>
      <c r="AJY134"/>
      <c r="AJZ134"/>
      <c r="AKA134"/>
      <c r="AKB134"/>
      <c r="AKC134"/>
      <c r="AKD134"/>
      <c r="AKE134"/>
      <c r="AKF134"/>
      <c r="AKG134"/>
      <c r="AKH134"/>
      <c r="AKI134"/>
      <c r="AKJ134"/>
      <c r="AKK134"/>
      <c r="AKL134"/>
      <c r="AKM134"/>
      <c r="AKN134"/>
      <c r="AKO134"/>
      <c r="AKP134"/>
      <c r="AKQ134"/>
      <c r="AKR134"/>
      <c r="AKS134"/>
      <c r="AKT134"/>
      <c r="AKU134"/>
      <c r="AKV134"/>
      <c r="AKW134"/>
      <c r="AKX134"/>
      <c r="AKY134"/>
      <c r="AKZ134"/>
      <c r="ALA134"/>
      <c r="ALB134"/>
      <c r="ALC134"/>
      <c r="ALD134"/>
      <c r="ALE134"/>
      <c r="ALF134"/>
      <c r="ALG134"/>
      <c r="ALH134"/>
      <c r="ALI134"/>
      <c r="ALJ134"/>
      <c r="ALK134"/>
      <c r="ALL134"/>
      <c r="ALM134"/>
      <c r="ALN134"/>
      <c r="ALO134"/>
      <c r="ALP134"/>
      <c r="ALQ134"/>
      <c r="ALR134"/>
      <c r="ALS134"/>
      <c r="ALT134"/>
      <c r="ALU134"/>
      <c r="ALV134"/>
      <c r="ALW134"/>
      <c r="ALX134"/>
      <c r="ALY134"/>
      <c r="ALZ134"/>
      <c r="AMA134"/>
      <c r="AMB134"/>
      <c r="AMC134"/>
      <c r="AMD134"/>
      <c r="AME134"/>
      <c r="AMG134"/>
      <c r="AMH134"/>
      <c r="AMI134"/>
      <c r="AMJ134"/>
      <c r="AMK134"/>
    </row>
    <row r="135" spans="1:1025" ht="12.75" customHeight="1" x14ac:dyDescent="0.2">
      <c r="A135" s="971" t="s">
        <v>318</v>
      </c>
      <c r="B135" s="971"/>
      <c r="C135" s="971"/>
      <c r="D135" s="971"/>
      <c r="E135" s="971"/>
      <c r="F135" s="971"/>
      <c r="G135" s="57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  <c r="ABW135"/>
      <c r="ABX135"/>
      <c r="ABY135"/>
      <c r="ABZ135"/>
      <c r="ACA135"/>
      <c r="ACB135"/>
      <c r="ACC135"/>
      <c r="ACD135"/>
      <c r="ACE135"/>
      <c r="ACF135"/>
      <c r="ACG135"/>
      <c r="ACH135"/>
      <c r="ACI135"/>
      <c r="ACJ135"/>
      <c r="ACK135"/>
      <c r="ACL135"/>
      <c r="ACM135"/>
      <c r="ACN135"/>
      <c r="ACO135"/>
      <c r="ACP135"/>
      <c r="ACQ135"/>
      <c r="ACR135"/>
      <c r="ACS135"/>
      <c r="ACT135"/>
      <c r="ACU135"/>
      <c r="ACV135"/>
      <c r="ACW135"/>
      <c r="ACX135"/>
      <c r="ACY135"/>
      <c r="ACZ135"/>
      <c r="ADA135"/>
      <c r="ADB135"/>
      <c r="ADC135"/>
      <c r="ADD135"/>
      <c r="ADE135"/>
      <c r="ADF135"/>
      <c r="ADG135"/>
      <c r="ADH135"/>
      <c r="ADI135"/>
      <c r="ADJ135"/>
      <c r="ADK135"/>
      <c r="ADL135"/>
      <c r="ADM135"/>
      <c r="ADN135"/>
      <c r="ADO135"/>
      <c r="ADP135"/>
      <c r="ADQ135"/>
      <c r="ADR135"/>
      <c r="ADS135"/>
      <c r="ADT135"/>
      <c r="ADU135"/>
      <c r="ADV135"/>
      <c r="ADW135"/>
      <c r="ADX135"/>
      <c r="ADY135"/>
      <c r="ADZ135"/>
      <c r="AEA135"/>
      <c r="AEB135"/>
      <c r="AEC135"/>
      <c r="AED135"/>
      <c r="AEE135"/>
      <c r="AEF135"/>
      <c r="AEG135"/>
      <c r="AEH135"/>
      <c r="AEI135"/>
      <c r="AEJ135"/>
      <c r="AEK135"/>
      <c r="AEL135"/>
      <c r="AEM135"/>
      <c r="AEN135"/>
      <c r="AEO135"/>
      <c r="AEP135"/>
      <c r="AEQ135"/>
      <c r="AER135"/>
      <c r="AES135"/>
      <c r="AET135"/>
      <c r="AEU135"/>
      <c r="AEV135"/>
      <c r="AEW135"/>
      <c r="AEX135"/>
      <c r="AEY135"/>
      <c r="AEZ135"/>
      <c r="AFA135"/>
      <c r="AFB135"/>
      <c r="AFC135"/>
      <c r="AFD135"/>
      <c r="AFE135"/>
      <c r="AFF135"/>
      <c r="AFG135"/>
      <c r="AFH135"/>
      <c r="AFI135"/>
      <c r="AFJ135"/>
      <c r="AFK135"/>
      <c r="AFL135"/>
      <c r="AFM135"/>
      <c r="AFN135"/>
      <c r="AFO135"/>
      <c r="AFP135"/>
      <c r="AFQ135"/>
      <c r="AFR135"/>
      <c r="AFS135"/>
      <c r="AFT135"/>
      <c r="AFU135"/>
      <c r="AFV135"/>
      <c r="AFW135"/>
      <c r="AFX135"/>
      <c r="AFY135"/>
      <c r="AFZ135"/>
      <c r="AGA135"/>
      <c r="AGB135"/>
      <c r="AGC135"/>
      <c r="AGD135"/>
      <c r="AGE135"/>
      <c r="AGF135"/>
      <c r="AGG135"/>
      <c r="AGH135"/>
      <c r="AGI135"/>
      <c r="AGJ135"/>
      <c r="AGK135"/>
      <c r="AGL135"/>
      <c r="AGM135"/>
      <c r="AGN135"/>
      <c r="AGO135"/>
      <c r="AGP135"/>
      <c r="AGQ135"/>
      <c r="AGR135"/>
      <c r="AGS135"/>
      <c r="AGT135"/>
      <c r="AGU135"/>
      <c r="AGV135"/>
      <c r="AGW135"/>
      <c r="AGX135"/>
      <c r="AGY135"/>
      <c r="AGZ135"/>
      <c r="AHA135"/>
      <c r="AHB135"/>
      <c r="AHC135"/>
      <c r="AHD135"/>
      <c r="AHE135"/>
      <c r="AHF135"/>
      <c r="AHG135"/>
      <c r="AHH135"/>
      <c r="AHI135"/>
      <c r="AHJ135"/>
      <c r="AHK135"/>
      <c r="AHL135"/>
      <c r="AHM135"/>
      <c r="AHN135"/>
      <c r="AHO135"/>
      <c r="AHP135"/>
      <c r="AHQ135"/>
      <c r="AHR135"/>
      <c r="AHS135"/>
      <c r="AHT135"/>
      <c r="AHU135"/>
      <c r="AHV135"/>
      <c r="AHW135"/>
      <c r="AHX135"/>
      <c r="AHY135"/>
      <c r="AHZ135"/>
      <c r="AIA135"/>
      <c r="AIB135"/>
      <c r="AIC135"/>
      <c r="AID135"/>
      <c r="AIE135"/>
      <c r="AIF135"/>
      <c r="AIG135"/>
      <c r="AIH135"/>
      <c r="AII135"/>
      <c r="AIJ135"/>
      <c r="AIK135"/>
      <c r="AIL135"/>
      <c r="AIM135"/>
      <c r="AIN135"/>
      <c r="AIO135"/>
      <c r="AIP135"/>
      <c r="AIQ135"/>
      <c r="AIR135"/>
      <c r="AIS135"/>
      <c r="AIT135"/>
      <c r="AIU135"/>
      <c r="AIV135"/>
      <c r="AIW135"/>
      <c r="AIX135"/>
      <c r="AIY135"/>
      <c r="AIZ135"/>
      <c r="AJA135"/>
      <c r="AJB135"/>
      <c r="AJC135"/>
      <c r="AJD135"/>
      <c r="AJE135"/>
      <c r="AJF135"/>
      <c r="AJG135"/>
      <c r="AJH135"/>
      <c r="AJI135"/>
      <c r="AJJ135"/>
      <c r="AJK135"/>
      <c r="AJL135"/>
      <c r="AJM135"/>
      <c r="AJN135"/>
      <c r="AJO135"/>
      <c r="AJP135"/>
      <c r="AJQ135"/>
      <c r="AJR135"/>
      <c r="AJS135"/>
      <c r="AJT135"/>
      <c r="AJU135"/>
      <c r="AJV135"/>
      <c r="AJW135"/>
      <c r="AJX135"/>
      <c r="AJY135"/>
      <c r="AJZ135"/>
      <c r="AKA135"/>
      <c r="AKB135"/>
      <c r="AKC135"/>
      <c r="AKD135"/>
      <c r="AKE135"/>
      <c r="AKF135"/>
      <c r="AKG135"/>
      <c r="AKH135"/>
      <c r="AKI135"/>
      <c r="AKJ135"/>
      <c r="AKK135"/>
      <c r="AKL135"/>
      <c r="AKM135"/>
      <c r="AKN135"/>
      <c r="AKO135"/>
      <c r="AKP135"/>
      <c r="AKQ135"/>
      <c r="AKR135"/>
      <c r="AKS135"/>
      <c r="AKT135"/>
      <c r="AKU135"/>
      <c r="AKV135"/>
      <c r="AKW135"/>
      <c r="AKX135"/>
      <c r="AKY135"/>
      <c r="AKZ135"/>
      <c r="ALA135"/>
      <c r="ALB135"/>
      <c r="ALC135"/>
      <c r="ALD135"/>
      <c r="ALE135"/>
      <c r="ALF135"/>
      <c r="ALG135"/>
      <c r="ALH135"/>
      <c r="ALI135"/>
      <c r="ALJ135"/>
      <c r="ALK135"/>
      <c r="ALL135"/>
      <c r="ALM135"/>
      <c r="ALN135"/>
      <c r="ALO135"/>
      <c r="ALP135"/>
      <c r="ALQ135"/>
      <c r="ALR135"/>
      <c r="ALS135"/>
      <c r="ALT135"/>
      <c r="ALU135"/>
      <c r="ALV135"/>
      <c r="ALW135"/>
      <c r="ALX135"/>
      <c r="ALY135"/>
      <c r="ALZ135"/>
      <c r="AMA135"/>
      <c r="AMB135"/>
      <c r="AMC135"/>
      <c r="AMD135"/>
      <c r="AME135"/>
      <c r="AMG135"/>
      <c r="AMH135"/>
      <c r="AMI135"/>
      <c r="AMJ135"/>
      <c r="AMK135"/>
    </row>
    <row r="136" spans="1:1025" ht="12.75" customHeight="1" x14ac:dyDescent="0.2">
      <c r="A136" s="87" t="s">
        <v>306</v>
      </c>
      <c r="B136" s="967" t="s">
        <v>319</v>
      </c>
      <c r="C136" s="967"/>
      <c r="D136" s="967"/>
      <c r="E136" s="967"/>
      <c r="F136" s="967"/>
      <c r="G136" s="57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  <c r="ABW136"/>
      <c r="ABX136"/>
      <c r="ABY136"/>
      <c r="ABZ136"/>
      <c r="ACA136"/>
      <c r="ACB136"/>
      <c r="ACC136"/>
      <c r="ACD136"/>
      <c r="ACE136"/>
      <c r="ACF136"/>
      <c r="ACG136"/>
      <c r="ACH136"/>
      <c r="ACI136"/>
      <c r="ACJ136"/>
      <c r="ACK136"/>
      <c r="ACL136"/>
      <c r="ACM136"/>
      <c r="ACN136"/>
      <c r="ACO136"/>
      <c r="ACP136"/>
      <c r="ACQ136"/>
      <c r="ACR136"/>
      <c r="ACS136"/>
      <c r="ACT136"/>
      <c r="ACU136"/>
      <c r="ACV136"/>
      <c r="ACW136"/>
      <c r="ACX136"/>
      <c r="ACY136"/>
      <c r="ACZ136"/>
      <c r="ADA136"/>
      <c r="ADB136"/>
      <c r="ADC136"/>
      <c r="ADD136"/>
      <c r="ADE136"/>
      <c r="ADF136"/>
      <c r="ADG136"/>
      <c r="ADH136"/>
      <c r="ADI136"/>
      <c r="ADJ136"/>
      <c r="ADK136"/>
      <c r="ADL136"/>
      <c r="ADM136"/>
      <c r="ADN136"/>
      <c r="ADO136"/>
      <c r="ADP136"/>
      <c r="ADQ136"/>
      <c r="ADR136"/>
      <c r="ADS136"/>
      <c r="ADT136"/>
      <c r="ADU136"/>
      <c r="ADV136"/>
      <c r="ADW136"/>
      <c r="ADX136"/>
      <c r="ADY136"/>
      <c r="ADZ136"/>
      <c r="AEA136"/>
      <c r="AEB136"/>
      <c r="AEC136"/>
      <c r="AED136"/>
      <c r="AEE136"/>
      <c r="AEF136"/>
      <c r="AEG136"/>
      <c r="AEH136"/>
      <c r="AEI136"/>
      <c r="AEJ136"/>
      <c r="AEK136"/>
      <c r="AEL136"/>
      <c r="AEM136"/>
      <c r="AEN136"/>
      <c r="AEO136"/>
      <c r="AEP136"/>
      <c r="AEQ136"/>
      <c r="AER136"/>
      <c r="AES136"/>
      <c r="AET136"/>
      <c r="AEU136"/>
      <c r="AEV136"/>
      <c r="AEW136"/>
      <c r="AEX136"/>
      <c r="AEY136"/>
      <c r="AEZ136"/>
      <c r="AFA136"/>
      <c r="AFB136"/>
      <c r="AFC136"/>
      <c r="AFD136"/>
      <c r="AFE136"/>
      <c r="AFF136"/>
      <c r="AFG136"/>
      <c r="AFH136"/>
      <c r="AFI136"/>
      <c r="AFJ136"/>
      <c r="AFK136"/>
      <c r="AFL136"/>
      <c r="AFM136"/>
      <c r="AFN136"/>
      <c r="AFO136"/>
      <c r="AFP136"/>
      <c r="AFQ136"/>
      <c r="AFR136"/>
      <c r="AFS136"/>
      <c r="AFT136"/>
      <c r="AFU136"/>
      <c r="AFV136"/>
      <c r="AFW136"/>
      <c r="AFX136"/>
      <c r="AFY136"/>
      <c r="AFZ136"/>
      <c r="AGA136"/>
      <c r="AGB136"/>
      <c r="AGC136"/>
      <c r="AGD136"/>
      <c r="AGE136"/>
      <c r="AGF136"/>
      <c r="AGG136"/>
      <c r="AGH136"/>
      <c r="AGI136"/>
      <c r="AGJ136"/>
      <c r="AGK136"/>
      <c r="AGL136"/>
      <c r="AGM136"/>
      <c r="AGN136"/>
      <c r="AGO136"/>
      <c r="AGP136"/>
      <c r="AGQ136"/>
      <c r="AGR136"/>
      <c r="AGS136"/>
      <c r="AGT136"/>
      <c r="AGU136"/>
      <c r="AGV136"/>
      <c r="AGW136"/>
      <c r="AGX136"/>
      <c r="AGY136"/>
      <c r="AGZ136"/>
      <c r="AHA136"/>
      <c r="AHB136"/>
      <c r="AHC136"/>
      <c r="AHD136"/>
      <c r="AHE136"/>
      <c r="AHF136"/>
      <c r="AHG136"/>
      <c r="AHH136"/>
      <c r="AHI136"/>
      <c r="AHJ136"/>
      <c r="AHK136"/>
      <c r="AHL136"/>
      <c r="AHM136"/>
      <c r="AHN136"/>
      <c r="AHO136"/>
      <c r="AHP136"/>
      <c r="AHQ136"/>
      <c r="AHR136"/>
      <c r="AHS136"/>
      <c r="AHT136"/>
      <c r="AHU136"/>
      <c r="AHV136"/>
      <c r="AHW136"/>
      <c r="AHX136"/>
      <c r="AHY136"/>
      <c r="AHZ136"/>
      <c r="AIA136"/>
      <c r="AIB136"/>
      <c r="AIC136"/>
      <c r="AID136"/>
      <c r="AIE136"/>
      <c r="AIF136"/>
      <c r="AIG136"/>
      <c r="AIH136"/>
      <c r="AII136"/>
      <c r="AIJ136"/>
      <c r="AIK136"/>
      <c r="AIL136"/>
      <c r="AIM136"/>
      <c r="AIN136"/>
      <c r="AIO136"/>
      <c r="AIP136"/>
      <c r="AIQ136"/>
      <c r="AIR136"/>
      <c r="AIS136"/>
      <c r="AIT136"/>
      <c r="AIU136"/>
      <c r="AIV136"/>
      <c r="AIW136"/>
      <c r="AIX136"/>
      <c r="AIY136"/>
      <c r="AIZ136"/>
      <c r="AJA136"/>
      <c r="AJB136"/>
      <c r="AJC136"/>
      <c r="AJD136"/>
      <c r="AJE136"/>
      <c r="AJF136"/>
      <c r="AJG136"/>
      <c r="AJH136"/>
      <c r="AJI136"/>
      <c r="AJJ136"/>
      <c r="AJK136"/>
      <c r="AJL136"/>
      <c r="AJM136"/>
      <c r="AJN136"/>
      <c r="AJO136"/>
      <c r="AJP136"/>
      <c r="AJQ136"/>
      <c r="AJR136"/>
      <c r="AJS136"/>
      <c r="AJT136"/>
      <c r="AJU136"/>
      <c r="AJV136"/>
      <c r="AJW136"/>
      <c r="AJX136"/>
      <c r="AJY136"/>
      <c r="AJZ136"/>
      <c r="AKA136"/>
      <c r="AKB136"/>
      <c r="AKC136"/>
      <c r="AKD136"/>
      <c r="AKE136"/>
      <c r="AKF136"/>
      <c r="AKG136"/>
      <c r="AKH136"/>
      <c r="AKI136"/>
      <c r="AKJ136"/>
      <c r="AKK136"/>
      <c r="AKL136"/>
      <c r="AKM136"/>
      <c r="AKN136"/>
      <c r="AKO136"/>
      <c r="AKP136"/>
      <c r="AKQ136"/>
      <c r="AKR136"/>
      <c r="AKS136"/>
      <c r="AKT136"/>
      <c r="AKU136"/>
      <c r="AKV136"/>
      <c r="AKW136"/>
      <c r="AKX136"/>
      <c r="AKY136"/>
      <c r="AKZ136"/>
      <c r="ALA136"/>
      <c r="ALB136"/>
      <c r="ALC136"/>
      <c r="ALD136"/>
      <c r="ALE136"/>
      <c r="ALF136"/>
      <c r="ALG136"/>
      <c r="ALH136"/>
      <c r="ALI136"/>
      <c r="ALJ136"/>
      <c r="ALK136"/>
      <c r="ALL136"/>
      <c r="ALM136"/>
      <c r="ALN136"/>
      <c r="ALO136"/>
      <c r="ALP136"/>
      <c r="ALQ136"/>
      <c r="ALR136"/>
      <c r="ALS136"/>
      <c r="ALT136"/>
      <c r="ALU136"/>
      <c r="ALV136"/>
      <c r="ALW136"/>
      <c r="ALX136"/>
      <c r="ALY136"/>
      <c r="ALZ136"/>
      <c r="AMA136"/>
      <c r="AMB136"/>
      <c r="AMC136"/>
      <c r="AMD136"/>
      <c r="AME136"/>
      <c r="AMG136"/>
      <c r="AMH136"/>
      <c r="AMI136"/>
      <c r="AMJ136"/>
      <c r="AMK136"/>
    </row>
    <row r="137" spans="1:1025" ht="12.75" customHeight="1" x14ac:dyDescent="0.2">
      <c r="A137" s="87" t="s">
        <v>307</v>
      </c>
      <c r="B137" s="967" t="s">
        <v>320</v>
      </c>
      <c r="C137" s="967"/>
      <c r="D137" s="967"/>
      <c r="E137" s="967"/>
      <c r="F137" s="967"/>
      <c r="G137" s="5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  <c r="ABW137"/>
      <c r="ABX137"/>
      <c r="ABY137"/>
      <c r="ABZ137"/>
      <c r="ACA137"/>
      <c r="ACB137"/>
      <c r="ACC137"/>
      <c r="ACD137"/>
      <c r="ACE137"/>
      <c r="ACF137"/>
      <c r="ACG137"/>
      <c r="ACH137"/>
      <c r="ACI137"/>
      <c r="ACJ137"/>
      <c r="ACK137"/>
      <c r="ACL137"/>
      <c r="ACM137"/>
      <c r="ACN137"/>
      <c r="ACO137"/>
      <c r="ACP137"/>
      <c r="ACQ137"/>
      <c r="ACR137"/>
      <c r="ACS137"/>
      <c r="ACT137"/>
      <c r="ACU137"/>
      <c r="ACV137"/>
      <c r="ACW137"/>
      <c r="ACX137"/>
      <c r="ACY137"/>
      <c r="ACZ137"/>
      <c r="ADA137"/>
      <c r="ADB137"/>
      <c r="ADC137"/>
      <c r="ADD137"/>
      <c r="ADE137"/>
      <c r="ADF137"/>
      <c r="ADG137"/>
      <c r="ADH137"/>
      <c r="ADI137"/>
      <c r="ADJ137"/>
      <c r="ADK137"/>
      <c r="ADL137"/>
      <c r="ADM137"/>
      <c r="ADN137"/>
      <c r="ADO137"/>
      <c r="ADP137"/>
      <c r="ADQ137"/>
      <c r="ADR137"/>
      <c r="ADS137"/>
      <c r="ADT137"/>
      <c r="ADU137"/>
      <c r="ADV137"/>
      <c r="ADW137"/>
      <c r="ADX137"/>
      <c r="ADY137"/>
      <c r="ADZ137"/>
      <c r="AEA137"/>
      <c r="AEB137"/>
      <c r="AEC137"/>
      <c r="AED137"/>
      <c r="AEE137"/>
      <c r="AEF137"/>
      <c r="AEG137"/>
      <c r="AEH137"/>
      <c r="AEI137"/>
      <c r="AEJ137"/>
      <c r="AEK137"/>
      <c r="AEL137"/>
      <c r="AEM137"/>
      <c r="AEN137"/>
      <c r="AEO137"/>
      <c r="AEP137"/>
      <c r="AEQ137"/>
      <c r="AER137"/>
      <c r="AES137"/>
      <c r="AET137"/>
      <c r="AEU137"/>
      <c r="AEV137"/>
      <c r="AEW137"/>
      <c r="AEX137"/>
      <c r="AEY137"/>
      <c r="AEZ137"/>
      <c r="AFA137"/>
      <c r="AFB137"/>
      <c r="AFC137"/>
      <c r="AFD137"/>
      <c r="AFE137"/>
      <c r="AFF137"/>
      <c r="AFG137"/>
      <c r="AFH137"/>
      <c r="AFI137"/>
      <c r="AFJ137"/>
      <c r="AFK137"/>
      <c r="AFL137"/>
      <c r="AFM137"/>
      <c r="AFN137"/>
      <c r="AFO137"/>
      <c r="AFP137"/>
      <c r="AFQ137"/>
      <c r="AFR137"/>
      <c r="AFS137"/>
      <c r="AFT137"/>
      <c r="AFU137"/>
      <c r="AFV137"/>
      <c r="AFW137"/>
      <c r="AFX137"/>
      <c r="AFY137"/>
      <c r="AFZ137"/>
      <c r="AGA137"/>
      <c r="AGB137"/>
      <c r="AGC137"/>
      <c r="AGD137"/>
      <c r="AGE137"/>
      <c r="AGF137"/>
      <c r="AGG137"/>
      <c r="AGH137"/>
      <c r="AGI137"/>
      <c r="AGJ137"/>
      <c r="AGK137"/>
      <c r="AGL137"/>
      <c r="AGM137"/>
      <c r="AGN137"/>
      <c r="AGO137"/>
      <c r="AGP137"/>
      <c r="AGQ137"/>
      <c r="AGR137"/>
      <c r="AGS137"/>
      <c r="AGT137"/>
      <c r="AGU137"/>
      <c r="AGV137"/>
      <c r="AGW137"/>
      <c r="AGX137"/>
      <c r="AGY137"/>
      <c r="AGZ137"/>
      <c r="AHA137"/>
      <c r="AHB137"/>
      <c r="AHC137"/>
      <c r="AHD137"/>
      <c r="AHE137"/>
      <c r="AHF137"/>
      <c r="AHG137"/>
      <c r="AHH137"/>
      <c r="AHI137"/>
      <c r="AHJ137"/>
      <c r="AHK137"/>
      <c r="AHL137"/>
      <c r="AHM137"/>
      <c r="AHN137"/>
      <c r="AHO137"/>
      <c r="AHP137"/>
      <c r="AHQ137"/>
      <c r="AHR137"/>
      <c r="AHS137"/>
      <c r="AHT137"/>
      <c r="AHU137"/>
      <c r="AHV137"/>
      <c r="AHW137"/>
      <c r="AHX137"/>
      <c r="AHY137"/>
      <c r="AHZ137"/>
      <c r="AIA137"/>
      <c r="AIB137"/>
      <c r="AIC137"/>
      <c r="AID137"/>
      <c r="AIE137"/>
      <c r="AIF137"/>
      <c r="AIG137"/>
      <c r="AIH137"/>
      <c r="AII137"/>
      <c r="AIJ137"/>
      <c r="AIK137"/>
      <c r="AIL137"/>
      <c r="AIM137"/>
      <c r="AIN137"/>
      <c r="AIO137"/>
      <c r="AIP137"/>
      <c r="AIQ137"/>
      <c r="AIR137"/>
      <c r="AIS137"/>
      <c r="AIT137"/>
      <c r="AIU137"/>
      <c r="AIV137"/>
      <c r="AIW137"/>
      <c r="AIX137"/>
      <c r="AIY137"/>
      <c r="AIZ137"/>
      <c r="AJA137"/>
      <c r="AJB137"/>
      <c r="AJC137"/>
      <c r="AJD137"/>
      <c r="AJE137"/>
      <c r="AJF137"/>
      <c r="AJG137"/>
      <c r="AJH137"/>
      <c r="AJI137"/>
      <c r="AJJ137"/>
      <c r="AJK137"/>
      <c r="AJL137"/>
      <c r="AJM137"/>
      <c r="AJN137"/>
      <c r="AJO137"/>
      <c r="AJP137"/>
      <c r="AJQ137"/>
      <c r="AJR137"/>
      <c r="AJS137"/>
      <c r="AJT137"/>
      <c r="AJU137"/>
      <c r="AJV137"/>
      <c r="AJW137"/>
      <c r="AJX137"/>
      <c r="AJY137"/>
      <c r="AJZ137"/>
      <c r="AKA137"/>
      <c r="AKB137"/>
      <c r="AKC137"/>
      <c r="AKD137"/>
      <c r="AKE137"/>
      <c r="AKF137"/>
      <c r="AKG137"/>
      <c r="AKH137"/>
      <c r="AKI137"/>
      <c r="AKJ137"/>
      <c r="AKK137"/>
      <c r="AKL137"/>
      <c r="AKM137"/>
      <c r="AKN137"/>
      <c r="AKO137"/>
      <c r="AKP137"/>
      <c r="AKQ137"/>
      <c r="AKR137"/>
      <c r="AKS137"/>
      <c r="AKT137"/>
      <c r="AKU137"/>
      <c r="AKV137"/>
      <c r="AKW137"/>
      <c r="AKX137"/>
      <c r="AKY137"/>
      <c r="AKZ137"/>
      <c r="ALA137"/>
      <c r="ALB137"/>
      <c r="ALC137"/>
      <c r="ALD137"/>
      <c r="ALE137"/>
      <c r="ALF137"/>
      <c r="ALG137"/>
      <c r="ALH137"/>
      <c r="ALI137"/>
      <c r="ALJ137"/>
      <c r="ALK137"/>
      <c r="ALL137"/>
      <c r="ALM137"/>
      <c r="ALN137"/>
      <c r="ALO137"/>
      <c r="ALP137"/>
      <c r="ALQ137"/>
      <c r="ALR137"/>
      <c r="ALS137"/>
      <c r="ALT137"/>
      <c r="ALU137"/>
      <c r="ALV137"/>
      <c r="ALW137"/>
      <c r="ALX137"/>
      <c r="ALY137"/>
      <c r="ALZ137"/>
      <c r="AMA137"/>
      <c r="AMB137"/>
      <c r="AMC137"/>
      <c r="AMD137"/>
      <c r="AME137"/>
      <c r="AMG137"/>
      <c r="AMH137"/>
      <c r="AMI137"/>
      <c r="AMJ137"/>
      <c r="AMK137"/>
    </row>
    <row r="138" spans="1:1025" ht="12.75" customHeight="1" x14ac:dyDescent="0.2">
      <c r="A138" s="87" t="s">
        <v>308</v>
      </c>
      <c r="B138" s="967" t="s">
        <v>321</v>
      </c>
      <c r="C138" s="967"/>
      <c r="D138" s="967"/>
      <c r="E138" s="967"/>
      <c r="F138" s="967"/>
      <c r="G138" s="57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  <c r="ABW138"/>
      <c r="ABX138"/>
      <c r="ABY138"/>
      <c r="ABZ138"/>
      <c r="ACA138"/>
      <c r="ACB138"/>
      <c r="ACC138"/>
      <c r="ACD138"/>
      <c r="ACE138"/>
      <c r="ACF138"/>
      <c r="ACG138"/>
      <c r="ACH138"/>
      <c r="ACI138"/>
      <c r="ACJ138"/>
      <c r="ACK138"/>
      <c r="ACL138"/>
      <c r="ACM138"/>
      <c r="ACN138"/>
      <c r="ACO138"/>
      <c r="ACP138"/>
      <c r="ACQ138"/>
      <c r="ACR138"/>
      <c r="ACS138"/>
      <c r="ACT138"/>
      <c r="ACU138"/>
      <c r="ACV138"/>
      <c r="ACW138"/>
      <c r="ACX138"/>
      <c r="ACY138"/>
      <c r="ACZ138"/>
      <c r="ADA138"/>
      <c r="ADB138"/>
      <c r="ADC138"/>
      <c r="ADD138"/>
      <c r="ADE138"/>
      <c r="ADF138"/>
      <c r="ADG138"/>
      <c r="ADH138"/>
      <c r="ADI138"/>
      <c r="ADJ138"/>
      <c r="ADK138"/>
      <c r="ADL138"/>
      <c r="ADM138"/>
      <c r="ADN138"/>
      <c r="ADO138"/>
      <c r="ADP138"/>
      <c r="ADQ138"/>
      <c r="ADR138"/>
      <c r="ADS138"/>
      <c r="ADT138"/>
      <c r="ADU138"/>
      <c r="ADV138"/>
      <c r="ADW138"/>
      <c r="ADX138"/>
      <c r="ADY138"/>
      <c r="ADZ138"/>
      <c r="AEA138"/>
      <c r="AEB138"/>
      <c r="AEC138"/>
      <c r="AED138"/>
      <c r="AEE138"/>
      <c r="AEF138"/>
      <c r="AEG138"/>
      <c r="AEH138"/>
      <c r="AEI138"/>
      <c r="AEJ138"/>
      <c r="AEK138"/>
      <c r="AEL138"/>
      <c r="AEM138"/>
      <c r="AEN138"/>
      <c r="AEO138"/>
      <c r="AEP138"/>
      <c r="AEQ138"/>
      <c r="AER138"/>
      <c r="AES138"/>
      <c r="AET138"/>
      <c r="AEU138"/>
      <c r="AEV138"/>
      <c r="AEW138"/>
      <c r="AEX138"/>
      <c r="AEY138"/>
      <c r="AEZ138"/>
      <c r="AFA138"/>
      <c r="AFB138"/>
      <c r="AFC138"/>
      <c r="AFD138"/>
      <c r="AFE138"/>
      <c r="AFF138"/>
      <c r="AFG138"/>
      <c r="AFH138"/>
      <c r="AFI138"/>
      <c r="AFJ138"/>
      <c r="AFK138"/>
      <c r="AFL138"/>
      <c r="AFM138"/>
      <c r="AFN138"/>
      <c r="AFO138"/>
      <c r="AFP138"/>
      <c r="AFQ138"/>
      <c r="AFR138"/>
      <c r="AFS138"/>
      <c r="AFT138"/>
      <c r="AFU138"/>
      <c r="AFV138"/>
      <c r="AFW138"/>
      <c r="AFX138"/>
      <c r="AFY138"/>
      <c r="AFZ138"/>
      <c r="AGA138"/>
      <c r="AGB138"/>
      <c r="AGC138"/>
      <c r="AGD138"/>
      <c r="AGE138"/>
      <c r="AGF138"/>
      <c r="AGG138"/>
      <c r="AGH138"/>
      <c r="AGI138"/>
      <c r="AGJ138"/>
      <c r="AGK138"/>
      <c r="AGL138"/>
      <c r="AGM138"/>
      <c r="AGN138"/>
      <c r="AGO138"/>
      <c r="AGP138"/>
      <c r="AGQ138"/>
      <c r="AGR138"/>
      <c r="AGS138"/>
      <c r="AGT138"/>
      <c r="AGU138"/>
      <c r="AGV138"/>
      <c r="AGW138"/>
      <c r="AGX138"/>
      <c r="AGY138"/>
      <c r="AGZ138"/>
      <c r="AHA138"/>
      <c r="AHB138"/>
      <c r="AHC138"/>
      <c r="AHD138"/>
      <c r="AHE138"/>
      <c r="AHF138"/>
      <c r="AHG138"/>
      <c r="AHH138"/>
      <c r="AHI138"/>
      <c r="AHJ138"/>
      <c r="AHK138"/>
      <c r="AHL138"/>
      <c r="AHM138"/>
      <c r="AHN138"/>
      <c r="AHO138"/>
      <c r="AHP138"/>
      <c r="AHQ138"/>
      <c r="AHR138"/>
      <c r="AHS138"/>
      <c r="AHT138"/>
      <c r="AHU138"/>
      <c r="AHV138"/>
      <c r="AHW138"/>
      <c r="AHX138"/>
      <c r="AHY138"/>
      <c r="AHZ138"/>
      <c r="AIA138"/>
      <c r="AIB138"/>
      <c r="AIC138"/>
      <c r="AID138"/>
      <c r="AIE138"/>
      <c r="AIF138"/>
      <c r="AIG138"/>
      <c r="AIH138"/>
      <c r="AII138"/>
      <c r="AIJ138"/>
      <c r="AIK138"/>
      <c r="AIL138"/>
      <c r="AIM138"/>
      <c r="AIN138"/>
      <c r="AIO138"/>
      <c r="AIP138"/>
      <c r="AIQ138"/>
      <c r="AIR138"/>
      <c r="AIS138"/>
      <c r="AIT138"/>
      <c r="AIU138"/>
      <c r="AIV138"/>
      <c r="AIW138"/>
      <c r="AIX138"/>
      <c r="AIY138"/>
      <c r="AIZ138"/>
      <c r="AJA138"/>
      <c r="AJB138"/>
      <c r="AJC138"/>
      <c r="AJD138"/>
      <c r="AJE138"/>
      <c r="AJF138"/>
      <c r="AJG138"/>
      <c r="AJH138"/>
      <c r="AJI138"/>
      <c r="AJJ138"/>
      <c r="AJK138"/>
      <c r="AJL138"/>
      <c r="AJM138"/>
      <c r="AJN138"/>
      <c r="AJO138"/>
      <c r="AJP138"/>
      <c r="AJQ138"/>
      <c r="AJR138"/>
      <c r="AJS138"/>
      <c r="AJT138"/>
      <c r="AJU138"/>
      <c r="AJV138"/>
      <c r="AJW138"/>
      <c r="AJX138"/>
      <c r="AJY138"/>
      <c r="AJZ138"/>
      <c r="AKA138"/>
      <c r="AKB138"/>
      <c r="AKC138"/>
      <c r="AKD138"/>
      <c r="AKE138"/>
      <c r="AKF138"/>
      <c r="AKG138"/>
      <c r="AKH138"/>
      <c r="AKI138"/>
      <c r="AKJ138"/>
      <c r="AKK138"/>
      <c r="AKL138"/>
      <c r="AKM138"/>
      <c r="AKN138"/>
      <c r="AKO138"/>
      <c r="AKP138"/>
      <c r="AKQ138"/>
      <c r="AKR138"/>
      <c r="AKS138"/>
      <c r="AKT138"/>
      <c r="AKU138"/>
      <c r="AKV138"/>
      <c r="AKW138"/>
      <c r="AKX138"/>
      <c r="AKY138"/>
      <c r="AKZ138"/>
      <c r="ALA138"/>
      <c r="ALB138"/>
      <c r="ALC138"/>
      <c r="ALD138"/>
      <c r="ALE138"/>
      <c r="ALF138"/>
      <c r="ALG138"/>
      <c r="ALH138"/>
      <c r="ALI138"/>
      <c r="ALJ138"/>
      <c r="ALK138"/>
      <c r="ALL138"/>
      <c r="ALM138"/>
      <c r="ALN138"/>
      <c r="ALO138"/>
      <c r="ALP138"/>
      <c r="ALQ138"/>
      <c r="ALR138"/>
      <c r="ALS138"/>
      <c r="ALT138"/>
      <c r="ALU138"/>
      <c r="ALV138"/>
      <c r="ALW138"/>
      <c r="ALX138"/>
      <c r="ALY138"/>
      <c r="ALZ138"/>
      <c r="AMA138"/>
      <c r="AMB138"/>
      <c r="AMC138"/>
      <c r="AMD138"/>
      <c r="AME138"/>
      <c r="AMG138"/>
      <c r="AMH138"/>
      <c r="AMI138"/>
      <c r="AMJ138"/>
      <c r="AMK138"/>
    </row>
    <row r="139" spans="1:1025" ht="12.75" customHeight="1" x14ac:dyDescent="0.2">
      <c r="A139" s="87" t="s">
        <v>309</v>
      </c>
      <c r="B139" s="967" t="s">
        <v>322</v>
      </c>
      <c r="C139" s="967"/>
      <c r="D139" s="967"/>
      <c r="E139" s="967"/>
      <c r="F139" s="967"/>
      <c r="G139" s="57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  <c r="ABW139"/>
      <c r="ABX139"/>
      <c r="ABY139"/>
      <c r="ABZ139"/>
      <c r="ACA139"/>
      <c r="ACB139"/>
      <c r="ACC139"/>
      <c r="ACD139"/>
      <c r="ACE139"/>
      <c r="ACF139"/>
      <c r="ACG139"/>
      <c r="ACH139"/>
      <c r="ACI139"/>
      <c r="ACJ139"/>
      <c r="ACK139"/>
      <c r="ACL139"/>
      <c r="ACM139"/>
      <c r="ACN139"/>
      <c r="ACO139"/>
      <c r="ACP139"/>
      <c r="ACQ139"/>
      <c r="ACR139"/>
      <c r="ACS139"/>
      <c r="ACT139"/>
      <c r="ACU139"/>
      <c r="ACV139"/>
      <c r="ACW139"/>
      <c r="ACX139"/>
      <c r="ACY139"/>
      <c r="ACZ139"/>
      <c r="ADA139"/>
      <c r="ADB139"/>
      <c r="ADC139"/>
      <c r="ADD139"/>
      <c r="ADE139"/>
      <c r="ADF139"/>
      <c r="ADG139"/>
      <c r="ADH139"/>
      <c r="ADI139"/>
      <c r="ADJ139"/>
      <c r="ADK139"/>
      <c r="ADL139"/>
      <c r="ADM139"/>
      <c r="ADN139"/>
      <c r="ADO139"/>
      <c r="ADP139"/>
      <c r="ADQ139"/>
      <c r="ADR139"/>
      <c r="ADS139"/>
      <c r="ADT139"/>
      <c r="ADU139"/>
      <c r="ADV139"/>
      <c r="ADW139"/>
      <c r="ADX139"/>
      <c r="ADY139"/>
      <c r="ADZ139"/>
      <c r="AEA139"/>
      <c r="AEB139"/>
      <c r="AEC139"/>
      <c r="AED139"/>
      <c r="AEE139"/>
      <c r="AEF139"/>
      <c r="AEG139"/>
      <c r="AEH139"/>
      <c r="AEI139"/>
      <c r="AEJ139"/>
      <c r="AEK139"/>
      <c r="AEL139"/>
      <c r="AEM139"/>
      <c r="AEN139"/>
      <c r="AEO139"/>
      <c r="AEP139"/>
      <c r="AEQ139"/>
      <c r="AER139"/>
      <c r="AES139"/>
      <c r="AET139"/>
      <c r="AEU139"/>
      <c r="AEV139"/>
      <c r="AEW139"/>
      <c r="AEX139"/>
      <c r="AEY139"/>
      <c r="AEZ139"/>
      <c r="AFA139"/>
      <c r="AFB139"/>
      <c r="AFC139"/>
      <c r="AFD139"/>
      <c r="AFE139"/>
      <c r="AFF139"/>
      <c r="AFG139"/>
      <c r="AFH139"/>
      <c r="AFI139"/>
      <c r="AFJ139"/>
      <c r="AFK139"/>
      <c r="AFL139"/>
      <c r="AFM139"/>
      <c r="AFN139"/>
      <c r="AFO139"/>
      <c r="AFP139"/>
      <c r="AFQ139"/>
      <c r="AFR139"/>
      <c r="AFS139"/>
      <c r="AFT139"/>
      <c r="AFU139"/>
      <c r="AFV139"/>
      <c r="AFW139"/>
      <c r="AFX139"/>
      <c r="AFY139"/>
      <c r="AFZ139"/>
      <c r="AGA139"/>
      <c r="AGB139"/>
      <c r="AGC139"/>
      <c r="AGD139"/>
      <c r="AGE139"/>
      <c r="AGF139"/>
      <c r="AGG139"/>
      <c r="AGH139"/>
      <c r="AGI139"/>
      <c r="AGJ139"/>
      <c r="AGK139"/>
      <c r="AGL139"/>
      <c r="AGM139"/>
      <c r="AGN139"/>
      <c r="AGO139"/>
      <c r="AGP139"/>
      <c r="AGQ139"/>
      <c r="AGR139"/>
      <c r="AGS139"/>
      <c r="AGT139"/>
      <c r="AGU139"/>
      <c r="AGV139"/>
      <c r="AGW139"/>
      <c r="AGX139"/>
      <c r="AGY139"/>
      <c r="AGZ139"/>
      <c r="AHA139"/>
      <c r="AHB139"/>
      <c r="AHC139"/>
      <c r="AHD139"/>
      <c r="AHE139"/>
      <c r="AHF139"/>
      <c r="AHG139"/>
      <c r="AHH139"/>
      <c r="AHI139"/>
      <c r="AHJ139"/>
      <c r="AHK139"/>
      <c r="AHL139"/>
      <c r="AHM139"/>
      <c r="AHN139"/>
      <c r="AHO139"/>
      <c r="AHP139"/>
      <c r="AHQ139"/>
      <c r="AHR139"/>
      <c r="AHS139"/>
      <c r="AHT139"/>
      <c r="AHU139"/>
      <c r="AHV139"/>
      <c r="AHW139"/>
      <c r="AHX139"/>
      <c r="AHY139"/>
      <c r="AHZ139"/>
      <c r="AIA139"/>
      <c r="AIB139"/>
      <c r="AIC139"/>
      <c r="AID139"/>
      <c r="AIE139"/>
      <c r="AIF139"/>
      <c r="AIG139"/>
      <c r="AIH139"/>
      <c r="AII139"/>
      <c r="AIJ139"/>
      <c r="AIK139"/>
      <c r="AIL139"/>
      <c r="AIM139"/>
      <c r="AIN139"/>
      <c r="AIO139"/>
      <c r="AIP139"/>
      <c r="AIQ139"/>
      <c r="AIR139"/>
      <c r="AIS139"/>
      <c r="AIT139"/>
      <c r="AIU139"/>
      <c r="AIV139"/>
      <c r="AIW139"/>
      <c r="AIX139"/>
      <c r="AIY139"/>
      <c r="AIZ139"/>
      <c r="AJA139"/>
      <c r="AJB139"/>
      <c r="AJC139"/>
      <c r="AJD139"/>
      <c r="AJE139"/>
      <c r="AJF139"/>
      <c r="AJG139"/>
      <c r="AJH139"/>
      <c r="AJI139"/>
      <c r="AJJ139"/>
      <c r="AJK139"/>
      <c r="AJL139"/>
      <c r="AJM139"/>
      <c r="AJN139"/>
      <c r="AJO139"/>
      <c r="AJP139"/>
      <c r="AJQ139"/>
      <c r="AJR139"/>
      <c r="AJS139"/>
      <c r="AJT139"/>
      <c r="AJU139"/>
      <c r="AJV139"/>
      <c r="AJW139"/>
      <c r="AJX139"/>
      <c r="AJY139"/>
      <c r="AJZ139"/>
      <c r="AKA139"/>
      <c r="AKB139"/>
      <c r="AKC139"/>
      <c r="AKD139"/>
      <c r="AKE139"/>
      <c r="AKF139"/>
      <c r="AKG139"/>
      <c r="AKH139"/>
      <c r="AKI139"/>
      <c r="AKJ139"/>
      <c r="AKK139"/>
      <c r="AKL139"/>
      <c r="AKM139"/>
      <c r="AKN139"/>
      <c r="AKO139"/>
      <c r="AKP139"/>
      <c r="AKQ139"/>
      <c r="AKR139"/>
      <c r="AKS139"/>
      <c r="AKT139"/>
      <c r="AKU139"/>
      <c r="AKV139"/>
      <c r="AKW139"/>
      <c r="AKX139"/>
      <c r="AKY139"/>
      <c r="AKZ139"/>
      <c r="ALA139"/>
      <c r="ALB139"/>
      <c r="ALC139"/>
      <c r="ALD139"/>
      <c r="ALE139"/>
      <c r="ALF139"/>
      <c r="ALG139"/>
      <c r="ALH139"/>
      <c r="ALI139"/>
      <c r="ALJ139"/>
      <c r="ALK139"/>
      <c r="ALL139"/>
      <c r="ALM139"/>
      <c r="ALN139"/>
      <c r="ALO139"/>
      <c r="ALP139"/>
      <c r="ALQ139"/>
      <c r="ALR139"/>
      <c r="ALS139"/>
      <c r="ALT139"/>
      <c r="ALU139"/>
      <c r="ALV139"/>
      <c r="ALW139"/>
      <c r="ALX139"/>
      <c r="ALY139"/>
      <c r="ALZ139"/>
      <c r="AMA139"/>
      <c r="AMB139"/>
      <c r="AMC139"/>
      <c r="AMD139"/>
      <c r="AME139"/>
      <c r="AMG139"/>
      <c r="AMH139"/>
      <c r="AMI139"/>
      <c r="AMJ139"/>
      <c r="AMK139"/>
    </row>
    <row r="140" spans="1:1025" ht="12.75" customHeight="1" x14ac:dyDescent="0.2">
      <c r="A140" s="87" t="s">
        <v>310</v>
      </c>
      <c r="B140" s="967" t="s">
        <v>319</v>
      </c>
      <c r="C140" s="967"/>
      <c r="D140" s="967"/>
      <c r="E140" s="967"/>
      <c r="F140" s="967"/>
      <c r="G140" s="57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  <c r="ABW140"/>
      <c r="ABX140"/>
      <c r="ABY140"/>
      <c r="ABZ140"/>
      <c r="ACA140"/>
      <c r="ACB140"/>
      <c r="ACC140"/>
      <c r="ACD140"/>
      <c r="ACE140"/>
      <c r="ACF140"/>
      <c r="ACG140"/>
      <c r="ACH140"/>
      <c r="ACI140"/>
      <c r="ACJ140"/>
      <c r="ACK140"/>
      <c r="ACL140"/>
      <c r="ACM140"/>
      <c r="ACN140"/>
      <c r="ACO140"/>
      <c r="ACP140"/>
      <c r="ACQ140"/>
      <c r="ACR140"/>
      <c r="ACS140"/>
      <c r="ACT140"/>
      <c r="ACU140"/>
      <c r="ACV140"/>
      <c r="ACW140"/>
      <c r="ACX140"/>
      <c r="ACY140"/>
      <c r="ACZ140"/>
      <c r="ADA140"/>
      <c r="ADB140"/>
      <c r="ADC140"/>
      <c r="ADD140"/>
      <c r="ADE140"/>
      <c r="ADF140"/>
      <c r="ADG140"/>
      <c r="ADH140"/>
      <c r="ADI140"/>
      <c r="ADJ140"/>
      <c r="ADK140"/>
      <c r="ADL140"/>
      <c r="ADM140"/>
      <c r="ADN140"/>
      <c r="ADO140"/>
      <c r="ADP140"/>
      <c r="ADQ140"/>
      <c r="ADR140"/>
      <c r="ADS140"/>
      <c r="ADT140"/>
      <c r="ADU140"/>
      <c r="ADV140"/>
      <c r="ADW140"/>
      <c r="ADX140"/>
      <c r="ADY140"/>
      <c r="ADZ140"/>
      <c r="AEA140"/>
      <c r="AEB140"/>
      <c r="AEC140"/>
      <c r="AED140"/>
      <c r="AEE140"/>
      <c r="AEF140"/>
      <c r="AEG140"/>
      <c r="AEH140"/>
      <c r="AEI140"/>
      <c r="AEJ140"/>
      <c r="AEK140"/>
      <c r="AEL140"/>
      <c r="AEM140"/>
      <c r="AEN140"/>
      <c r="AEO140"/>
      <c r="AEP140"/>
      <c r="AEQ140"/>
      <c r="AER140"/>
      <c r="AES140"/>
      <c r="AET140"/>
      <c r="AEU140"/>
      <c r="AEV140"/>
      <c r="AEW140"/>
      <c r="AEX140"/>
      <c r="AEY140"/>
      <c r="AEZ140"/>
      <c r="AFA140"/>
      <c r="AFB140"/>
      <c r="AFC140"/>
      <c r="AFD140"/>
      <c r="AFE140"/>
      <c r="AFF140"/>
      <c r="AFG140"/>
      <c r="AFH140"/>
      <c r="AFI140"/>
      <c r="AFJ140"/>
      <c r="AFK140"/>
      <c r="AFL140"/>
      <c r="AFM140"/>
      <c r="AFN140"/>
      <c r="AFO140"/>
      <c r="AFP140"/>
      <c r="AFQ140"/>
      <c r="AFR140"/>
      <c r="AFS140"/>
      <c r="AFT140"/>
      <c r="AFU140"/>
      <c r="AFV140"/>
      <c r="AFW140"/>
      <c r="AFX140"/>
      <c r="AFY140"/>
      <c r="AFZ140"/>
      <c r="AGA140"/>
      <c r="AGB140"/>
      <c r="AGC140"/>
      <c r="AGD140"/>
      <c r="AGE140"/>
      <c r="AGF140"/>
      <c r="AGG140"/>
      <c r="AGH140"/>
      <c r="AGI140"/>
      <c r="AGJ140"/>
      <c r="AGK140"/>
      <c r="AGL140"/>
      <c r="AGM140"/>
      <c r="AGN140"/>
      <c r="AGO140"/>
      <c r="AGP140"/>
      <c r="AGQ140"/>
      <c r="AGR140"/>
      <c r="AGS140"/>
      <c r="AGT140"/>
      <c r="AGU140"/>
      <c r="AGV140"/>
      <c r="AGW140"/>
      <c r="AGX140"/>
      <c r="AGY140"/>
      <c r="AGZ140"/>
      <c r="AHA140"/>
      <c r="AHB140"/>
      <c r="AHC140"/>
      <c r="AHD140"/>
      <c r="AHE140"/>
      <c r="AHF140"/>
      <c r="AHG140"/>
      <c r="AHH140"/>
      <c r="AHI140"/>
      <c r="AHJ140"/>
      <c r="AHK140"/>
      <c r="AHL140"/>
      <c r="AHM140"/>
      <c r="AHN140"/>
      <c r="AHO140"/>
      <c r="AHP140"/>
      <c r="AHQ140"/>
      <c r="AHR140"/>
      <c r="AHS140"/>
      <c r="AHT140"/>
      <c r="AHU140"/>
      <c r="AHV140"/>
      <c r="AHW140"/>
      <c r="AHX140"/>
      <c r="AHY140"/>
      <c r="AHZ140"/>
      <c r="AIA140"/>
      <c r="AIB140"/>
      <c r="AIC140"/>
      <c r="AID140"/>
      <c r="AIE140"/>
      <c r="AIF140"/>
      <c r="AIG140"/>
      <c r="AIH140"/>
      <c r="AII140"/>
      <c r="AIJ140"/>
      <c r="AIK140"/>
      <c r="AIL140"/>
      <c r="AIM140"/>
      <c r="AIN140"/>
      <c r="AIO140"/>
      <c r="AIP140"/>
      <c r="AIQ140"/>
      <c r="AIR140"/>
      <c r="AIS140"/>
      <c r="AIT140"/>
      <c r="AIU140"/>
      <c r="AIV140"/>
      <c r="AIW140"/>
      <c r="AIX140"/>
      <c r="AIY140"/>
      <c r="AIZ140"/>
      <c r="AJA140"/>
      <c r="AJB140"/>
      <c r="AJC140"/>
      <c r="AJD140"/>
      <c r="AJE140"/>
      <c r="AJF140"/>
      <c r="AJG140"/>
      <c r="AJH140"/>
      <c r="AJI140"/>
      <c r="AJJ140"/>
      <c r="AJK140"/>
      <c r="AJL140"/>
      <c r="AJM140"/>
      <c r="AJN140"/>
      <c r="AJO140"/>
      <c r="AJP140"/>
      <c r="AJQ140"/>
      <c r="AJR140"/>
      <c r="AJS140"/>
      <c r="AJT140"/>
      <c r="AJU140"/>
      <c r="AJV140"/>
      <c r="AJW140"/>
      <c r="AJX140"/>
      <c r="AJY140"/>
      <c r="AJZ140"/>
      <c r="AKA140"/>
      <c r="AKB140"/>
      <c r="AKC140"/>
      <c r="AKD140"/>
      <c r="AKE140"/>
      <c r="AKF140"/>
      <c r="AKG140"/>
      <c r="AKH140"/>
      <c r="AKI140"/>
      <c r="AKJ140"/>
      <c r="AKK140"/>
      <c r="AKL140"/>
      <c r="AKM140"/>
      <c r="AKN140"/>
      <c r="AKO140"/>
      <c r="AKP140"/>
      <c r="AKQ140"/>
      <c r="AKR140"/>
      <c r="AKS140"/>
      <c r="AKT140"/>
      <c r="AKU140"/>
      <c r="AKV140"/>
      <c r="AKW140"/>
      <c r="AKX140"/>
      <c r="AKY140"/>
      <c r="AKZ140"/>
      <c r="ALA140"/>
      <c r="ALB140"/>
      <c r="ALC140"/>
      <c r="ALD140"/>
      <c r="ALE140"/>
      <c r="ALF140"/>
      <c r="ALG140"/>
      <c r="ALH140"/>
      <c r="ALI140"/>
      <c r="ALJ140"/>
      <c r="ALK140"/>
      <c r="ALL140"/>
      <c r="ALM140"/>
      <c r="ALN140"/>
      <c r="ALO140"/>
      <c r="ALP140"/>
      <c r="ALQ140"/>
      <c r="ALR140"/>
      <c r="ALS140"/>
      <c r="ALT140"/>
      <c r="ALU140"/>
      <c r="ALV140"/>
      <c r="ALW140"/>
      <c r="ALX140"/>
      <c r="ALY140"/>
      <c r="ALZ140"/>
      <c r="AMA140"/>
      <c r="AMB140"/>
      <c r="AMC140"/>
      <c r="AMD140"/>
      <c r="AME140"/>
      <c r="AMG140"/>
      <c r="AMH140"/>
      <c r="AMI140"/>
      <c r="AMJ140"/>
      <c r="AMK140"/>
    </row>
    <row r="141" spans="1:1025" ht="12.75" customHeight="1" x14ac:dyDescent="0.2">
      <c r="A141" s="87" t="s">
        <v>323</v>
      </c>
      <c r="B141" s="967" t="s">
        <v>324</v>
      </c>
      <c r="C141" s="967"/>
      <c r="D141" s="967"/>
      <c r="E141" s="967"/>
      <c r="F141" s="967"/>
      <c r="G141" s="57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  <c r="IW141"/>
      <c r="IX141"/>
      <c r="IY141"/>
      <c r="IZ141"/>
      <c r="JA141"/>
      <c r="JB141"/>
      <c r="JC141"/>
      <c r="JD141"/>
      <c r="JE141"/>
      <c r="JF141"/>
      <c r="JG141"/>
      <c r="JH141"/>
      <c r="JI141"/>
      <c r="JJ141"/>
      <c r="JK141"/>
      <c r="JL141"/>
      <c r="JM141"/>
      <c r="JN141"/>
      <c r="JO141"/>
      <c r="JP141"/>
      <c r="JQ141"/>
      <c r="JR141"/>
      <c r="JS141"/>
      <c r="JT141"/>
      <c r="JU141"/>
      <c r="JV141"/>
      <c r="JW141"/>
      <c r="JX141"/>
      <c r="JY141"/>
      <c r="JZ141"/>
      <c r="KA141"/>
      <c r="KB141"/>
      <c r="KC141"/>
      <c r="KD141"/>
      <c r="KE141"/>
      <c r="KF141"/>
      <c r="KG141"/>
      <c r="KH141"/>
      <c r="KI141"/>
      <c r="KJ141"/>
      <c r="KK141"/>
      <c r="KL141"/>
      <c r="KM141"/>
      <c r="KN141"/>
      <c r="KO141"/>
      <c r="KP141"/>
      <c r="KQ141"/>
      <c r="KR141"/>
      <c r="KS141"/>
      <c r="KT141"/>
      <c r="KU141"/>
      <c r="KV141"/>
      <c r="KW141"/>
      <c r="KX141"/>
      <c r="KY141"/>
      <c r="KZ141"/>
      <c r="LA141"/>
      <c r="LB141"/>
      <c r="LC141"/>
      <c r="LD141"/>
      <c r="LE141"/>
      <c r="LF141"/>
      <c r="LG141"/>
      <c r="LH141"/>
      <c r="LI141"/>
      <c r="LJ141"/>
      <c r="LK141"/>
      <c r="LL141"/>
      <c r="LM141"/>
      <c r="LN141"/>
      <c r="LO141"/>
      <c r="LP141"/>
      <c r="LQ141"/>
      <c r="LR141"/>
      <c r="LS141"/>
      <c r="LT141"/>
      <c r="LU141"/>
      <c r="LV141"/>
      <c r="LW141"/>
      <c r="LX141"/>
      <c r="LY141"/>
      <c r="LZ141"/>
      <c r="MA141"/>
      <c r="MB141"/>
      <c r="MC141"/>
      <c r="MD141"/>
      <c r="ME141"/>
      <c r="MF141"/>
      <c r="MG141"/>
      <c r="MH141"/>
      <c r="MI141"/>
      <c r="MJ141"/>
      <c r="MK141"/>
      <c r="ML141"/>
      <c r="MM141"/>
      <c r="MN141"/>
      <c r="MO141"/>
      <c r="MP141"/>
      <c r="MQ141"/>
      <c r="MR141"/>
      <c r="MS141"/>
      <c r="MT141"/>
      <c r="MU141"/>
      <c r="MV141"/>
      <c r="MW141"/>
      <c r="MX141"/>
      <c r="MY141"/>
      <c r="MZ141"/>
      <c r="NA141"/>
      <c r="NB141"/>
      <c r="NC141"/>
      <c r="ND141"/>
      <c r="NE141"/>
      <c r="NF141"/>
      <c r="NG141"/>
      <c r="NH141"/>
      <c r="NI141"/>
      <c r="NJ141"/>
      <c r="NK141"/>
      <c r="NL141"/>
      <c r="NM141"/>
      <c r="NN141"/>
      <c r="NO141"/>
      <c r="NP141"/>
      <c r="NQ141"/>
      <c r="NR141"/>
      <c r="NS141"/>
      <c r="NT141"/>
      <c r="NU141"/>
      <c r="NV141"/>
      <c r="NW141"/>
      <c r="NX141"/>
      <c r="NY141"/>
      <c r="NZ141"/>
      <c r="OA141"/>
      <c r="OB141"/>
      <c r="OC141"/>
      <c r="OD141"/>
      <c r="OE141"/>
      <c r="OF141"/>
      <c r="OG141"/>
      <c r="OH141"/>
      <c r="OI141"/>
      <c r="OJ141"/>
      <c r="OK141"/>
      <c r="OL141"/>
      <c r="OM141"/>
      <c r="ON141"/>
      <c r="OO141"/>
      <c r="OP141"/>
      <c r="OQ141"/>
      <c r="OR141"/>
      <c r="OS141"/>
      <c r="OT141"/>
      <c r="OU141"/>
      <c r="OV141"/>
      <c r="OW141"/>
      <c r="OX141"/>
      <c r="OY141"/>
      <c r="OZ141"/>
      <c r="PA141"/>
      <c r="PB141"/>
      <c r="PC141"/>
      <c r="PD141"/>
      <c r="PE141"/>
      <c r="PF141"/>
      <c r="PG141"/>
      <c r="PH141"/>
      <c r="PI141"/>
      <c r="PJ141"/>
      <c r="PK141"/>
      <c r="PL141"/>
      <c r="PM141"/>
      <c r="PN141"/>
      <c r="PO141"/>
      <c r="PP141"/>
      <c r="PQ141"/>
      <c r="PR141"/>
      <c r="PS141"/>
      <c r="PT141"/>
      <c r="PU141"/>
      <c r="PV141"/>
      <c r="PW141"/>
      <c r="PX141"/>
      <c r="PY141"/>
      <c r="PZ141"/>
      <c r="QA141"/>
      <c r="QB141"/>
      <c r="QC141"/>
      <c r="QD141"/>
      <c r="QE141"/>
      <c r="QF141"/>
      <c r="QG141"/>
      <c r="QH141"/>
      <c r="QI141"/>
      <c r="QJ141"/>
      <c r="QK141"/>
      <c r="QL141"/>
      <c r="QM141"/>
      <c r="QN141"/>
      <c r="QO141"/>
      <c r="QP141"/>
      <c r="QQ141"/>
      <c r="QR141"/>
      <c r="QS141"/>
      <c r="QT141"/>
      <c r="QU141"/>
      <c r="QV141"/>
      <c r="QW141"/>
      <c r="QX141"/>
      <c r="QY141"/>
      <c r="QZ141"/>
      <c r="RA141"/>
      <c r="RB141"/>
      <c r="RC141"/>
      <c r="RD141"/>
      <c r="RE141"/>
      <c r="RF141"/>
      <c r="RG141"/>
      <c r="RH141"/>
      <c r="RI141"/>
      <c r="RJ141"/>
      <c r="RK141"/>
      <c r="RL141"/>
      <c r="RM141"/>
      <c r="RN141"/>
      <c r="RO141"/>
      <c r="RP141"/>
      <c r="RQ141"/>
      <c r="RR141"/>
      <c r="RS141"/>
      <c r="RT141"/>
      <c r="RU141"/>
      <c r="RV141"/>
      <c r="RW141"/>
      <c r="RX141"/>
      <c r="RY141"/>
      <c r="RZ141"/>
      <c r="SA141"/>
      <c r="SB141"/>
      <c r="SC141"/>
      <c r="SD141"/>
      <c r="SE141"/>
      <c r="SF141"/>
      <c r="SG141"/>
      <c r="SH141"/>
      <c r="SI141"/>
      <c r="SJ141"/>
      <c r="SK141"/>
      <c r="SL141"/>
      <c r="SM141"/>
      <c r="SN141"/>
      <c r="SO141"/>
      <c r="SP141"/>
      <c r="SQ141"/>
      <c r="SR141"/>
      <c r="SS141"/>
      <c r="ST141"/>
      <c r="SU141"/>
      <c r="SV141"/>
      <c r="SW141"/>
      <c r="SX141"/>
      <c r="SY141"/>
      <c r="SZ141"/>
      <c r="TA141"/>
      <c r="TB141"/>
      <c r="TC141"/>
      <c r="TD141"/>
      <c r="TE141"/>
      <c r="TF141"/>
      <c r="TG141"/>
      <c r="TH141"/>
      <c r="TI141"/>
      <c r="TJ141"/>
      <c r="TK141"/>
      <c r="TL141"/>
      <c r="TM141"/>
      <c r="TN141"/>
      <c r="TO141"/>
      <c r="TP141"/>
      <c r="TQ141"/>
      <c r="TR141"/>
      <c r="TS141"/>
      <c r="TT141"/>
      <c r="TU141"/>
      <c r="TV141"/>
      <c r="TW141"/>
      <c r="TX141"/>
      <c r="TY141"/>
      <c r="TZ141"/>
      <c r="UA141"/>
      <c r="UB141"/>
      <c r="UC141"/>
      <c r="UD141"/>
      <c r="UE141"/>
      <c r="UF141"/>
      <c r="UG141"/>
      <c r="UH141"/>
      <c r="UI141"/>
      <c r="UJ141"/>
      <c r="UK141"/>
      <c r="UL141"/>
      <c r="UM141"/>
      <c r="UN141"/>
      <c r="UO141"/>
      <c r="UP141"/>
      <c r="UQ141"/>
      <c r="UR141"/>
      <c r="US141"/>
      <c r="UT141"/>
      <c r="UU141"/>
      <c r="UV141"/>
      <c r="UW141"/>
      <c r="UX141"/>
      <c r="UY141"/>
      <c r="UZ141"/>
      <c r="VA141"/>
      <c r="VB141"/>
      <c r="VC141"/>
      <c r="VD141"/>
      <c r="VE141"/>
      <c r="VF141"/>
      <c r="VG141"/>
      <c r="VH141"/>
      <c r="VI141"/>
      <c r="VJ141"/>
      <c r="VK141"/>
      <c r="VL141"/>
      <c r="VM141"/>
      <c r="VN141"/>
      <c r="VO141"/>
      <c r="VP141"/>
      <c r="VQ141"/>
      <c r="VR141"/>
      <c r="VS141"/>
      <c r="VT141"/>
      <c r="VU141"/>
      <c r="VV141"/>
      <c r="VW141"/>
      <c r="VX141"/>
      <c r="VY141"/>
      <c r="VZ141"/>
      <c r="WA141"/>
      <c r="WB141"/>
      <c r="WC141"/>
      <c r="WD141"/>
      <c r="WE141"/>
      <c r="WF141"/>
      <c r="WG141"/>
      <c r="WH141"/>
      <c r="WI141"/>
      <c r="WJ141"/>
      <c r="WK141"/>
      <c r="WL141"/>
      <c r="WM141"/>
      <c r="WN141"/>
      <c r="WO141"/>
      <c r="WP141"/>
      <c r="WQ141"/>
      <c r="WR141"/>
      <c r="WS141"/>
      <c r="WT141"/>
      <c r="WU141"/>
      <c r="WV141"/>
      <c r="WW141"/>
      <c r="WX141"/>
      <c r="WY141"/>
      <c r="WZ141"/>
      <c r="XA141"/>
      <c r="XB141"/>
      <c r="XC141"/>
      <c r="XD141"/>
      <c r="XE141"/>
      <c r="XF141"/>
      <c r="XG141"/>
      <c r="XH141"/>
      <c r="XI141"/>
      <c r="XJ141"/>
      <c r="XK141"/>
      <c r="XL141"/>
      <c r="XM141"/>
      <c r="XN141"/>
      <c r="XO141"/>
      <c r="XP141"/>
      <c r="XQ141"/>
      <c r="XR141"/>
      <c r="XS141"/>
      <c r="XT141"/>
      <c r="XU141"/>
      <c r="XV141"/>
      <c r="XW141"/>
      <c r="XX141"/>
      <c r="XY141"/>
      <c r="XZ141"/>
      <c r="YA141"/>
      <c r="YB141"/>
      <c r="YC141"/>
      <c r="YD141"/>
      <c r="YE141"/>
      <c r="YF141"/>
      <c r="YG141"/>
      <c r="YH141"/>
      <c r="YI141"/>
      <c r="YJ141"/>
      <c r="YK141"/>
      <c r="YL141"/>
      <c r="YM141"/>
      <c r="YN141"/>
      <c r="YO141"/>
      <c r="YP141"/>
      <c r="YQ141"/>
      <c r="YR141"/>
      <c r="YS141"/>
      <c r="YT141"/>
      <c r="YU141"/>
      <c r="YV141"/>
      <c r="YW141"/>
      <c r="YX141"/>
      <c r="YY141"/>
      <c r="YZ141"/>
      <c r="ZA141"/>
      <c r="ZB141"/>
      <c r="ZC141"/>
      <c r="ZD141"/>
      <c r="ZE141"/>
      <c r="ZF141"/>
      <c r="ZG141"/>
      <c r="ZH141"/>
      <c r="ZI141"/>
      <c r="ZJ141"/>
      <c r="ZK141"/>
      <c r="ZL141"/>
      <c r="ZM141"/>
      <c r="ZN141"/>
      <c r="ZO141"/>
      <c r="ZP141"/>
      <c r="ZQ141"/>
      <c r="ZR141"/>
      <c r="ZS141"/>
      <c r="ZT141"/>
      <c r="ZU141"/>
      <c r="ZV141"/>
      <c r="ZW141"/>
      <c r="ZX141"/>
      <c r="ZY141"/>
      <c r="ZZ141"/>
      <c r="AAA141"/>
      <c r="AAB141"/>
      <c r="AAC141"/>
      <c r="AAD141"/>
      <c r="AAE141"/>
      <c r="AAF141"/>
      <c r="AAG141"/>
      <c r="AAH141"/>
      <c r="AAI141"/>
      <c r="AAJ141"/>
      <c r="AAK141"/>
      <c r="AAL141"/>
      <c r="AAM141"/>
      <c r="AAN141"/>
      <c r="AAO141"/>
      <c r="AAP141"/>
      <c r="AAQ141"/>
      <c r="AAR141"/>
      <c r="AAS141"/>
      <c r="AAT141"/>
      <c r="AAU141"/>
      <c r="AAV141"/>
      <c r="AAW141"/>
      <c r="AAX141"/>
      <c r="AAY141"/>
      <c r="AAZ141"/>
      <c r="ABA141"/>
      <c r="ABB141"/>
      <c r="ABC141"/>
      <c r="ABD141"/>
      <c r="ABE141"/>
      <c r="ABF141"/>
      <c r="ABG141"/>
      <c r="ABH141"/>
      <c r="ABI141"/>
      <c r="ABJ141"/>
      <c r="ABK141"/>
      <c r="ABL141"/>
      <c r="ABM141"/>
      <c r="ABN141"/>
      <c r="ABO141"/>
      <c r="ABP141"/>
      <c r="ABQ141"/>
      <c r="ABR141"/>
      <c r="ABS141"/>
      <c r="ABT141"/>
      <c r="ABU141"/>
      <c r="ABV141"/>
      <c r="ABW141"/>
      <c r="ABX141"/>
      <c r="ABY141"/>
      <c r="ABZ141"/>
      <c r="ACA141"/>
      <c r="ACB141"/>
      <c r="ACC141"/>
      <c r="ACD141"/>
      <c r="ACE141"/>
      <c r="ACF141"/>
      <c r="ACG141"/>
      <c r="ACH141"/>
      <c r="ACI141"/>
      <c r="ACJ141"/>
      <c r="ACK141"/>
      <c r="ACL141"/>
      <c r="ACM141"/>
      <c r="ACN141"/>
      <c r="ACO141"/>
      <c r="ACP141"/>
      <c r="ACQ141"/>
      <c r="ACR141"/>
      <c r="ACS141"/>
      <c r="ACT141"/>
      <c r="ACU141"/>
      <c r="ACV141"/>
      <c r="ACW141"/>
      <c r="ACX141"/>
      <c r="ACY141"/>
      <c r="ACZ141"/>
      <c r="ADA141"/>
      <c r="ADB141"/>
      <c r="ADC141"/>
      <c r="ADD141"/>
      <c r="ADE141"/>
      <c r="ADF141"/>
      <c r="ADG141"/>
      <c r="ADH141"/>
      <c r="ADI141"/>
      <c r="ADJ141"/>
      <c r="ADK141"/>
      <c r="ADL141"/>
      <c r="ADM141"/>
      <c r="ADN141"/>
      <c r="ADO141"/>
      <c r="ADP141"/>
      <c r="ADQ141"/>
      <c r="ADR141"/>
      <c r="ADS141"/>
      <c r="ADT141"/>
      <c r="ADU141"/>
      <c r="ADV141"/>
      <c r="ADW141"/>
      <c r="ADX141"/>
      <c r="ADY141"/>
      <c r="ADZ141"/>
      <c r="AEA141"/>
      <c r="AEB141"/>
      <c r="AEC141"/>
      <c r="AED141"/>
      <c r="AEE141"/>
      <c r="AEF141"/>
      <c r="AEG141"/>
      <c r="AEH141"/>
      <c r="AEI141"/>
      <c r="AEJ141"/>
      <c r="AEK141"/>
      <c r="AEL141"/>
      <c r="AEM141"/>
      <c r="AEN141"/>
      <c r="AEO141"/>
      <c r="AEP141"/>
      <c r="AEQ141"/>
      <c r="AER141"/>
      <c r="AES141"/>
      <c r="AET141"/>
      <c r="AEU141"/>
      <c r="AEV141"/>
      <c r="AEW141"/>
      <c r="AEX141"/>
      <c r="AEY141"/>
      <c r="AEZ141"/>
      <c r="AFA141"/>
      <c r="AFB141"/>
      <c r="AFC141"/>
      <c r="AFD141"/>
      <c r="AFE141"/>
      <c r="AFF141"/>
      <c r="AFG141"/>
      <c r="AFH141"/>
      <c r="AFI141"/>
      <c r="AFJ141"/>
      <c r="AFK141"/>
      <c r="AFL141"/>
      <c r="AFM141"/>
      <c r="AFN141"/>
      <c r="AFO141"/>
      <c r="AFP141"/>
      <c r="AFQ141"/>
      <c r="AFR141"/>
      <c r="AFS141"/>
      <c r="AFT141"/>
      <c r="AFU141"/>
      <c r="AFV141"/>
      <c r="AFW141"/>
      <c r="AFX141"/>
      <c r="AFY141"/>
      <c r="AFZ141"/>
      <c r="AGA141"/>
      <c r="AGB141"/>
      <c r="AGC141"/>
      <c r="AGD141"/>
      <c r="AGE141"/>
      <c r="AGF141"/>
      <c r="AGG141"/>
      <c r="AGH141"/>
      <c r="AGI141"/>
      <c r="AGJ141"/>
      <c r="AGK141"/>
      <c r="AGL141"/>
      <c r="AGM141"/>
      <c r="AGN141"/>
      <c r="AGO141"/>
      <c r="AGP141"/>
      <c r="AGQ141"/>
      <c r="AGR141"/>
      <c r="AGS141"/>
      <c r="AGT141"/>
      <c r="AGU141"/>
      <c r="AGV141"/>
      <c r="AGW141"/>
      <c r="AGX141"/>
      <c r="AGY141"/>
      <c r="AGZ141"/>
      <c r="AHA141"/>
      <c r="AHB141"/>
      <c r="AHC141"/>
      <c r="AHD141"/>
      <c r="AHE141"/>
      <c r="AHF141"/>
      <c r="AHG141"/>
      <c r="AHH141"/>
      <c r="AHI141"/>
      <c r="AHJ141"/>
      <c r="AHK141"/>
      <c r="AHL141"/>
      <c r="AHM141"/>
      <c r="AHN141"/>
      <c r="AHO141"/>
      <c r="AHP141"/>
      <c r="AHQ141"/>
      <c r="AHR141"/>
      <c r="AHS141"/>
      <c r="AHT141"/>
      <c r="AHU141"/>
      <c r="AHV141"/>
      <c r="AHW141"/>
      <c r="AHX141"/>
      <c r="AHY141"/>
      <c r="AHZ141"/>
      <c r="AIA141"/>
      <c r="AIB141"/>
      <c r="AIC141"/>
      <c r="AID141"/>
      <c r="AIE141"/>
      <c r="AIF141"/>
      <c r="AIG141"/>
      <c r="AIH141"/>
      <c r="AII141"/>
      <c r="AIJ141"/>
      <c r="AIK141"/>
      <c r="AIL141"/>
      <c r="AIM141"/>
      <c r="AIN141"/>
      <c r="AIO141"/>
      <c r="AIP141"/>
      <c r="AIQ141"/>
      <c r="AIR141"/>
      <c r="AIS141"/>
      <c r="AIT141"/>
      <c r="AIU141"/>
      <c r="AIV141"/>
      <c r="AIW141"/>
      <c r="AIX141"/>
      <c r="AIY141"/>
      <c r="AIZ141"/>
      <c r="AJA141"/>
      <c r="AJB141"/>
      <c r="AJC141"/>
      <c r="AJD141"/>
      <c r="AJE141"/>
      <c r="AJF141"/>
      <c r="AJG141"/>
      <c r="AJH141"/>
      <c r="AJI141"/>
      <c r="AJJ141"/>
      <c r="AJK141"/>
      <c r="AJL141"/>
      <c r="AJM141"/>
      <c r="AJN141"/>
      <c r="AJO141"/>
      <c r="AJP141"/>
      <c r="AJQ141"/>
      <c r="AJR141"/>
      <c r="AJS141"/>
      <c r="AJT141"/>
      <c r="AJU141"/>
      <c r="AJV141"/>
      <c r="AJW141"/>
      <c r="AJX141"/>
      <c r="AJY141"/>
      <c r="AJZ141"/>
      <c r="AKA141"/>
      <c r="AKB141"/>
      <c r="AKC141"/>
      <c r="AKD141"/>
      <c r="AKE141"/>
      <c r="AKF141"/>
      <c r="AKG141"/>
      <c r="AKH141"/>
      <c r="AKI141"/>
      <c r="AKJ141"/>
      <c r="AKK141"/>
      <c r="AKL141"/>
      <c r="AKM141"/>
      <c r="AKN141"/>
      <c r="AKO141"/>
      <c r="AKP141"/>
      <c r="AKQ141"/>
      <c r="AKR141"/>
      <c r="AKS141"/>
      <c r="AKT141"/>
      <c r="AKU141"/>
      <c r="AKV141"/>
      <c r="AKW141"/>
      <c r="AKX141"/>
      <c r="AKY141"/>
      <c r="AKZ141"/>
      <c r="ALA141"/>
      <c r="ALB141"/>
      <c r="ALC141"/>
      <c r="ALD141"/>
      <c r="ALE141"/>
      <c r="ALF141"/>
      <c r="ALG141"/>
      <c r="ALH141"/>
      <c r="ALI141"/>
      <c r="ALJ141"/>
      <c r="ALK141"/>
      <c r="ALL141"/>
      <c r="ALM141"/>
      <c r="ALN141"/>
      <c r="ALO141"/>
      <c r="ALP141"/>
      <c r="ALQ141"/>
      <c r="ALR141"/>
      <c r="ALS141"/>
      <c r="ALT141"/>
      <c r="ALU141"/>
      <c r="ALV141"/>
      <c r="ALW141"/>
      <c r="ALX141"/>
      <c r="ALY141"/>
      <c r="ALZ141"/>
      <c r="AMA141"/>
      <c r="AMB141"/>
      <c r="AMC141"/>
      <c r="AMD141"/>
      <c r="AME141"/>
      <c r="AMG141"/>
      <c r="AMH141"/>
      <c r="AMI141"/>
      <c r="AMJ141"/>
      <c r="AMK141"/>
    </row>
    <row r="142" spans="1:1025" ht="12.75" customHeight="1" x14ac:dyDescent="0.2">
      <c r="A142" s="87" t="s">
        <v>325</v>
      </c>
      <c r="B142" s="967" t="s">
        <v>326</v>
      </c>
      <c r="C142" s="967"/>
      <c r="D142" s="967"/>
      <c r="E142" s="967"/>
      <c r="F142" s="967"/>
      <c r="G142" s="57"/>
      <c r="H142" s="57"/>
      <c r="I142" s="889"/>
      <c r="J142" s="889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  <c r="OF142"/>
      <c r="OG142"/>
      <c r="OH142"/>
      <c r="OI142"/>
      <c r="OJ142"/>
      <c r="OK142"/>
      <c r="OL142"/>
      <c r="OM142"/>
      <c r="ON142"/>
      <c r="OO142"/>
      <c r="OP142"/>
      <c r="OQ142"/>
      <c r="OR142"/>
      <c r="OS142"/>
      <c r="OT142"/>
      <c r="OU142"/>
      <c r="OV142"/>
      <c r="OW142"/>
      <c r="OX142"/>
      <c r="OY142"/>
      <c r="OZ142"/>
      <c r="PA142"/>
      <c r="PB142"/>
      <c r="PC142"/>
      <c r="PD142"/>
      <c r="PE142"/>
      <c r="PF142"/>
      <c r="PG142"/>
      <c r="PH142"/>
      <c r="PI142"/>
      <c r="PJ142"/>
      <c r="PK142"/>
      <c r="PL142"/>
      <c r="PM142"/>
      <c r="PN142"/>
      <c r="PO142"/>
      <c r="PP142"/>
      <c r="PQ142"/>
      <c r="PR142"/>
      <c r="PS142"/>
      <c r="PT142"/>
      <c r="PU142"/>
      <c r="PV142"/>
      <c r="PW142"/>
      <c r="PX142"/>
      <c r="PY142"/>
      <c r="PZ142"/>
      <c r="QA142"/>
      <c r="QB142"/>
      <c r="QC142"/>
      <c r="QD142"/>
      <c r="QE142"/>
      <c r="QF142"/>
      <c r="QG142"/>
      <c r="QH142"/>
      <c r="QI142"/>
      <c r="QJ142"/>
      <c r="QK142"/>
      <c r="QL142"/>
      <c r="QM142"/>
      <c r="QN142"/>
      <c r="QO142"/>
      <c r="QP142"/>
      <c r="QQ142"/>
      <c r="QR142"/>
      <c r="QS142"/>
      <c r="QT142"/>
      <c r="QU142"/>
      <c r="QV142"/>
      <c r="QW142"/>
      <c r="QX142"/>
      <c r="QY142"/>
      <c r="QZ142"/>
      <c r="RA142"/>
      <c r="RB142"/>
      <c r="RC142"/>
      <c r="RD142"/>
      <c r="RE142"/>
      <c r="RF142"/>
      <c r="RG142"/>
      <c r="RH142"/>
      <c r="RI142"/>
      <c r="RJ142"/>
      <c r="RK142"/>
      <c r="RL142"/>
      <c r="RM142"/>
      <c r="RN142"/>
      <c r="RO142"/>
      <c r="RP142"/>
      <c r="RQ142"/>
      <c r="RR142"/>
      <c r="RS142"/>
      <c r="RT142"/>
      <c r="RU142"/>
      <c r="RV142"/>
      <c r="RW142"/>
      <c r="RX142"/>
      <c r="RY142"/>
      <c r="RZ142"/>
      <c r="SA142"/>
      <c r="SB142"/>
      <c r="SC142"/>
      <c r="SD142"/>
      <c r="SE142"/>
      <c r="SF142"/>
      <c r="SG142"/>
      <c r="SH142"/>
      <c r="SI142"/>
      <c r="SJ142"/>
      <c r="SK142"/>
      <c r="SL142"/>
      <c r="SM142"/>
      <c r="SN142"/>
      <c r="SO142"/>
      <c r="SP142"/>
      <c r="SQ142"/>
      <c r="SR142"/>
      <c r="SS142"/>
      <c r="ST142"/>
      <c r="SU142"/>
      <c r="SV142"/>
      <c r="SW142"/>
      <c r="SX142"/>
      <c r="SY142"/>
      <c r="SZ142"/>
      <c r="TA142"/>
      <c r="TB142"/>
      <c r="TC142"/>
      <c r="TD142"/>
      <c r="TE142"/>
      <c r="TF142"/>
      <c r="TG142"/>
      <c r="TH142"/>
      <c r="TI142"/>
      <c r="TJ142"/>
      <c r="TK142"/>
      <c r="TL142"/>
      <c r="TM142"/>
      <c r="TN142"/>
      <c r="TO142"/>
      <c r="TP142"/>
      <c r="TQ142"/>
      <c r="TR142"/>
      <c r="TS142"/>
      <c r="TT142"/>
      <c r="TU142"/>
      <c r="TV142"/>
      <c r="TW142"/>
      <c r="TX142"/>
      <c r="TY142"/>
      <c r="TZ142"/>
      <c r="UA142"/>
      <c r="UB142"/>
      <c r="UC142"/>
      <c r="UD142"/>
      <c r="UE142"/>
      <c r="UF142"/>
      <c r="UG142"/>
      <c r="UH142"/>
      <c r="UI142"/>
      <c r="UJ142"/>
      <c r="UK142"/>
      <c r="UL142"/>
      <c r="UM142"/>
      <c r="UN142"/>
      <c r="UO142"/>
      <c r="UP142"/>
      <c r="UQ142"/>
      <c r="UR142"/>
      <c r="US142"/>
      <c r="UT142"/>
      <c r="UU142"/>
      <c r="UV142"/>
      <c r="UW142"/>
      <c r="UX142"/>
      <c r="UY142"/>
      <c r="UZ142"/>
      <c r="VA142"/>
      <c r="VB142"/>
      <c r="VC142"/>
      <c r="VD142"/>
      <c r="VE142"/>
      <c r="VF142"/>
      <c r="VG142"/>
      <c r="VH142"/>
      <c r="VI142"/>
      <c r="VJ142"/>
      <c r="VK142"/>
      <c r="VL142"/>
      <c r="VM142"/>
      <c r="VN142"/>
      <c r="VO142"/>
      <c r="VP142"/>
      <c r="VQ142"/>
      <c r="VR142"/>
      <c r="VS142"/>
      <c r="VT142"/>
      <c r="VU142"/>
      <c r="VV142"/>
      <c r="VW142"/>
      <c r="VX142"/>
      <c r="VY142"/>
      <c r="VZ142"/>
      <c r="WA142"/>
      <c r="WB142"/>
      <c r="WC142"/>
      <c r="WD142"/>
      <c r="WE142"/>
      <c r="WF142"/>
      <c r="WG142"/>
      <c r="WH142"/>
      <c r="WI142"/>
      <c r="WJ142"/>
      <c r="WK142"/>
      <c r="WL142"/>
      <c r="WM142"/>
      <c r="WN142"/>
      <c r="WO142"/>
      <c r="WP142"/>
      <c r="WQ142"/>
      <c r="WR142"/>
      <c r="WS142"/>
      <c r="WT142"/>
      <c r="WU142"/>
      <c r="WV142"/>
      <c r="WW142"/>
      <c r="WX142"/>
      <c r="WY142"/>
      <c r="WZ142"/>
      <c r="XA142"/>
      <c r="XB142"/>
      <c r="XC142"/>
      <c r="XD142"/>
      <c r="XE142"/>
      <c r="XF142"/>
      <c r="XG142"/>
      <c r="XH142"/>
      <c r="XI142"/>
      <c r="XJ142"/>
      <c r="XK142"/>
      <c r="XL142"/>
      <c r="XM142"/>
      <c r="XN142"/>
      <c r="XO142"/>
      <c r="XP142"/>
      <c r="XQ142"/>
      <c r="XR142"/>
      <c r="XS142"/>
      <c r="XT142"/>
      <c r="XU142"/>
      <c r="XV142"/>
      <c r="XW142"/>
      <c r="XX142"/>
      <c r="XY142"/>
      <c r="XZ142"/>
      <c r="YA142"/>
      <c r="YB142"/>
      <c r="YC142"/>
      <c r="YD142"/>
      <c r="YE142"/>
      <c r="YF142"/>
      <c r="YG142"/>
      <c r="YH142"/>
      <c r="YI142"/>
      <c r="YJ142"/>
      <c r="YK142"/>
      <c r="YL142"/>
      <c r="YM142"/>
      <c r="YN142"/>
      <c r="YO142"/>
      <c r="YP142"/>
      <c r="YQ142"/>
      <c r="YR142"/>
      <c r="YS142"/>
      <c r="YT142"/>
      <c r="YU142"/>
      <c r="YV142"/>
      <c r="YW142"/>
      <c r="YX142"/>
      <c r="YY142"/>
      <c r="YZ142"/>
      <c r="ZA142"/>
      <c r="ZB142"/>
      <c r="ZC142"/>
      <c r="ZD142"/>
      <c r="ZE142"/>
      <c r="ZF142"/>
      <c r="ZG142"/>
      <c r="ZH142"/>
      <c r="ZI142"/>
      <c r="ZJ142"/>
      <c r="ZK142"/>
      <c r="ZL142"/>
      <c r="ZM142"/>
      <c r="ZN142"/>
      <c r="ZO142"/>
      <c r="ZP142"/>
      <c r="ZQ142"/>
      <c r="ZR142"/>
      <c r="ZS142"/>
      <c r="ZT142"/>
      <c r="ZU142"/>
      <c r="ZV142"/>
      <c r="ZW142"/>
      <c r="ZX142"/>
      <c r="ZY142"/>
      <c r="ZZ142"/>
      <c r="AAA142"/>
      <c r="AAB142"/>
      <c r="AAC142"/>
      <c r="AAD142"/>
      <c r="AAE142"/>
      <c r="AAF142"/>
      <c r="AAG142"/>
      <c r="AAH142"/>
      <c r="AAI142"/>
      <c r="AAJ142"/>
      <c r="AAK142"/>
      <c r="AAL142"/>
      <c r="AAM142"/>
      <c r="AAN142"/>
      <c r="AAO142"/>
      <c r="AAP142"/>
      <c r="AAQ142"/>
      <c r="AAR142"/>
      <c r="AAS142"/>
      <c r="AAT142"/>
      <c r="AAU142"/>
      <c r="AAV142"/>
      <c r="AAW142"/>
      <c r="AAX142"/>
      <c r="AAY142"/>
      <c r="AAZ142"/>
      <c r="ABA142"/>
      <c r="ABB142"/>
      <c r="ABC142"/>
      <c r="ABD142"/>
      <c r="ABE142"/>
      <c r="ABF142"/>
      <c r="ABG142"/>
      <c r="ABH142"/>
      <c r="ABI142"/>
      <c r="ABJ142"/>
      <c r="ABK142"/>
      <c r="ABL142"/>
      <c r="ABM142"/>
      <c r="ABN142"/>
      <c r="ABO142"/>
      <c r="ABP142"/>
      <c r="ABQ142"/>
      <c r="ABR142"/>
      <c r="ABS142"/>
      <c r="ABT142"/>
      <c r="ABU142"/>
      <c r="ABV142"/>
      <c r="ABW142"/>
      <c r="ABX142"/>
      <c r="ABY142"/>
      <c r="ABZ142"/>
      <c r="ACA142"/>
      <c r="ACB142"/>
      <c r="ACC142"/>
      <c r="ACD142"/>
      <c r="ACE142"/>
      <c r="ACF142"/>
      <c r="ACG142"/>
      <c r="ACH142"/>
      <c r="ACI142"/>
      <c r="ACJ142"/>
      <c r="ACK142"/>
      <c r="ACL142"/>
      <c r="ACM142"/>
      <c r="ACN142"/>
      <c r="ACO142"/>
      <c r="ACP142"/>
      <c r="ACQ142"/>
      <c r="ACR142"/>
      <c r="ACS142"/>
      <c r="ACT142"/>
      <c r="ACU142"/>
      <c r="ACV142"/>
      <c r="ACW142"/>
      <c r="ACX142"/>
      <c r="ACY142"/>
      <c r="ACZ142"/>
      <c r="ADA142"/>
      <c r="ADB142"/>
      <c r="ADC142"/>
      <c r="ADD142"/>
      <c r="ADE142"/>
      <c r="ADF142"/>
      <c r="ADG142"/>
      <c r="ADH142"/>
      <c r="ADI142"/>
      <c r="ADJ142"/>
      <c r="ADK142"/>
      <c r="ADL142"/>
      <c r="ADM142"/>
      <c r="ADN142"/>
      <c r="ADO142"/>
      <c r="ADP142"/>
      <c r="ADQ142"/>
      <c r="ADR142"/>
      <c r="ADS142"/>
      <c r="ADT142"/>
      <c r="ADU142"/>
      <c r="ADV142"/>
      <c r="ADW142"/>
      <c r="ADX142"/>
      <c r="ADY142"/>
      <c r="ADZ142"/>
      <c r="AEA142"/>
      <c r="AEB142"/>
      <c r="AEC142"/>
      <c r="AED142"/>
      <c r="AEE142"/>
      <c r="AEF142"/>
      <c r="AEG142"/>
      <c r="AEH142"/>
      <c r="AEI142"/>
      <c r="AEJ142"/>
      <c r="AEK142"/>
      <c r="AEL142"/>
      <c r="AEM142"/>
      <c r="AEN142"/>
      <c r="AEO142"/>
      <c r="AEP142"/>
      <c r="AEQ142"/>
      <c r="AER142"/>
      <c r="AES142"/>
      <c r="AET142"/>
      <c r="AEU142"/>
      <c r="AEV142"/>
      <c r="AEW142"/>
      <c r="AEX142"/>
      <c r="AEY142"/>
      <c r="AEZ142"/>
      <c r="AFA142"/>
      <c r="AFB142"/>
      <c r="AFC142"/>
      <c r="AFD142"/>
      <c r="AFE142"/>
      <c r="AFF142"/>
      <c r="AFG142"/>
      <c r="AFH142"/>
      <c r="AFI142"/>
      <c r="AFJ142"/>
      <c r="AFK142"/>
      <c r="AFL142"/>
      <c r="AFM142"/>
      <c r="AFN142"/>
      <c r="AFO142"/>
      <c r="AFP142"/>
      <c r="AFQ142"/>
      <c r="AFR142"/>
      <c r="AFS142"/>
      <c r="AFT142"/>
      <c r="AFU142"/>
      <c r="AFV142"/>
      <c r="AFW142"/>
      <c r="AFX142"/>
      <c r="AFY142"/>
      <c r="AFZ142"/>
      <c r="AGA142"/>
      <c r="AGB142"/>
      <c r="AGC142"/>
      <c r="AGD142"/>
      <c r="AGE142"/>
      <c r="AGF142"/>
      <c r="AGG142"/>
      <c r="AGH142"/>
      <c r="AGI142"/>
      <c r="AGJ142"/>
      <c r="AGK142"/>
      <c r="AGL142"/>
      <c r="AGM142"/>
      <c r="AGN142"/>
      <c r="AGO142"/>
      <c r="AGP142"/>
      <c r="AGQ142"/>
      <c r="AGR142"/>
      <c r="AGS142"/>
      <c r="AGT142"/>
      <c r="AGU142"/>
      <c r="AGV142"/>
      <c r="AGW142"/>
      <c r="AGX142"/>
      <c r="AGY142"/>
      <c r="AGZ142"/>
      <c r="AHA142"/>
      <c r="AHB142"/>
      <c r="AHC142"/>
      <c r="AHD142"/>
      <c r="AHE142"/>
      <c r="AHF142"/>
      <c r="AHG142"/>
      <c r="AHH142"/>
      <c r="AHI142"/>
      <c r="AHJ142"/>
      <c r="AHK142"/>
      <c r="AHL142"/>
      <c r="AHM142"/>
      <c r="AHN142"/>
      <c r="AHO142"/>
      <c r="AHP142"/>
      <c r="AHQ142"/>
      <c r="AHR142"/>
      <c r="AHS142"/>
      <c r="AHT142"/>
      <c r="AHU142"/>
      <c r="AHV142"/>
      <c r="AHW142"/>
      <c r="AHX142"/>
      <c r="AHY142"/>
      <c r="AHZ142"/>
      <c r="AIA142"/>
      <c r="AIB142"/>
      <c r="AIC142"/>
      <c r="AID142"/>
      <c r="AIE142"/>
      <c r="AIF142"/>
      <c r="AIG142"/>
      <c r="AIH142"/>
      <c r="AII142"/>
      <c r="AIJ142"/>
      <c r="AIK142"/>
      <c r="AIL142"/>
      <c r="AIM142"/>
      <c r="AIN142"/>
      <c r="AIO142"/>
      <c r="AIP142"/>
      <c r="AIQ142"/>
      <c r="AIR142"/>
      <c r="AIS142"/>
      <c r="AIT142"/>
      <c r="AIU142"/>
      <c r="AIV142"/>
      <c r="AIW142"/>
      <c r="AIX142"/>
      <c r="AIY142"/>
      <c r="AIZ142"/>
      <c r="AJA142"/>
      <c r="AJB142"/>
      <c r="AJC142"/>
      <c r="AJD142"/>
      <c r="AJE142"/>
      <c r="AJF142"/>
      <c r="AJG142"/>
      <c r="AJH142"/>
      <c r="AJI142"/>
      <c r="AJJ142"/>
      <c r="AJK142"/>
      <c r="AJL142"/>
      <c r="AJM142"/>
      <c r="AJN142"/>
      <c r="AJO142"/>
      <c r="AJP142"/>
      <c r="AJQ142"/>
      <c r="AJR142"/>
      <c r="AJS142"/>
      <c r="AJT142"/>
      <c r="AJU142"/>
      <c r="AJV142"/>
      <c r="AJW142"/>
      <c r="AJX142"/>
      <c r="AJY142"/>
      <c r="AJZ142"/>
      <c r="AKA142"/>
      <c r="AKB142"/>
      <c r="AKC142"/>
      <c r="AKD142"/>
      <c r="AKE142"/>
      <c r="AKF142"/>
      <c r="AKG142"/>
      <c r="AKH142"/>
      <c r="AKI142"/>
      <c r="AKJ142"/>
      <c r="AKK142"/>
      <c r="AKL142"/>
      <c r="AKM142"/>
      <c r="AKN142"/>
      <c r="AKO142"/>
      <c r="AKP142"/>
      <c r="AKQ142"/>
      <c r="AKR142"/>
      <c r="AKS142"/>
      <c r="AKT142"/>
      <c r="AKU142"/>
      <c r="AKV142"/>
      <c r="AKW142"/>
      <c r="AKX142"/>
      <c r="AKY142"/>
      <c r="AKZ142"/>
      <c r="ALA142"/>
      <c r="ALB142"/>
      <c r="ALC142"/>
      <c r="ALD142"/>
      <c r="ALE142"/>
      <c r="ALF142"/>
      <c r="ALG142"/>
      <c r="ALH142"/>
      <c r="ALI142"/>
      <c r="ALJ142"/>
      <c r="ALK142"/>
      <c r="ALL142"/>
      <c r="ALM142"/>
      <c r="ALN142"/>
      <c r="ALO142"/>
      <c r="ALP142"/>
      <c r="ALQ142"/>
      <c r="ALR142"/>
      <c r="ALS142"/>
      <c r="ALT142"/>
      <c r="ALU142"/>
      <c r="ALV142"/>
      <c r="ALW142"/>
      <c r="ALX142"/>
      <c r="ALY142"/>
      <c r="ALZ142"/>
      <c r="AMA142"/>
      <c r="AMB142"/>
      <c r="AMC142"/>
      <c r="AMD142"/>
      <c r="AME142"/>
      <c r="AMF142"/>
      <c r="AMG142"/>
      <c r="AMH142"/>
      <c r="AMI142"/>
      <c r="AMJ142"/>
    </row>
    <row r="143" spans="1:1025" ht="12.75" customHeight="1" x14ac:dyDescent="0.2">
      <c r="A143" s="87" t="s">
        <v>327</v>
      </c>
      <c r="B143" s="967" t="s">
        <v>328</v>
      </c>
      <c r="C143" s="967"/>
      <c r="D143" s="967"/>
      <c r="E143" s="967"/>
      <c r="F143" s="967"/>
      <c r="G143" s="57"/>
      <c r="H143" s="57"/>
      <c r="I143" s="889"/>
      <c r="J143" s="889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  <c r="OF143"/>
      <c r="OG143"/>
      <c r="OH143"/>
      <c r="OI143"/>
      <c r="OJ143"/>
      <c r="OK143"/>
      <c r="OL143"/>
      <c r="OM143"/>
      <c r="ON143"/>
      <c r="OO143"/>
      <c r="OP143"/>
      <c r="OQ143"/>
      <c r="OR143"/>
      <c r="OS143"/>
      <c r="OT143"/>
      <c r="OU143"/>
      <c r="OV143"/>
      <c r="OW143"/>
      <c r="OX143"/>
      <c r="OY143"/>
      <c r="OZ143"/>
      <c r="PA143"/>
      <c r="PB143"/>
      <c r="PC143"/>
      <c r="PD143"/>
      <c r="PE143"/>
      <c r="PF143"/>
      <c r="PG143"/>
      <c r="PH143"/>
      <c r="PI143"/>
      <c r="PJ143"/>
      <c r="PK143"/>
      <c r="PL143"/>
      <c r="PM143"/>
      <c r="PN143"/>
      <c r="PO143"/>
      <c r="PP143"/>
      <c r="PQ143"/>
      <c r="PR143"/>
      <c r="PS143"/>
      <c r="PT143"/>
      <c r="PU143"/>
      <c r="PV143"/>
      <c r="PW143"/>
      <c r="PX143"/>
      <c r="PY143"/>
      <c r="PZ143"/>
      <c r="QA143"/>
      <c r="QB143"/>
      <c r="QC143"/>
      <c r="QD143"/>
      <c r="QE143"/>
      <c r="QF143"/>
      <c r="QG143"/>
      <c r="QH143"/>
      <c r="QI143"/>
      <c r="QJ143"/>
      <c r="QK143"/>
      <c r="QL143"/>
      <c r="QM143"/>
      <c r="QN143"/>
      <c r="QO143"/>
      <c r="QP143"/>
      <c r="QQ143"/>
      <c r="QR143"/>
      <c r="QS143"/>
      <c r="QT143"/>
      <c r="QU143"/>
      <c r="QV143"/>
      <c r="QW143"/>
      <c r="QX143"/>
      <c r="QY143"/>
      <c r="QZ143"/>
      <c r="RA143"/>
      <c r="RB143"/>
      <c r="RC143"/>
      <c r="RD143"/>
      <c r="RE143"/>
      <c r="RF143"/>
      <c r="RG143"/>
      <c r="RH143"/>
      <c r="RI143"/>
      <c r="RJ143"/>
      <c r="RK143"/>
      <c r="RL143"/>
      <c r="RM143"/>
      <c r="RN143"/>
      <c r="RO143"/>
      <c r="RP143"/>
      <c r="RQ143"/>
      <c r="RR143"/>
      <c r="RS143"/>
      <c r="RT143"/>
      <c r="RU143"/>
      <c r="RV143"/>
      <c r="RW143"/>
      <c r="RX143"/>
      <c r="RY143"/>
      <c r="RZ143"/>
      <c r="SA143"/>
      <c r="SB143"/>
      <c r="SC143"/>
      <c r="SD143"/>
      <c r="SE143"/>
      <c r="SF143"/>
      <c r="SG143"/>
      <c r="SH143"/>
      <c r="SI143"/>
      <c r="SJ143"/>
      <c r="SK143"/>
      <c r="SL143"/>
      <c r="SM143"/>
      <c r="SN143"/>
      <c r="SO143"/>
      <c r="SP143"/>
      <c r="SQ143"/>
      <c r="SR143"/>
      <c r="SS143"/>
      <c r="ST143"/>
      <c r="SU143"/>
      <c r="SV143"/>
      <c r="SW143"/>
      <c r="SX143"/>
      <c r="SY143"/>
      <c r="SZ143"/>
      <c r="TA143"/>
      <c r="TB143"/>
      <c r="TC143"/>
      <c r="TD143"/>
      <c r="TE143"/>
      <c r="TF143"/>
      <c r="TG143"/>
      <c r="TH143"/>
      <c r="TI143"/>
      <c r="TJ143"/>
      <c r="TK143"/>
      <c r="TL143"/>
      <c r="TM143"/>
      <c r="TN143"/>
      <c r="TO143"/>
      <c r="TP143"/>
      <c r="TQ143"/>
      <c r="TR143"/>
      <c r="TS143"/>
      <c r="TT143"/>
      <c r="TU143"/>
      <c r="TV143"/>
      <c r="TW143"/>
      <c r="TX143"/>
      <c r="TY143"/>
      <c r="TZ143"/>
      <c r="UA143"/>
      <c r="UB143"/>
      <c r="UC143"/>
      <c r="UD143"/>
      <c r="UE143"/>
      <c r="UF143"/>
      <c r="UG143"/>
      <c r="UH143"/>
      <c r="UI143"/>
      <c r="UJ143"/>
      <c r="UK143"/>
      <c r="UL143"/>
      <c r="UM143"/>
      <c r="UN143"/>
      <c r="UO143"/>
      <c r="UP143"/>
      <c r="UQ143"/>
      <c r="UR143"/>
      <c r="US143"/>
      <c r="UT143"/>
      <c r="UU143"/>
      <c r="UV143"/>
      <c r="UW143"/>
      <c r="UX143"/>
      <c r="UY143"/>
      <c r="UZ143"/>
      <c r="VA143"/>
      <c r="VB143"/>
      <c r="VC143"/>
      <c r="VD143"/>
      <c r="VE143"/>
      <c r="VF143"/>
      <c r="VG143"/>
      <c r="VH143"/>
      <c r="VI143"/>
      <c r="VJ143"/>
      <c r="VK143"/>
      <c r="VL143"/>
      <c r="VM143"/>
      <c r="VN143"/>
      <c r="VO143"/>
      <c r="VP143"/>
      <c r="VQ143"/>
      <c r="VR143"/>
      <c r="VS143"/>
      <c r="VT143"/>
      <c r="VU143"/>
      <c r="VV143"/>
      <c r="VW143"/>
      <c r="VX143"/>
      <c r="VY143"/>
      <c r="VZ143"/>
      <c r="WA143"/>
      <c r="WB143"/>
      <c r="WC143"/>
      <c r="WD143"/>
      <c r="WE143"/>
      <c r="WF143"/>
      <c r="WG143"/>
      <c r="WH143"/>
      <c r="WI143"/>
      <c r="WJ143"/>
      <c r="WK143"/>
      <c r="WL143"/>
      <c r="WM143"/>
      <c r="WN143"/>
      <c r="WO143"/>
      <c r="WP143"/>
      <c r="WQ143"/>
      <c r="WR143"/>
      <c r="WS143"/>
      <c r="WT143"/>
      <c r="WU143"/>
      <c r="WV143"/>
      <c r="WW143"/>
      <c r="WX143"/>
      <c r="WY143"/>
      <c r="WZ143"/>
      <c r="XA143"/>
      <c r="XB143"/>
      <c r="XC143"/>
      <c r="XD143"/>
      <c r="XE143"/>
      <c r="XF143"/>
      <c r="XG143"/>
      <c r="XH143"/>
      <c r="XI143"/>
      <c r="XJ143"/>
      <c r="XK143"/>
      <c r="XL143"/>
      <c r="XM143"/>
      <c r="XN143"/>
      <c r="XO143"/>
      <c r="XP143"/>
      <c r="XQ143"/>
      <c r="XR143"/>
      <c r="XS143"/>
      <c r="XT143"/>
      <c r="XU143"/>
      <c r="XV143"/>
      <c r="XW143"/>
      <c r="XX143"/>
      <c r="XY143"/>
      <c r="XZ143"/>
      <c r="YA143"/>
      <c r="YB143"/>
      <c r="YC143"/>
      <c r="YD143"/>
      <c r="YE143"/>
      <c r="YF143"/>
      <c r="YG143"/>
      <c r="YH143"/>
      <c r="YI143"/>
      <c r="YJ143"/>
      <c r="YK143"/>
      <c r="YL143"/>
      <c r="YM143"/>
      <c r="YN143"/>
      <c r="YO143"/>
      <c r="YP143"/>
      <c r="YQ143"/>
      <c r="YR143"/>
      <c r="YS143"/>
      <c r="YT143"/>
      <c r="YU143"/>
      <c r="YV143"/>
      <c r="YW143"/>
      <c r="YX143"/>
      <c r="YY143"/>
      <c r="YZ143"/>
      <c r="ZA143"/>
      <c r="ZB143"/>
      <c r="ZC143"/>
      <c r="ZD143"/>
      <c r="ZE143"/>
      <c r="ZF143"/>
      <c r="ZG143"/>
      <c r="ZH143"/>
      <c r="ZI143"/>
      <c r="ZJ143"/>
      <c r="ZK143"/>
      <c r="ZL143"/>
      <c r="ZM143"/>
      <c r="ZN143"/>
      <c r="ZO143"/>
      <c r="ZP143"/>
      <c r="ZQ143"/>
      <c r="ZR143"/>
      <c r="ZS143"/>
      <c r="ZT143"/>
      <c r="ZU143"/>
      <c r="ZV143"/>
      <c r="ZW143"/>
      <c r="ZX143"/>
      <c r="ZY143"/>
      <c r="ZZ143"/>
      <c r="AAA143"/>
      <c r="AAB143"/>
      <c r="AAC143"/>
      <c r="AAD143"/>
      <c r="AAE143"/>
      <c r="AAF143"/>
      <c r="AAG143"/>
      <c r="AAH143"/>
      <c r="AAI143"/>
      <c r="AAJ143"/>
      <c r="AAK143"/>
      <c r="AAL143"/>
      <c r="AAM143"/>
      <c r="AAN143"/>
      <c r="AAO143"/>
      <c r="AAP143"/>
      <c r="AAQ143"/>
      <c r="AAR143"/>
      <c r="AAS143"/>
      <c r="AAT143"/>
      <c r="AAU143"/>
      <c r="AAV143"/>
      <c r="AAW143"/>
      <c r="AAX143"/>
      <c r="AAY143"/>
      <c r="AAZ143"/>
      <c r="ABA143"/>
      <c r="ABB143"/>
      <c r="ABC143"/>
      <c r="ABD143"/>
      <c r="ABE143"/>
      <c r="ABF143"/>
      <c r="ABG143"/>
      <c r="ABH143"/>
      <c r="ABI143"/>
      <c r="ABJ143"/>
      <c r="ABK143"/>
      <c r="ABL143"/>
      <c r="ABM143"/>
      <c r="ABN143"/>
      <c r="ABO143"/>
      <c r="ABP143"/>
      <c r="ABQ143"/>
      <c r="ABR143"/>
      <c r="ABS143"/>
      <c r="ABT143"/>
      <c r="ABU143"/>
      <c r="ABV143"/>
      <c r="ABW143"/>
      <c r="ABX143"/>
      <c r="ABY143"/>
      <c r="ABZ143"/>
      <c r="ACA143"/>
      <c r="ACB143"/>
      <c r="ACC143"/>
      <c r="ACD143"/>
      <c r="ACE143"/>
      <c r="ACF143"/>
      <c r="ACG143"/>
      <c r="ACH143"/>
      <c r="ACI143"/>
      <c r="ACJ143"/>
      <c r="ACK143"/>
      <c r="ACL143"/>
      <c r="ACM143"/>
      <c r="ACN143"/>
      <c r="ACO143"/>
      <c r="ACP143"/>
      <c r="ACQ143"/>
      <c r="ACR143"/>
      <c r="ACS143"/>
      <c r="ACT143"/>
      <c r="ACU143"/>
      <c r="ACV143"/>
      <c r="ACW143"/>
      <c r="ACX143"/>
      <c r="ACY143"/>
      <c r="ACZ143"/>
      <c r="ADA143"/>
      <c r="ADB143"/>
      <c r="ADC143"/>
      <c r="ADD143"/>
      <c r="ADE143"/>
      <c r="ADF143"/>
      <c r="ADG143"/>
      <c r="ADH143"/>
      <c r="ADI143"/>
      <c r="ADJ143"/>
      <c r="ADK143"/>
      <c r="ADL143"/>
      <c r="ADM143"/>
      <c r="ADN143"/>
      <c r="ADO143"/>
      <c r="ADP143"/>
      <c r="ADQ143"/>
      <c r="ADR143"/>
      <c r="ADS143"/>
      <c r="ADT143"/>
      <c r="ADU143"/>
      <c r="ADV143"/>
      <c r="ADW143"/>
      <c r="ADX143"/>
      <c r="ADY143"/>
      <c r="ADZ143"/>
      <c r="AEA143"/>
      <c r="AEB143"/>
      <c r="AEC143"/>
      <c r="AED143"/>
      <c r="AEE143"/>
      <c r="AEF143"/>
      <c r="AEG143"/>
      <c r="AEH143"/>
      <c r="AEI143"/>
      <c r="AEJ143"/>
      <c r="AEK143"/>
      <c r="AEL143"/>
      <c r="AEM143"/>
      <c r="AEN143"/>
      <c r="AEO143"/>
      <c r="AEP143"/>
      <c r="AEQ143"/>
      <c r="AER143"/>
      <c r="AES143"/>
      <c r="AET143"/>
      <c r="AEU143"/>
      <c r="AEV143"/>
      <c r="AEW143"/>
      <c r="AEX143"/>
      <c r="AEY143"/>
      <c r="AEZ143"/>
      <c r="AFA143"/>
      <c r="AFB143"/>
      <c r="AFC143"/>
      <c r="AFD143"/>
      <c r="AFE143"/>
      <c r="AFF143"/>
      <c r="AFG143"/>
      <c r="AFH143"/>
      <c r="AFI143"/>
      <c r="AFJ143"/>
      <c r="AFK143"/>
      <c r="AFL143"/>
      <c r="AFM143"/>
      <c r="AFN143"/>
      <c r="AFO143"/>
      <c r="AFP143"/>
      <c r="AFQ143"/>
      <c r="AFR143"/>
      <c r="AFS143"/>
      <c r="AFT143"/>
      <c r="AFU143"/>
      <c r="AFV143"/>
      <c r="AFW143"/>
      <c r="AFX143"/>
      <c r="AFY143"/>
      <c r="AFZ143"/>
      <c r="AGA143"/>
      <c r="AGB143"/>
      <c r="AGC143"/>
      <c r="AGD143"/>
      <c r="AGE143"/>
      <c r="AGF143"/>
      <c r="AGG143"/>
      <c r="AGH143"/>
      <c r="AGI143"/>
      <c r="AGJ143"/>
      <c r="AGK143"/>
      <c r="AGL143"/>
      <c r="AGM143"/>
      <c r="AGN143"/>
      <c r="AGO143"/>
      <c r="AGP143"/>
      <c r="AGQ143"/>
      <c r="AGR143"/>
      <c r="AGS143"/>
      <c r="AGT143"/>
      <c r="AGU143"/>
      <c r="AGV143"/>
      <c r="AGW143"/>
      <c r="AGX143"/>
      <c r="AGY143"/>
      <c r="AGZ143"/>
      <c r="AHA143"/>
      <c r="AHB143"/>
      <c r="AHC143"/>
      <c r="AHD143"/>
      <c r="AHE143"/>
      <c r="AHF143"/>
      <c r="AHG143"/>
      <c r="AHH143"/>
      <c r="AHI143"/>
      <c r="AHJ143"/>
      <c r="AHK143"/>
      <c r="AHL143"/>
      <c r="AHM143"/>
      <c r="AHN143"/>
      <c r="AHO143"/>
      <c r="AHP143"/>
      <c r="AHQ143"/>
      <c r="AHR143"/>
      <c r="AHS143"/>
      <c r="AHT143"/>
      <c r="AHU143"/>
      <c r="AHV143"/>
      <c r="AHW143"/>
      <c r="AHX143"/>
      <c r="AHY143"/>
      <c r="AHZ143"/>
      <c r="AIA143"/>
      <c r="AIB143"/>
      <c r="AIC143"/>
      <c r="AID143"/>
      <c r="AIE143"/>
      <c r="AIF143"/>
      <c r="AIG143"/>
      <c r="AIH143"/>
      <c r="AII143"/>
      <c r="AIJ143"/>
      <c r="AIK143"/>
      <c r="AIL143"/>
      <c r="AIM143"/>
      <c r="AIN143"/>
      <c r="AIO143"/>
      <c r="AIP143"/>
      <c r="AIQ143"/>
      <c r="AIR143"/>
      <c r="AIS143"/>
      <c r="AIT143"/>
      <c r="AIU143"/>
      <c r="AIV143"/>
      <c r="AIW143"/>
      <c r="AIX143"/>
      <c r="AIY143"/>
      <c r="AIZ143"/>
      <c r="AJA143"/>
      <c r="AJB143"/>
      <c r="AJC143"/>
      <c r="AJD143"/>
      <c r="AJE143"/>
      <c r="AJF143"/>
      <c r="AJG143"/>
      <c r="AJH143"/>
      <c r="AJI143"/>
      <c r="AJJ143"/>
      <c r="AJK143"/>
      <c r="AJL143"/>
      <c r="AJM143"/>
      <c r="AJN143"/>
      <c r="AJO143"/>
      <c r="AJP143"/>
      <c r="AJQ143"/>
      <c r="AJR143"/>
      <c r="AJS143"/>
      <c r="AJT143"/>
      <c r="AJU143"/>
      <c r="AJV143"/>
      <c r="AJW143"/>
      <c r="AJX143"/>
      <c r="AJY143"/>
      <c r="AJZ143"/>
      <c r="AKA143"/>
      <c r="AKB143"/>
      <c r="AKC143"/>
      <c r="AKD143"/>
      <c r="AKE143"/>
      <c r="AKF143"/>
      <c r="AKG143"/>
      <c r="AKH143"/>
      <c r="AKI143"/>
      <c r="AKJ143"/>
      <c r="AKK143"/>
      <c r="AKL143"/>
      <c r="AKM143"/>
      <c r="AKN143"/>
      <c r="AKO143"/>
      <c r="AKP143"/>
      <c r="AKQ143"/>
      <c r="AKR143"/>
      <c r="AKS143"/>
      <c r="AKT143"/>
      <c r="AKU143"/>
      <c r="AKV143"/>
      <c r="AKW143"/>
      <c r="AKX143"/>
      <c r="AKY143"/>
      <c r="AKZ143"/>
      <c r="ALA143"/>
      <c r="ALB143"/>
      <c r="ALC143"/>
      <c r="ALD143"/>
      <c r="ALE143"/>
      <c r="ALF143"/>
      <c r="ALG143"/>
      <c r="ALH143"/>
      <c r="ALI143"/>
      <c r="ALJ143"/>
      <c r="ALK143"/>
      <c r="ALL143"/>
      <c r="ALM143"/>
      <c r="ALN143"/>
      <c r="ALO143"/>
      <c r="ALP143"/>
      <c r="ALQ143"/>
      <c r="ALR143"/>
      <c r="ALS143"/>
      <c r="ALT143"/>
      <c r="ALU143"/>
      <c r="ALV143"/>
      <c r="ALW143"/>
      <c r="ALX143"/>
      <c r="ALY143"/>
      <c r="ALZ143"/>
      <c r="AMA143"/>
      <c r="AMB143"/>
      <c r="AMC143"/>
      <c r="AMD143"/>
      <c r="AME143"/>
      <c r="AMF143"/>
      <c r="AMG143"/>
      <c r="AMH143"/>
      <c r="AMI143"/>
      <c r="AMJ143"/>
    </row>
    <row r="144" spans="1:1025" ht="15" thickBot="1" x14ac:dyDescent="0.25">
      <c r="A144" s="56"/>
      <c r="B144" s="57"/>
      <c r="C144" s="57"/>
      <c r="D144" s="57"/>
      <c r="E144" s="57"/>
      <c r="F144" s="57"/>
      <c r="G144" s="57"/>
      <c r="H144" s="57"/>
      <c r="I144" s="889"/>
      <c r="J144" s="889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  <c r="ABW144"/>
      <c r="ABX144"/>
      <c r="ABY144"/>
      <c r="ABZ144"/>
      <c r="ACA144"/>
      <c r="ACB144"/>
      <c r="ACC144"/>
      <c r="ACD144"/>
      <c r="ACE144"/>
      <c r="ACF144"/>
      <c r="ACG144"/>
      <c r="ACH144"/>
      <c r="ACI144"/>
      <c r="ACJ144"/>
      <c r="ACK144"/>
      <c r="ACL144"/>
      <c r="ACM144"/>
      <c r="ACN144"/>
      <c r="ACO144"/>
      <c r="ACP144"/>
      <c r="ACQ144"/>
      <c r="ACR144"/>
      <c r="ACS144"/>
      <c r="ACT144"/>
      <c r="ACU144"/>
      <c r="ACV144"/>
      <c r="ACW144"/>
      <c r="ACX144"/>
      <c r="ACY144"/>
      <c r="ACZ144"/>
      <c r="ADA144"/>
      <c r="ADB144"/>
      <c r="ADC144"/>
      <c r="ADD144"/>
      <c r="ADE144"/>
      <c r="ADF144"/>
      <c r="ADG144"/>
      <c r="ADH144"/>
      <c r="ADI144"/>
      <c r="ADJ144"/>
      <c r="ADK144"/>
      <c r="ADL144"/>
      <c r="ADM144"/>
      <c r="ADN144"/>
      <c r="ADO144"/>
      <c r="ADP144"/>
      <c r="ADQ144"/>
      <c r="ADR144"/>
      <c r="ADS144"/>
      <c r="ADT144"/>
      <c r="ADU144"/>
      <c r="ADV144"/>
      <c r="ADW144"/>
      <c r="ADX144"/>
      <c r="ADY144"/>
      <c r="ADZ144"/>
      <c r="AEA144"/>
      <c r="AEB144"/>
      <c r="AEC144"/>
      <c r="AED144"/>
      <c r="AEE144"/>
      <c r="AEF144"/>
      <c r="AEG144"/>
      <c r="AEH144"/>
      <c r="AEI144"/>
      <c r="AEJ144"/>
      <c r="AEK144"/>
      <c r="AEL144"/>
      <c r="AEM144"/>
      <c r="AEN144"/>
      <c r="AEO144"/>
      <c r="AEP144"/>
      <c r="AEQ144"/>
      <c r="AER144"/>
      <c r="AES144"/>
      <c r="AET144"/>
      <c r="AEU144"/>
      <c r="AEV144"/>
      <c r="AEW144"/>
      <c r="AEX144"/>
      <c r="AEY144"/>
      <c r="AEZ144"/>
      <c r="AFA144"/>
      <c r="AFB144"/>
      <c r="AFC144"/>
      <c r="AFD144"/>
      <c r="AFE144"/>
      <c r="AFF144"/>
      <c r="AFG144"/>
      <c r="AFH144"/>
      <c r="AFI144"/>
      <c r="AFJ144"/>
      <c r="AFK144"/>
      <c r="AFL144"/>
      <c r="AFM144"/>
      <c r="AFN144"/>
      <c r="AFO144"/>
      <c r="AFP144"/>
      <c r="AFQ144"/>
      <c r="AFR144"/>
      <c r="AFS144"/>
      <c r="AFT144"/>
      <c r="AFU144"/>
      <c r="AFV144"/>
      <c r="AFW144"/>
      <c r="AFX144"/>
      <c r="AFY144"/>
      <c r="AFZ144"/>
      <c r="AGA144"/>
      <c r="AGB144"/>
      <c r="AGC144"/>
      <c r="AGD144"/>
      <c r="AGE144"/>
      <c r="AGF144"/>
      <c r="AGG144"/>
      <c r="AGH144"/>
      <c r="AGI144"/>
      <c r="AGJ144"/>
      <c r="AGK144"/>
      <c r="AGL144"/>
      <c r="AGM144"/>
      <c r="AGN144"/>
      <c r="AGO144"/>
      <c r="AGP144"/>
      <c r="AGQ144"/>
      <c r="AGR144"/>
      <c r="AGS144"/>
      <c r="AGT144"/>
      <c r="AGU144"/>
      <c r="AGV144"/>
      <c r="AGW144"/>
      <c r="AGX144"/>
      <c r="AGY144"/>
      <c r="AGZ144"/>
      <c r="AHA144"/>
      <c r="AHB144"/>
      <c r="AHC144"/>
      <c r="AHD144"/>
      <c r="AHE144"/>
      <c r="AHF144"/>
      <c r="AHG144"/>
      <c r="AHH144"/>
      <c r="AHI144"/>
      <c r="AHJ144"/>
      <c r="AHK144"/>
      <c r="AHL144"/>
      <c r="AHM144"/>
      <c r="AHN144"/>
      <c r="AHO144"/>
      <c r="AHP144"/>
      <c r="AHQ144"/>
      <c r="AHR144"/>
      <c r="AHS144"/>
      <c r="AHT144"/>
      <c r="AHU144"/>
      <c r="AHV144"/>
      <c r="AHW144"/>
      <c r="AHX144"/>
      <c r="AHY144"/>
      <c r="AHZ144"/>
      <c r="AIA144"/>
      <c r="AIB144"/>
      <c r="AIC144"/>
      <c r="AID144"/>
      <c r="AIE144"/>
      <c r="AIF144"/>
      <c r="AIG144"/>
      <c r="AIH144"/>
      <c r="AII144"/>
      <c r="AIJ144"/>
      <c r="AIK144"/>
      <c r="AIL144"/>
      <c r="AIM144"/>
      <c r="AIN144"/>
      <c r="AIO144"/>
      <c r="AIP144"/>
      <c r="AIQ144"/>
      <c r="AIR144"/>
      <c r="AIS144"/>
      <c r="AIT144"/>
      <c r="AIU144"/>
      <c r="AIV144"/>
      <c r="AIW144"/>
      <c r="AIX144"/>
      <c r="AIY144"/>
      <c r="AIZ144"/>
      <c r="AJA144"/>
      <c r="AJB144"/>
      <c r="AJC144"/>
      <c r="AJD144"/>
      <c r="AJE144"/>
      <c r="AJF144"/>
      <c r="AJG144"/>
      <c r="AJH144"/>
      <c r="AJI144"/>
      <c r="AJJ144"/>
      <c r="AJK144"/>
      <c r="AJL144"/>
      <c r="AJM144"/>
      <c r="AJN144"/>
      <c r="AJO144"/>
      <c r="AJP144"/>
      <c r="AJQ144"/>
      <c r="AJR144"/>
      <c r="AJS144"/>
      <c r="AJT144"/>
      <c r="AJU144"/>
      <c r="AJV144"/>
      <c r="AJW144"/>
      <c r="AJX144"/>
      <c r="AJY144"/>
      <c r="AJZ144"/>
      <c r="AKA144"/>
      <c r="AKB144"/>
      <c r="AKC144"/>
      <c r="AKD144"/>
      <c r="AKE144"/>
      <c r="AKF144"/>
      <c r="AKG144"/>
      <c r="AKH144"/>
      <c r="AKI144"/>
      <c r="AKJ144"/>
      <c r="AKK144"/>
      <c r="AKL144"/>
      <c r="AKM144"/>
      <c r="AKN144"/>
      <c r="AKO144"/>
      <c r="AKP144"/>
      <c r="AKQ144"/>
      <c r="AKR144"/>
      <c r="AKS144"/>
      <c r="AKT144"/>
      <c r="AKU144"/>
      <c r="AKV144"/>
      <c r="AKW144"/>
      <c r="AKX144"/>
      <c r="AKY144"/>
      <c r="AKZ144"/>
      <c r="ALA144"/>
      <c r="ALB144"/>
      <c r="ALC144"/>
      <c r="ALD144"/>
      <c r="ALE144"/>
      <c r="ALF144"/>
      <c r="ALG144"/>
      <c r="ALH144"/>
      <c r="ALI144"/>
      <c r="ALJ144"/>
      <c r="ALK144"/>
      <c r="ALL144"/>
      <c r="ALM144"/>
      <c r="ALN144"/>
      <c r="ALO144"/>
      <c r="ALP144"/>
      <c r="ALQ144"/>
      <c r="ALR144"/>
      <c r="ALS144"/>
      <c r="ALT144"/>
      <c r="ALU144"/>
      <c r="ALV144"/>
      <c r="ALW144"/>
      <c r="ALX144"/>
      <c r="ALY144"/>
      <c r="ALZ144"/>
      <c r="AMA144"/>
      <c r="AMB144"/>
      <c r="AMC144"/>
      <c r="AMD144"/>
      <c r="AME144"/>
      <c r="AMF144"/>
      <c r="AMG144"/>
      <c r="AMH144"/>
      <c r="AMI144"/>
      <c r="AMJ144"/>
    </row>
    <row r="145" spans="1:10" ht="20.25" customHeight="1" thickBot="1" x14ac:dyDescent="0.25">
      <c r="A145" s="972" t="s">
        <v>329</v>
      </c>
      <c r="B145" s="972"/>
      <c r="C145" s="972"/>
      <c r="D145" s="972"/>
      <c r="E145" s="972"/>
      <c r="F145" s="972"/>
      <c r="G145" s="972"/>
      <c r="H145" s="893">
        <f>SUM(H146:H146)</f>
        <v>0</v>
      </c>
      <c r="I145" s="890"/>
      <c r="J145" s="889"/>
    </row>
    <row r="146" spans="1:10" ht="15" customHeight="1" thickBot="1" x14ac:dyDescent="0.25">
      <c r="A146" s="88" t="s">
        <v>330</v>
      </c>
      <c r="B146" s="89" t="s">
        <v>164</v>
      </c>
      <c r="C146" s="89">
        <v>1</v>
      </c>
      <c r="D146" s="964"/>
      <c r="E146" s="965"/>
      <c r="F146" s="965"/>
      <c r="G146" s="966"/>
      <c r="H146" s="90">
        <f>D146</f>
        <v>0</v>
      </c>
      <c r="I146" s="891"/>
      <c r="J146" s="889"/>
    </row>
    <row r="147" spans="1:10" x14ac:dyDescent="0.2">
      <c r="A147"/>
      <c r="B147"/>
      <c r="C147"/>
      <c r="D147"/>
      <c r="E147"/>
      <c r="F147"/>
      <c r="G147"/>
      <c r="H147"/>
      <c r="I147" s="892"/>
      <c r="J147" s="892"/>
    </row>
  </sheetData>
  <mergeCells count="27">
    <mergeCell ref="A122:G122"/>
    <mergeCell ref="A135:F135"/>
    <mergeCell ref="B136:F136"/>
    <mergeCell ref="B137:F137"/>
    <mergeCell ref="A145:G145"/>
    <mergeCell ref="A129:G129"/>
    <mergeCell ref="D146:G146"/>
    <mergeCell ref="B143:F143"/>
    <mergeCell ref="B138:F138"/>
    <mergeCell ref="B139:F139"/>
    <mergeCell ref="B140:F140"/>
    <mergeCell ref="B141:F141"/>
    <mergeCell ref="B142:F142"/>
    <mergeCell ref="A58:F58"/>
    <mergeCell ref="A59:F59"/>
    <mergeCell ref="A61:H61"/>
    <mergeCell ref="A85:K85"/>
    <mergeCell ref="A97:G97"/>
    <mergeCell ref="A98:E98"/>
    <mergeCell ref="A69:F69"/>
    <mergeCell ref="A99:G99"/>
    <mergeCell ref="A120:I120"/>
    <mergeCell ref="A103:G103"/>
    <mergeCell ref="A105:F105"/>
    <mergeCell ref="A112:F112"/>
    <mergeCell ref="A117:F117"/>
    <mergeCell ref="A118:F118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000"/>
  </sheetPr>
  <dimension ref="A1:AMA1048576"/>
  <sheetViews>
    <sheetView showGridLines="0" zoomScale="80" zoomScaleNormal="80" workbookViewId="0">
      <pane xSplit="4" ySplit="5" topLeftCell="G12" activePane="bottomRight" state="frozen"/>
      <selection pane="topRight"/>
      <selection pane="bottomLeft"/>
      <selection pane="bottomRight" activeCell="H47" sqref="H47"/>
    </sheetView>
  </sheetViews>
  <sheetFormatPr defaultRowHeight="14.25" x14ac:dyDescent="0.2"/>
  <cols>
    <col min="1" max="1" width="27.5" customWidth="1"/>
    <col min="2" max="2" width="34.125" customWidth="1"/>
    <col min="3" max="3" width="17.25" customWidth="1"/>
    <col min="6" max="6" width="8"/>
    <col min="7" max="7" width="8.5"/>
    <col min="8" max="8" width="6.625"/>
    <col min="9" max="9" width="7.875"/>
    <col min="10" max="10" width="7.375"/>
    <col min="11" max="11" width="9.25"/>
    <col min="12" max="12" width="7"/>
    <col min="13" max="13" width="8.25"/>
    <col min="14" max="14" width="6.25"/>
    <col min="15" max="15" width="7.5"/>
    <col min="16" max="16" width="7.375"/>
    <col min="17" max="17" width="8.625"/>
    <col min="18" max="18" width="6.875"/>
    <col min="19" max="19" width="7.5"/>
    <col min="20" max="20" width="7.375"/>
    <col min="21" max="21" width="7.5"/>
    <col min="22" max="22" width="7"/>
    <col min="23" max="23" width="8.875"/>
    <col min="24" max="24" width="7.25"/>
    <col min="25" max="25" width="12.375"/>
    <col min="26" max="27" width="11.5" customWidth="1"/>
    <col min="28" max="28" width="13.375"/>
    <col min="29" max="29" width="12.625"/>
    <col min="30" max="30" width="13.125" bestFit="1" customWidth="1"/>
    <col min="31" max="1016" width="10.625"/>
    <col min="16377" max="16384" width="8" customWidth="1"/>
  </cols>
  <sheetData>
    <row r="1" spans="1:29" ht="23.25" x14ac:dyDescent="0.2">
      <c r="A1" s="1009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</row>
    <row r="2" spans="1:29" ht="15" customHeight="1" x14ac:dyDescent="0.2">
      <c r="A2" s="536"/>
      <c r="B2" s="267"/>
      <c r="C2" s="267"/>
      <c r="D2" s="267"/>
      <c r="E2" s="1010" t="s">
        <v>331</v>
      </c>
      <c r="F2" s="1010"/>
      <c r="G2" s="1010"/>
      <c r="H2" s="1010"/>
      <c r="I2" s="1010"/>
      <c r="J2" s="1010"/>
      <c r="K2" s="1010"/>
      <c r="L2" s="1010"/>
      <c r="M2" s="1011" t="s">
        <v>332</v>
      </c>
      <c r="N2" s="1011"/>
      <c r="O2" s="1011"/>
      <c r="P2" s="1011"/>
      <c r="Q2" s="1011"/>
      <c r="R2" s="1011"/>
      <c r="S2" s="1012" t="s">
        <v>333</v>
      </c>
      <c r="T2" s="1012"/>
      <c r="U2" s="1012"/>
      <c r="V2" s="1012"/>
      <c r="W2" s="1012"/>
      <c r="X2" s="1012"/>
      <c r="Y2" s="155" t="s">
        <v>334</v>
      </c>
      <c r="Z2" s="418" t="s">
        <v>335</v>
      </c>
      <c r="AA2" s="155" t="s">
        <v>336</v>
      </c>
      <c r="AB2" s="155" t="s">
        <v>337</v>
      </c>
      <c r="AC2" s="155" t="s">
        <v>338</v>
      </c>
    </row>
    <row r="3" spans="1:29" ht="59.25" customHeight="1" x14ac:dyDescent="0.2">
      <c r="A3" s="1018" t="s">
        <v>85</v>
      </c>
      <c r="B3" s="1018"/>
      <c r="C3" s="1018"/>
      <c r="D3" s="1015" t="s">
        <v>339</v>
      </c>
      <c r="E3" s="980" t="s">
        <v>340</v>
      </c>
      <c r="F3" s="977"/>
      <c r="G3" s="976" t="s">
        <v>341</v>
      </c>
      <c r="H3" s="977"/>
      <c r="I3" s="976" t="s">
        <v>342</v>
      </c>
      <c r="J3" s="977"/>
      <c r="K3" s="976" t="s">
        <v>343</v>
      </c>
      <c r="L3" s="977"/>
      <c r="M3" s="986" t="s">
        <v>344</v>
      </c>
      <c r="N3" s="987"/>
      <c r="O3" s="990" t="s">
        <v>345</v>
      </c>
      <c r="P3" s="991"/>
      <c r="Q3" s="986" t="s">
        <v>346</v>
      </c>
      <c r="R3" s="987"/>
      <c r="S3" s="982" t="s">
        <v>347</v>
      </c>
      <c r="T3" s="983"/>
      <c r="U3" s="982" t="s">
        <v>348</v>
      </c>
      <c r="V3" s="983"/>
      <c r="W3" s="1000" t="s">
        <v>349</v>
      </c>
      <c r="X3" s="1001"/>
      <c r="Y3" s="998" t="s">
        <v>350</v>
      </c>
      <c r="Z3" s="1021" t="s">
        <v>351</v>
      </c>
      <c r="AA3" s="996" t="s">
        <v>352</v>
      </c>
      <c r="AB3" s="994" t="s">
        <v>353</v>
      </c>
      <c r="AC3" s="1013" t="s">
        <v>354</v>
      </c>
    </row>
    <row r="4" spans="1:29" ht="15" customHeight="1" x14ac:dyDescent="0.2">
      <c r="A4" s="1019"/>
      <c r="B4" s="1019"/>
      <c r="C4" s="1019"/>
      <c r="D4" s="1016"/>
      <c r="E4" s="981"/>
      <c r="F4" s="979"/>
      <c r="G4" s="978"/>
      <c r="H4" s="979"/>
      <c r="I4" s="978"/>
      <c r="J4" s="979"/>
      <c r="K4" s="978"/>
      <c r="L4" s="979"/>
      <c r="M4" s="988"/>
      <c r="N4" s="989"/>
      <c r="O4" s="992"/>
      <c r="P4" s="993"/>
      <c r="Q4" s="988"/>
      <c r="R4" s="989"/>
      <c r="S4" s="984"/>
      <c r="T4" s="985"/>
      <c r="U4" s="984"/>
      <c r="V4" s="985"/>
      <c r="W4" s="1002"/>
      <c r="X4" s="1003"/>
      <c r="Y4" s="999"/>
      <c r="Z4" s="1022"/>
      <c r="AA4" s="997"/>
      <c r="AB4" s="995"/>
      <c r="AC4" s="1014"/>
    </row>
    <row r="5" spans="1:29" ht="24" x14ac:dyDescent="0.2">
      <c r="A5" s="1020"/>
      <c r="B5" s="1020"/>
      <c r="C5" s="1020"/>
      <c r="D5" s="1017"/>
      <c r="E5" s="298" t="s">
        <v>355</v>
      </c>
      <c r="F5" s="299" t="s">
        <v>356</v>
      </c>
      <c r="G5" s="161" t="s">
        <v>355</v>
      </c>
      <c r="H5" s="157" t="s">
        <v>356</v>
      </c>
      <c r="I5" s="161" t="s">
        <v>355</v>
      </c>
      <c r="J5" s="157" t="s">
        <v>356</v>
      </c>
      <c r="K5" s="161" t="s">
        <v>355</v>
      </c>
      <c r="L5" s="157" t="s">
        <v>356</v>
      </c>
      <c r="M5" s="158" t="s">
        <v>355</v>
      </c>
      <c r="N5" s="158" t="s">
        <v>356</v>
      </c>
      <c r="O5" s="158" t="s">
        <v>355</v>
      </c>
      <c r="P5" s="158" t="s">
        <v>356</v>
      </c>
      <c r="Q5" s="158" t="s">
        <v>355</v>
      </c>
      <c r="R5" s="158" t="s">
        <v>356</v>
      </c>
      <c r="S5" s="159" t="s">
        <v>355</v>
      </c>
      <c r="T5" s="159" t="s">
        <v>356</v>
      </c>
      <c r="U5" s="159" t="s">
        <v>355</v>
      </c>
      <c r="V5" s="159" t="s">
        <v>356</v>
      </c>
      <c r="W5" s="159" t="s">
        <v>355</v>
      </c>
      <c r="X5" s="162" t="s">
        <v>356</v>
      </c>
      <c r="Y5" s="344" t="s">
        <v>357</v>
      </c>
      <c r="Z5" s="349" t="s">
        <v>357</v>
      </c>
      <c r="AA5" s="345" t="s">
        <v>357</v>
      </c>
      <c r="AB5" s="163" t="s">
        <v>357</v>
      </c>
      <c r="AC5" s="164" t="s">
        <v>357</v>
      </c>
    </row>
    <row r="6" spans="1:29" ht="20.25" customHeight="1" x14ac:dyDescent="0.2">
      <c r="A6" s="537" t="s">
        <v>86</v>
      </c>
      <c r="B6" s="537" t="s">
        <v>360</v>
      </c>
      <c r="C6" s="537" t="s">
        <v>361</v>
      </c>
      <c r="D6" s="268">
        <f>MC!C73/100</f>
        <v>0</v>
      </c>
      <c r="E6" s="568">
        <f>'Prod. GEXFLO'!C4</f>
        <v>1685.66</v>
      </c>
      <c r="F6" s="295">
        <f>'GEXFLO Limp.Ord.'!F149</f>
        <v>0</v>
      </c>
      <c r="G6" s="297">
        <f>'Prod. GEXFLO'!D4</f>
        <v>0</v>
      </c>
      <c r="H6" s="295">
        <f>'GEXFLO Limp.Ord.'!F155</f>
        <v>0</v>
      </c>
      <c r="I6" s="292">
        <f>'Prod. GEXFLO'!E4</f>
        <v>315.92</v>
      </c>
      <c r="J6" s="293">
        <f>'GEXFLO Limp.Ord.'!F161</f>
        <v>0</v>
      </c>
      <c r="K6" s="292">
        <f>'Prod. GEXFLO'!F4</f>
        <v>140.08000000000001</v>
      </c>
      <c r="L6" s="293">
        <f>'GEXFLO Limp.Ord.'!F167</f>
        <v>0</v>
      </c>
      <c r="M6" s="292">
        <f>'Prod. GEXFLO'!G4</f>
        <v>0</v>
      </c>
      <c r="N6" s="293">
        <f>'GEXFLO Limp.Ord.'!F173</f>
        <v>0</v>
      </c>
      <c r="O6" s="292">
        <f>'Prod. GEXFLO'!H4</f>
        <v>0</v>
      </c>
      <c r="P6" s="293">
        <f>'GEXFLO Limp.Ord.'!F176</f>
        <v>0</v>
      </c>
      <c r="Q6" s="292">
        <f>'Prod. GEXFLO'!I4</f>
        <v>108.55</v>
      </c>
      <c r="R6" s="293">
        <f>'GEXFLO Limp.Ord.'!F179</f>
        <v>0</v>
      </c>
      <c r="S6" s="292">
        <f>'Prod. GEXFLO'!J4</f>
        <v>370.86</v>
      </c>
      <c r="T6" s="295">
        <f>'GEXFLO Limp.Ord.'!F185</f>
        <v>0</v>
      </c>
      <c r="U6" s="525">
        <v>123.07</v>
      </c>
      <c r="V6" s="295">
        <f>'GEXFLO Limp.Ord.'!F188</f>
        <v>0</v>
      </c>
      <c r="W6" s="525">
        <v>493.93</v>
      </c>
      <c r="X6" s="295">
        <f>'GEXFLO Limp.Ord.'!F191</f>
        <v>0</v>
      </c>
      <c r="Y6" s="165">
        <f>(E6*F6)+(G6*H6)+(I6*J6)+(K6*L6)+(M6*N6)+(O6*P6)+(Q6*R6)+(S6*T6)+(U6*V6)+(W6*X6)</f>
        <v>0</v>
      </c>
      <c r="Z6" s="350"/>
      <c r="AA6" s="346">
        <f>'Prod. GEXFLO'!R4*'GEXFLO Limp.Ord.'!C140</f>
        <v>0</v>
      </c>
      <c r="AB6" s="510">
        <f>'Prod. GEXFLO'!S4*'GEXFLO Covid'!C140</f>
        <v>0</v>
      </c>
      <c r="AC6" s="166">
        <f>'Prod. GEXFLO'!T4*MC!C16</f>
        <v>0</v>
      </c>
    </row>
    <row r="7" spans="1:29" x14ac:dyDescent="0.2">
      <c r="A7" s="538" t="s">
        <v>89</v>
      </c>
      <c r="B7" s="538" t="s">
        <v>362</v>
      </c>
      <c r="C7" s="538" t="s">
        <v>363</v>
      </c>
      <c r="D7" s="269">
        <f>MC!C74/100</f>
        <v>0</v>
      </c>
      <c r="E7" s="569">
        <f>'Prod. GEXFLO'!C5</f>
        <v>205.83</v>
      </c>
      <c r="F7" s="296">
        <f>'GEXFLO Limp.Ord.'!L149</f>
        <v>0</v>
      </c>
      <c r="G7" s="297">
        <f>'Prod. GEXFLO'!D5</f>
        <v>0</v>
      </c>
      <c r="H7" s="296">
        <f>'GEXFLO Limp.Ord.'!L155</f>
        <v>0</v>
      </c>
      <c r="I7" s="292">
        <f>'Prod. GEXFLO'!E5</f>
        <v>0</v>
      </c>
      <c r="J7" s="294">
        <f>'GEXFLO Limp.Ord.'!L161</f>
        <v>0</v>
      </c>
      <c r="K7" s="292">
        <f>'Prod. GEXFLO'!F5</f>
        <v>9.8800000000000008</v>
      </c>
      <c r="L7" s="294">
        <f>'GEXFLO Limp.Ord.'!L167</f>
        <v>0</v>
      </c>
      <c r="M7" s="292">
        <f>'Prod. GEXFLO'!G5</f>
        <v>0</v>
      </c>
      <c r="N7" s="294">
        <f>'GEXFLO Limp.Ord.'!L173</f>
        <v>0</v>
      </c>
      <c r="O7" s="292">
        <f>'Prod. GEXFLO'!H5</f>
        <v>0</v>
      </c>
      <c r="P7" s="294">
        <f>'GEXFLO Limp.Ord.'!L176</f>
        <v>0</v>
      </c>
      <c r="Q7" s="292">
        <f>'Prod. GEXFLO'!I5</f>
        <v>76.02</v>
      </c>
      <c r="R7" s="294">
        <f>'GEXFLO Limp.Ord.'!L179</f>
        <v>0</v>
      </c>
      <c r="S7" s="292">
        <f>'Prod. GEXFLO'!J5</f>
        <v>0</v>
      </c>
      <c r="T7" s="296">
        <f>'GEXFLO Limp.Ord.'!L185</f>
        <v>0</v>
      </c>
      <c r="U7" s="525">
        <v>24.99</v>
      </c>
      <c r="V7" s="296">
        <f>'GEXFLO Limp.Ord.'!L188</f>
        <v>0</v>
      </c>
      <c r="W7" s="525">
        <v>24.99</v>
      </c>
      <c r="X7" s="296">
        <f>'GEXFLO Limp.Ord.'!L191</f>
        <v>0</v>
      </c>
      <c r="Y7" s="167">
        <f>(E7*F7)+(G7*H7)+(I7*J7)+(K7*L7)+(M7*N7)+(O7*P7)+(Q7*R7)+(S7*T7)+(U7*V7)+(W7*X7)</f>
        <v>0</v>
      </c>
      <c r="Z7" s="350"/>
      <c r="AA7" s="347">
        <f>'Prod. GEXFLO'!R5*'GEXFLO Limp.Ord.'!C143</f>
        <v>0</v>
      </c>
      <c r="AB7" s="510">
        <f>'Prod. GEXFLO'!S5*'GEXFLO Covid'!C143</f>
        <v>0</v>
      </c>
      <c r="AC7" s="168"/>
    </row>
    <row r="8" spans="1:29" x14ac:dyDescent="0.2">
      <c r="A8" s="538" t="s">
        <v>92</v>
      </c>
      <c r="B8" s="538" t="s">
        <v>364</v>
      </c>
      <c r="C8" s="538" t="s">
        <v>365</v>
      </c>
      <c r="D8" s="269">
        <f>MC!C75/100</f>
        <v>0</v>
      </c>
      <c r="E8" s="569">
        <f>'Prod. GEXFLO'!C6</f>
        <v>303.05</v>
      </c>
      <c r="F8" s="296">
        <f>'GEXFLO Limp.Ord.'!H149</f>
        <v>0</v>
      </c>
      <c r="G8" s="297">
        <f>'Prod. GEXFLO'!D6</f>
        <v>0</v>
      </c>
      <c r="H8" s="296">
        <f>'GEXFLO Limp.Ord.'!H155</f>
        <v>0</v>
      </c>
      <c r="I8" s="292">
        <f>'Prod. GEXFLO'!E6</f>
        <v>17.329999999999998</v>
      </c>
      <c r="J8" s="294">
        <f>'GEXFLO Limp.Ord.'!H161</f>
        <v>0</v>
      </c>
      <c r="K8" s="292">
        <f>'Prod. GEXFLO'!F6</f>
        <v>17.88</v>
      </c>
      <c r="L8" s="294">
        <f>'GEXFLO Limp.Ord.'!H167</f>
        <v>0</v>
      </c>
      <c r="M8" s="292">
        <f>'Prod. GEXFLO'!G6</f>
        <v>153.11000000000001</v>
      </c>
      <c r="N8" s="294">
        <f>'GEXFLO Limp.Ord.'!H173</f>
        <v>0</v>
      </c>
      <c r="O8" s="292">
        <f>'Prod. GEXFLO'!H6</f>
        <v>40.53</v>
      </c>
      <c r="P8" s="294">
        <f>'GEXFLO Limp.Ord.'!H176</f>
        <v>0</v>
      </c>
      <c r="Q8" s="292">
        <f>'Prod. GEXFLO'!I6</f>
        <v>25.8</v>
      </c>
      <c r="R8" s="294">
        <f>'GEXFLO Limp.Ord.'!H179</f>
        <v>0</v>
      </c>
      <c r="S8" s="292">
        <f>'Prod. GEXFLO'!J6</f>
        <v>0</v>
      </c>
      <c r="T8" s="296">
        <f>'GEXFLO Limp.Ord.'!H185</f>
        <v>0</v>
      </c>
      <c r="U8" s="525">
        <v>54.06</v>
      </c>
      <c r="V8" s="296">
        <f>'GEXFLO Limp.Ord.'!H188</f>
        <v>0</v>
      </c>
      <c r="W8" s="525">
        <v>54.06</v>
      </c>
      <c r="X8" s="296">
        <f>'GEXFLO Limp.Ord.'!H191</f>
        <v>0</v>
      </c>
      <c r="Y8" s="167">
        <f>(E8*F8)+(G8*H8)+(I8*J8)+(K8*L8)+(M8*N8)+(O8*P8)+(Q8*R8)+(S8*T8)+(U8*V8)+(W8*X8)</f>
        <v>0</v>
      </c>
      <c r="Z8" s="350">
        <f>'Prod. GEXFLO'!Q6*'GEXFLO Covid'!C136</f>
        <v>0</v>
      </c>
      <c r="AA8" s="347">
        <f>'Prod. GEXFLO'!R6*'GEXFLO Limp.Ord.'!C141</f>
        <v>0</v>
      </c>
      <c r="AB8" s="510">
        <f>'Prod. GEXFLO'!S6*'GEXFLO Covid'!C141</f>
        <v>0</v>
      </c>
      <c r="AC8" s="168"/>
    </row>
    <row r="9" spans="1:29" x14ac:dyDescent="0.2">
      <c r="A9" s="538" t="s">
        <v>95</v>
      </c>
      <c r="B9" s="538" t="s">
        <v>366</v>
      </c>
      <c r="C9" s="538" t="s">
        <v>367</v>
      </c>
      <c r="D9" s="269">
        <f>MC!C76/100</f>
        <v>0</v>
      </c>
      <c r="E9" s="569">
        <f>'Prod. GEXFLO'!C7</f>
        <v>1603.29</v>
      </c>
      <c r="F9" s="296">
        <f>'GEXFLO Limp.Ord.'!L149</f>
        <v>0</v>
      </c>
      <c r="G9" s="297">
        <f>'Prod. GEXFLO'!D7</f>
        <v>0</v>
      </c>
      <c r="H9" s="296">
        <f>'GEXFLO Limp.Ord.'!L155</f>
        <v>0</v>
      </c>
      <c r="I9" s="292">
        <f>'Prod. GEXFLO'!E7</f>
        <v>31.66</v>
      </c>
      <c r="J9" s="294">
        <f>'GEXFLO Limp.Ord.'!L161</f>
        <v>0</v>
      </c>
      <c r="K9" s="292">
        <f>'Prod. GEXFLO'!F7</f>
        <v>54.3</v>
      </c>
      <c r="L9" s="294">
        <f>'GEXFLO Limp.Ord.'!L167</f>
        <v>0</v>
      </c>
      <c r="M9" s="292">
        <f>'Prod. GEXFLO'!G7</f>
        <v>253.11</v>
      </c>
      <c r="N9" s="294">
        <f>'GEXFLO Limp.Ord.'!L173</f>
        <v>0</v>
      </c>
      <c r="O9" s="292">
        <f>'Prod. GEXFLO'!H7</f>
        <v>610.95000000000005</v>
      </c>
      <c r="P9" s="294">
        <f>'GEXFLO Limp.Ord.'!L176</f>
        <v>0</v>
      </c>
      <c r="Q9" s="292">
        <f>'Prod. GEXFLO'!I7</f>
        <v>205.15</v>
      </c>
      <c r="R9" s="294">
        <f>'GEXFLO Limp.Ord.'!L179</f>
        <v>0</v>
      </c>
      <c r="S9" s="292">
        <f>'Prod. GEXFLO'!J7</f>
        <v>0</v>
      </c>
      <c r="T9" s="296">
        <f>'GEXFLO Limp.Ord.'!L185</f>
        <v>0</v>
      </c>
      <c r="U9" s="525">
        <v>365.74</v>
      </c>
      <c r="V9" s="296">
        <f>'GEXFLO Limp.Ord.'!L188</f>
        <v>0</v>
      </c>
      <c r="W9" s="525">
        <v>365.74</v>
      </c>
      <c r="X9" s="296">
        <f>'GEXFLO Limp.Ord.'!L191</f>
        <v>0</v>
      </c>
      <c r="Y9" s="167">
        <f>(E9*F9)+(G9*H9)+(I9*J9)+(K9*L9)+(M9*N9)+(O9*P9)+(Q9*R9)+(S9*T9)+(U9*V9)+(W9*X9)</f>
        <v>0</v>
      </c>
      <c r="Z9" s="350">
        <f>'Prod. GEXFLO'!P7*'GEXFLO Covid'!D138</f>
        <v>0</v>
      </c>
      <c r="AA9" s="347">
        <f>'Prod. GEXFLO'!R7*'GEXFLO Limp.Ord.'!C143</f>
        <v>0</v>
      </c>
      <c r="AB9" s="510">
        <f>'Prod. GEXFLO'!S7*'GEXFLO Covid'!C143</f>
        <v>0</v>
      </c>
      <c r="AC9" s="168"/>
    </row>
    <row r="10" spans="1:29" x14ac:dyDescent="0.2">
      <c r="A10" s="538" t="s">
        <v>98</v>
      </c>
      <c r="B10" s="538" t="s">
        <v>360</v>
      </c>
      <c r="C10" s="538" t="s">
        <v>361</v>
      </c>
      <c r="D10" s="269">
        <f>MC!C77/100</f>
        <v>0</v>
      </c>
      <c r="E10" s="569">
        <f>'Prod. GEXFLO'!C8</f>
        <v>924.57</v>
      </c>
      <c r="F10" s="296">
        <f>'GEXFLO Limp.Ord.'!F149</f>
        <v>0</v>
      </c>
      <c r="G10" s="297">
        <f>'Prod. GEXFLO'!D8</f>
        <v>0</v>
      </c>
      <c r="H10" s="296">
        <f>'GEXFLO Limp.Ord.'!F155</f>
        <v>0</v>
      </c>
      <c r="I10" s="292">
        <f>'Prod. GEXFLO'!E8</f>
        <v>0</v>
      </c>
      <c r="J10" s="294">
        <f>'GEXFLO Limp.Ord.'!F161</f>
        <v>0</v>
      </c>
      <c r="K10" s="292">
        <f>'Prod. GEXFLO'!F8</f>
        <v>89.18</v>
      </c>
      <c r="L10" s="294">
        <f>'GEXFLO Limp.Ord.'!F167</f>
        <v>0</v>
      </c>
      <c r="M10" s="292">
        <f>'Prod. GEXFLO'!G8</f>
        <v>0</v>
      </c>
      <c r="N10" s="294">
        <f>'GEXFLO Limp.Ord.'!F173</f>
        <v>0</v>
      </c>
      <c r="O10" s="292">
        <f>'Prod. GEXFLO'!H8</f>
        <v>0</v>
      </c>
      <c r="P10" s="294">
        <f>'GEXFLO Limp.Ord.'!F176</f>
        <v>0</v>
      </c>
      <c r="Q10" s="292">
        <f>'Prod. GEXFLO'!I8</f>
        <v>0</v>
      </c>
      <c r="R10" s="294">
        <f>'GEXFLO Limp.Ord.'!F179</f>
        <v>0</v>
      </c>
      <c r="S10" s="292">
        <f>'Prod. GEXFLO'!J8</f>
        <v>109.56000000000002</v>
      </c>
      <c r="T10" s="296">
        <f>'GEXFLO Limp.Ord.'!F185</f>
        <v>0</v>
      </c>
      <c r="U10" s="525">
        <v>93.49</v>
      </c>
      <c r="V10" s="296">
        <f>'GEXFLO Limp.Ord.'!F188</f>
        <v>0</v>
      </c>
      <c r="W10" s="525">
        <v>203.05</v>
      </c>
      <c r="X10" s="296">
        <f>'GEXFLO Limp.Ord.'!F191</f>
        <v>0</v>
      </c>
      <c r="Y10" s="167">
        <f>(E10*F10)+(G10*H10)+(I10*J10)+(K10*L10)+(M10*N10)+(O10*P10)+(Q10*R10)+(S10*T10)+(U10*V10)+(W10*X10)</f>
        <v>0</v>
      </c>
      <c r="Z10" s="350">
        <f>'Prod. GEXFLO'!Q8*'GEXFLO Covid'!C135</f>
        <v>0</v>
      </c>
      <c r="AA10" s="347">
        <f>'Prod. GEXFLO'!R8*'GEXFLO Limp.Ord.'!C140</f>
        <v>0</v>
      </c>
      <c r="AB10" s="510">
        <f>'Prod. GEXFLO'!S8*'GEXFLO Covid'!C140</f>
        <v>0</v>
      </c>
      <c r="AC10" s="168"/>
    </row>
    <row r="11" spans="1:29" x14ac:dyDescent="0.2">
      <c r="A11" s="538" t="s">
        <v>101</v>
      </c>
      <c r="B11" s="538" t="s">
        <v>368</v>
      </c>
      <c r="C11" s="538" t="s">
        <v>361</v>
      </c>
      <c r="D11" s="269">
        <f>MC!C78/100</f>
        <v>0</v>
      </c>
      <c r="E11" s="569">
        <f>'Prod. GEXFLO'!C9</f>
        <v>0</v>
      </c>
      <c r="F11" s="296">
        <f>'GEXFLO Limp.Ord.'!F149</f>
        <v>0</v>
      </c>
      <c r="G11" s="297">
        <f>'Prod. GEXFLO'!D9</f>
        <v>733.24</v>
      </c>
      <c r="H11" s="296">
        <f>'GEXFLO Limp.Ord.'!F155</f>
        <v>0</v>
      </c>
      <c r="I11" s="292">
        <f>'Prod. GEXFLO'!E9</f>
        <v>2021.22</v>
      </c>
      <c r="J11" s="294">
        <f>'GEXFLO Limp.Ord.'!F161</f>
        <v>0</v>
      </c>
      <c r="K11" s="292">
        <f>'Prod. GEXFLO'!F9</f>
        <v>188.52</v>
      </c>
      <c r="L11" s="294">
        <f>'GEXFLO Limp.Ord.'!F167</f>
        <v>0</v>
      </c>
      <c r="M11" s="292">
        <f>'Prod. GEXFLO'!G9</f>
        <v>2104.21</v>
      </c>
      <c r="N11" s="294">
        <f>'GEXFLO Limp.Ord.'!F173</f>
        <v>0</v>
      </c>
      <c r="O11" s="292">
        <f>'Prod. GEXFLO'!H9</f>
        <v>1082.81</v>
      </c>
      <c r="P11" s="294">
        <f>'GEXFLO Limp.Ord.'!F176</f>
        <v>0</v>
      </c>
      <c r="Q11" s="292">
        <f>'Prod. GEXFLO'!I9</f>
        <v>1235.71</v>
      </c>
      <c r="R11" s="294">
        <f>'GEXFLO Limp.Ord.'!F179</f>
        <v>0</v>
      </c>
      <c r="S11" s="292">
        <f>'Prod. GEXFLO'!J9</f>
        <v>98.139999999999986</v>
      </c>
      <c r="T11" s="296">
        <f>'GEXFLO Limp.Ord.'!F185</f>
        <v>0</v>
      </c>
      <c r="U11" s="525">
        <v>651.53</v>
      </c>
      <c r="V11" s="296">
        <f>'GEXFLO Limp.Ord.'!F188</f>
        <v>0</v>
      </c>
      <c r="W11" s="525">
        <v>749.67</v>
      </c>
      <c r="X11" s="296">
        <f>'GEXFLO Limp.Ord.'!F191</f>
        <v>0</v>
      </c>
      <c r="Y11" s="167">
        <f t="shared" ref="Y11:Y23" si="0">(E11*F11)+(G11*H11)+(I11*J11)+(K11*L11)+(M11*N11)+(O11*P11)+(Q11*R11)+(S11*T11)+(U11*V11)+(W11*X11)</f>
        <v>0</v>
      </c>
      <c r="Z11" s="350"/>
      <c r="AA11" s="347">
        <f>'Prod. GEXFLO'!R9*'GEXFLO Limp.Ord.'!C140</f>
        <v>0</v>
      </c>
      <c r="AB11" s="510">
        <f>'Prod. GEXFLO'!S9*'GEXFLO Covid'!C140</f>
        <v>0</v>
      </c>
      <c r="AC11" s="168"/>
    </row>
    <row r="12" spans="1:29" x14ac:dyDescent="0.2">
      <c r="A12" s="538" t="s">
        <v>104</v>
      </c>
      <c r="B12" s="538" t="s">
        <v>369</v>
      </c>
      <c r="C12" s="538" t="s">
        <v>370</v>
      </c>
      <c r="D12" s="269">
        <f>MC!C79/100</f>
        <v>0</v>
      </c>
      <c r="E12" s="569">
        <f>'Prod. GEXFLO'!C10</f>
        <v>404.33</v>
      </c>
      <c r="F12" s="296">
        <f>'GEXFLO Limp.Ord.'!L149</f>
        <v>0</v>
      </c>
      <c r="G12" s="297">
        <f>'Prod. GEXFLO'!D10</f>
        <v>0</v>
      </c>
      <c r="H12" s="296">
        <f>'GEXFLO Limp.Ord.'!L155</f>
        <v>0</v>
      </c>
      <c r="I12" s="292">
        <f>'Prod. GEXFLO'!E10</f>
        <v>0</v>
      </c>
      <c r="J12" s="294">
        <f>'GEXFLO Limp.Ord.'!L161</f>
        <v>0</v>
      </c>
      <c r="K12" s="292">
        <f>'Prod. GEXFLO'!F10</f>
        <v>20.97</v>
      </c>
      <c r="L12" s="294">
        <f>'GEXFLO Limp.Ord.'!L167</f>
        <v>0</v>
      </c>
      <c r="M12" s="292">
        <f>'Prod. GEXFLO'!G10</f>
        <v>16.059999999999999</v>
      </c>
      <c r="N12" s="294">
        <f>'GEXFLO Limp.Ord.'!L173</f>
        <v>0</v>
      </c>
      <c r="O12" s="292">
        <f>'Prod. GEXFLO'!H10</f>
        <v>0</v>
      </c>
      <c r="P12" s="294">
        <f>'GEXFLO Limp.Ord.'!L176</f>
        <v>0</v>
      </c>
      <c r="Q12" s="292">
        <f>'Prod. GEXFLO'!I10</f>
        <v>288.67</v>
      </c>
      <c r="R12" s="294">
        <f>'GEXFLO Limp.Ord.'!L179</f>
        <v>0</v>
      </c>
      <c r="S12" s="292">
        <f>'Prod. GEXFLO'!J10</f>
        <v>0</v>
      </c>
      <c r="T12" s="296">
        <f>'GEXFLO Limp.Ord.'!L185</f>
        <v>0</v>
      </c>
      <c r="U12" s="525">
        <v>60.2</v>
      </c>
      <c r="V12" s="296">
        <f>'GEXFLO Limp.Ord.'!L188</f>
        <v>0</v>
      </c>
      <c r="W12" s="525">
        <v>60.2</v>
      </c>
      <c r="X12" s="296">
        <f>'GEXFLO Limp.Ord.'!L191</f>
        <v>0</v>
      </c>
      <c r="Y12" s="167">
        <f t="shared" si="0"/>
        <v>0</v>
      </c>
      <c r="Z12" s="350">
        <f>'Prod. GEXFLO'!Q10*'GEXFLO Covid'!C138</f>
        <v>0</v>
      </c>
      <c r="AA12" s="347">
        <f>'Prod. GEXFLO'!R10*'GEXFLO Limp.Ord.'!C143</f>
        <v>0</v>
      </c>
      <c r="AB12" s="510">
        <f>'Prod. GEXFLO'!S10*'GEXFLO Covid'!C143</f>
        <v>0</v>
      </c>
      <c r="AC12" s="168"/>
    </row>
    <row r="13" spans="1:29" x14ac:dyDescent="0.2">
      <c r="A13" s="538" t="s">
        <v>107</v>
      </c>
      <c r="B13" s="538" t="s">
        <v>371</v>
      </c>
      <c r="C13" s="538" t="s">
        <v>372</v>
      </c>
      <c r="D13" s="269">
        <f>MC!C80/100</f>
        <v>0</v>
      </c>
      <c r="E13" s="569">
        <f>'Prod. GEXFLO'!C11</f>
        <v>271.87</v>
      </c>
      <c r="F13" s="296">
        <f>'GEXFLO Limp.Ord.'!L149</f>
        <v>0</v>
      </c>
      <c r="G13" s="297">
        <f>'Prod. GEXFLO'!D11</f>
        <v>0</v>
      </c>
      <c r="H13" s="296">
        <f>'GEXFLO Limp.Ord.'!L155</f>
        <v>0</v>
      </c>
      <c r="I13" s="292">
        <f>'Prod. GEXFLO'!E11</f>
        <v>0</v>
      </c>
      <c r="J13" s="294">
        <f>'GEXFLO Limp.Ord.'!L161</f>
        <v>0</v>
      </c>
      <c r="K13" s="292">
        <f>'Prod. GEXFLO'!F11</f>
        <v>24.27</v>
      </c>
      <c r="L13" s="294">
        <f>'GEXFLO Limp.Ord.'!L167</f>
        <v>0</v>
      </c>
      <c r="M13" s="292">
        <f>'Prod. GEXFLO'!G11</f>
        <v>185.97</v>
      </c>
      <c r="N13" s="294">
        <f>'GEXFLO Limp.Ord.'!L173</f>
        <v>0</v>
      </c>
      <c r="O13" s="292">
        <f>'Prod. GEXFLO'!H11</f>
        <v>405.01</v>
      </c>
      <c r="P13" s="294">
        <f>'GEXFLO Limp.Ord.'!L176</f>
        <v>0</v>
      </c>
      <c r="Q13" s="292">
        <f>'Prod. GEXFLO'!I11</f>
        <v>68.08</v>
      </c>
      <c r="R13" s="294">
        <f>'GEXFLO Limp.Ord.'!L179</f>
        <v>0</v>
      </c>
      <c r="S13" s="292">
        <f>'Prod. GEXFLO'!J11</f>
        <v>0</v>
      </c>
      <c r="T13" s="296">
        <f>'GEXFLO Limp.Ord.'!L185</f>
        <v>0</v>
      </c>
      <c r="U13" s="525">
        <v>80.489999999999995</v>
      </c>
      <c r="V13" s="296">
        <f>'GEXFLO Limp.Ord.'!L188</f>
        <v>0</v>
      </c>
      <c r="W13" s="525">
        <v>80.489999999999995</v>
      </c>
      <c r="X13" s="296">
        <f>'GEXFLO Limp.Ord.'!L191</f>
        <v>0</v>
      </c>
      <c r="Y13" s="167">
        <f t="shared" si="0"/>
        <v>0</v>
      </c>
      <c r="Z13" s="350">
        <f>'Prod. GEXFLO'!Q11*'GEXFLO Covid'!C138</f>
        <v>0</v>
      </c>
      <c r="AA13" s="347">
        <f>'Prod. GEXFLO'!R11*'GEXFLO Limp.Ord.'!C143</f>
        <v>0</v>
      </c>
      <c r="AB13" s="510">
        <f>'Prod. GEXFLO'!S11*'GEXFLO Covid'!C143</f>
        <v>0</v>
      </c>
      <c r="AC13" s="168"/>
    </row>
    <row r="14" spans="1:29" x14ac:dyDescent="0.2">
      <c r="A14" s="538" t="s">
        <v>110</v>
      </c>
      <c r="B14" s="538" t="s">
        <v>373</v>
      </c>
      <c r="C14" s="538" t="s">
        <v>374</v>
      </c>
      <c r="D14" s="269">
        <f>MC!C81/100</f>
        <v>0</v>
      </c>
      <c r="E14" s="569">
        <f>'Prod. GEXFLO'!C12</f>
        <v>1117.1300000000001</v>
      </c>
      <c r="F14" s="296">
        <f>'GEXFLO Limp.Ord.'!D149</f>
        <v>0</v>
      </c>
      <c r="G14" s="297">
        <f>'Prod. GEXFLO'!D12</f>
        <v>716.73</v>
      </c>
      <c r="H14" s="296">
        <f>'GEXFLO Limp.Ord.'!D155</f>
        <v>0</v>
      </c>
      <c r="I14" s="292">
        <f>'Prod. GEXFLO'!E12</f>
        <v>836.34</v>
      </c>
      <c r="J14" s="294">
        <f>'GEXFLO Limp.Ord.'!D161</f>
        <v>0</v>
      </c>
      <c r="K14" s="292">
        <f>'Prod. GEXFLO'!F12</f>
        <v>92.57</v>
      </c>
      <c r="L14" s="294">
        <f>'GEXFLO Limp.Ord.'!D167</f>
        <v>0</v>
      </c>
      <c r="M14" s="292">
        <f>'Prod. GEXFLO'!G12</f>
        <v>933.08</v>
      </c>
      <c r="N14" s="294">
        <f>'GEXFLO Limp.Ord.'!D173</f>
        <v>0</v>
      </c>
      <c r="O14" s="292">
        <f>'Prod. GEXFLO'!H12</f>
        <v>0</v>
      </c>
      <c r="P14" s="294">
        <f>'GEXFLO Limp.Ord.'!D176</f>
        <v>0</v>
      </c>
      <c r="Q14" s="292">
        <f>'Prod. GEXFLO'!I12</f>
        <v>65.150000000000006</v>
      </c>
      <c r="R14" s="294">
        <f>'GEXFLO Limp.Ord.'!D179</f>
        <v>0</v>
      </c>
      <c r="S14" s="292">
        <f>'Prod. GEXFLO'!J12</f>
        <v>0</v>
      </c>
      <c r="T14" s="296">
        <f>'GEXFLO Limp.Ord.'!D185</f>
        <v>0</v>
      </c>
      <c r="U14" s="525">
        <v>708.7</v>
      </c>
      <c r="V14" s="296">
        <f>'GEXFLO Limp.Ord.'!D188</f>
        <v>0</v>
      </c>
      <c r="W14" s="525">
        <v>708.7</v>
      </c>
      <c r="X14" s="296">
        <f>'GEXFLO Limp.Ord.'!D191</f>
        <v>0</v>
      </c>
      <c r="Y14" s="167">
        <f t="shared" si="0"/>
        <v>0</v>
      </c>
      <c r="Z14" s="350">
        <f>'Prod. GEXFLO'!Q12*'GEXFLO Covid'!C134</f>
        <v>0</v>
      </c>
      <c r="AA14" s="347">
        <f>'Prod. GEXFLO'!R12*'GEXFLO Limp.Ord.'!C139</f>
        <v>0</v>
      </c>
      <c r="AB14" s="510">
        <f>'Prod. GEXFLO'!S12*'GEXFLO Covid'!C139</f>
        <v>0</v>
      </c>
      <c r="AC14" s="168"/>
    </row>
    <row r="15" spans="1:29" x14ac:dyDescent="0.2">
      <c r="A15" s="538" t="s">
        <v>113</v>
      </c>
      <c r="B15" s="538" t="s">
        <v>375</v>
      </c>
      <c r="C15" s="538" t="s">
        <v>376</v>
      </c>
      <c r="D15" s="269">
        <f>MC!C82/100</f>
        <v>0</v>
      </c>
      <c r="E15" s="569">
        <f>'Prod. GEXFLO'!C13</f>
        <v>416.25</v>
      </c>
      <c r="F15" s="296">
        <f>'GEXFLO Limp.Ord.'!D149</f>
        <v>0</v>
      </c>
      <c r="G15" s="297">
        <f>'Prod. GEXFLO'!D13</f>
        <v>0</v>
      </c>
      <c r="H15" s="296">
        <f>'GEXFLO Limp.Ord.'!D155</f>
        <v>0</v>
      </c>
      <c r="I15" s="292">
        <f>'Prod. GEXFLO'!E13</f>
        <v>0</v>
      </c>
      <c r="J15" s="294">
        <f>'GEXFLO Limp.Ord.'!D161</f>
        <v>0</v>
      </c>
      <c r="K15" s="292">
        <f>'Prod. GEXFLO'!F13</f>
        <v>31.62</v>
      </c>
      <c r="L15" s="294">
        <f>'GEXFLO Limp.Ord.'!D167</f>
        <v>0</v>
      </c>
      <c r="M15" s="292">
        <f>'Prod. GEXFLO'!G13</f>
        <v>51.62</v>
      </c>
      <c r="N15" s="294">
        <f>'GEXFLO Limp.Ord.'!D173</f>
        <v>0</v>
      </c>
      <c r="O15" s="292">
        <f>'Prod. GEXFLO'!H13</f>
        <v>19.53</v>
      </c>
      <c r="P15" s="294">
        <f>'GEXFLO Limp.Ord.'!D176</f>
        <v>0</v>
      </c>
      <c r="Q15" s="292">
        <f>'Prod. GEXFLO'!I13</f>
        <v>98.69</v>
      </c>
      <c r="R15" s="294">
        <f>'GEXFLO Limp.Ord.'!D179</f>
        <v>0</v>
      </c>
      <c r="S15" s="292">
        <f>'Prod. GEXFLO'!J13</f>
        <v>0</v>
      </c>
      <c r="T15" s="296">
        <f>'GEXFLO Limp.Ord.'!D185</f>
        <v>0</v>
      </c>
      <c r="U15" s="525">
        <v>92.29</v>
      </c>
      <c r="V15" s="296">
        <f>'GEXFLO Limp.Ord.'!D188</f>
        <v>0</v>
      </c>
      <c r="W15" s="525">
        <v>92.29</v>
      </c>
      <c r="X15" s="296">
        <f>'GEXFLO Limp.Ord.'!D191</f>
        <v>0</v>
      </c>
      <c r="Y15" s="167">
        <f t="shared" si="0"/>
        <v>0</v>
      </c>
      <c r="Z15" s="350">
        <f>'Prod. GEXFLO'!Q13*'GEXFLO Covid'!C134</f>
        <v>0</v>
      </c>
      <c r="AA15" s="347">
        <f>'Prod. GEXFLO'!R13*'GEXFLO Limp.Ord.'!C139</f>
        <v>0</v>
      </c>
      <c r="AB15" s="510">
        <f>'Prod. GEXFLO'!S13*'GEXFLO Covid'!C139</f>
        <v>0</v>
      </c>
      <c r="AC15" s="168"/>
    </row>
    <row r="16" spans="1:29" x14ac:dyDescent="0.2">
      <c r="A16" s="538" t="s">
        <v>116</v>
      </c>
      <c r="B16" s="538" t="s">
        <v>377</v>
      </c>
      <c r="C16" s="538" t="s">
        <v>378</v>
      </c>
      <c r="D16" s="269">
        <f>MC!C83/100</f>
        <v>0</v>
      </c>
      <c r="E16" s="569">
        <f>'Prod. GEXFLO'!C14</f>
        <v>257.49</v>
      </c>
      <c r="F16" s="296">
        <f>'GEXFLO Limp.Ord.'!H149</f>
        <v>0</v>
      </c>
      <c r="G16" s="297">
        <f>'Prod. GEXFLO'!D14</f>
        <v>0</v>
      </c>
      <c r="H16" s="296">
        <f>'GEXFLO Limp.Ord.'!H155</f>
        <v>0</v>
      </c>
      <c r="I16" s="292">
        <f>'Prod. GEXFLO'!E14</f>
        <v>0</v>
      </c>
      <c r="J16" s="294">
        <f>'GEXFLO Limp.Ord.'!H161</f>
        <v>0</v>
      </c>
      <c r="K16" s="292">
        <f>'Prod. GEXFLO'!F14</f>
        <v>15.68</v>
      </c>
      <c r="L16" s="294">
        <f>'GEXFLO Limp.Ord.'!H167</f>
        <v>0</v>
      </c>
      <c r="M16" s="292">
        <f>'Prod. GEXFLO'!G14</f>
        <v>128.9</v>
      </c>
      <c r="N16" s="294">
        <f>'GEXFLO Limp.Ord.'!H173</f>
        <v>0</v>
      </c>
      <c r="O16" s="292">
        <f>'Prod. GEXFLO'!H14</f>
        <v>839.45</v>
      </c>
      <c r="P16" s="294">
        <f>'GEXFLO Limp.Ord.'!H176</f>
        <v>0</v>
      </c>
      <c r="Q16" s="292">
        <f>'Prod. GEXFLO'!I14</f>
        <v>209.78</v>
      </c>
      <c r="R16" s="294">
        <f>'GEXFLO Limp.Ord.'!H179</f>
        <v>0</v>
      </c>
      <c r="S16" s="292">
        <f>'Prod. GEXFLO'!J14</f>
        <v>0</v>
      </c>
      <c r="T16" s="296">
        <f>'GEXFLO Limp.Ord.'!H185</f>
        <v>0</v>
      </c>
      <c r="U16" s="525">
        <v>96.6</v>
      </c>
      <c r="V16" s="296">
        <f>'GEXFLO Limp.Ord.'!H188</f>
        <v>0</v>
      </c>
      <c r="W16" s="525">
        <v>96.6</v>
      </c>
      <c r="X16" s="296">
        <f>'GEXFLO Limp.Ord.'!H191</f>
        <v>0</v>
      </c>
      <c r="Y16" s="167">
        <f t="shared" si="0"/>
        <v>0</v>
      </c>
      <c r="Z16" s="350">
        <f>'Prod. GEXFLO'!P14*'GEXFLO Covid'!D136</f>
        <v>0</v>
      </c>
      <c r="AA16" s="347">
        <f>'Prod. GEXFLO'!R14*'GEXFLO Limp.Ord.'!C141</f>
        <v>0</v>
      </c>
      <c r="AB16" s="510">
        <f>'Prod. GEXFLO'!S14*'GEXFLO Covid'!C141</f>
        <v>0</v>
      </c>
      <c r="AC16" s="168"/>
    </row>
    <row r="17" spans="1:1015" x14ac:dyDescent="0.2">
      <c r="A17" s="538" t="s">
        <v>119</v>
      </c>
      <c r="B17" s="538" t="s">
        <v>379</v>
      </c>
      <c r="C17" s="538" t="s">
        <v>380</v>
      </c>
      <c r="D17" s="269">
        <f>MC!C84/100</f>
        <v>0</v>
      </c>
      <c r="E17" s="569">
        <f>'Prod. GEXFLO'!C15</f>
        <v>422.67</v>
      </c>
      <c r="F17" s="296">
        <f>'GEXFLO Limp.Ord.'!F149</f>
        <v>0</v>
      </c>
      <c r="G17" s="297">
        <f>'Prod. GEXFLO'!D15</f>
        <v>0</v>
      </c>
      <c r="H17" s="296">
        <f>'GEXFLO Limp.Ord.'!F155</f>
        <v>0</v>
      </c>
      <c r="I17" s="292">
        <f>'Prod. GEXFLO'!E15</f>
        <v>0</v>
      </c>
      <c r="J17" s="294">
        <f>'GEXFLO Limp.Ord.'!F161</f>
        <v>0</v>
      </c>
      <c r="K17" s="292">
        <f>'Prod. GEXFLO'!F15</f>
        <v>37.200000000000003</v>
      </c>
      <c r="L17" s="294">
        <f>'GEXFLO Limp.Ord.'!F167</f>
        <v>0</v>
      </c>
      <c r="M17" s="292">
        <f>'Prod. GEXFLO'!G15</f>
        <v>140.88</v>
      </c>
      <c r="N17" s="294">
        <f>'GEXFLO Limp.Ord.'!F173</f>
        <v>0</v>
      </c>
      <c r="O17" s="292">
        <f>'Prod. GEXFLO'!H15</f>
        <v>403.92</v>
      </c>
      <c r="P17" s="294">
        <f>'GEXFLO Limp.Ord.'!F176</f>
        <v>0</v>
      </c>
      <c r="Q17" s="292">
        <f>'Prod. GEXFLO'!I15</f>
        <v>107.09</v>
      </c>
      <c r="R17" s="294">
        <f>'GEXFLO Limp.Ord.'!F179</f>
        <v>0</v>
      </c>
      <c r="S17" s="292">
        <f>'Prod. GEXFLO'!J15</f>
        <v>0</v>
      </c>
      <c r="T17" s="296">
        <f>'GEXFLO Limp.Ord.'!F185</f>
        <v>0</v>
      </c>
      <c r="U17" s="525">
        <v>124.1</v>
      </c>
      <c r="V17" s="296">
        <f>'GEXFLO Limp.Ord.'!F188</f>
        <v>0</v>
      </c>
      <c r="W17" s="525">
        <v>124.1</v>
      </c>
      <c r="X17" s="296">
        <f>'GEXFLO Limp.Ord.'!F191</f>
        <v>0</v>
      </c>
      <c r="Y17" s="167">
        <f t="shared" si="0"/>
        <v>0</v>
      </c>
      <c r="Z17" s="350">
        <f>'Prod. GEXFLO'!Q15*'GEXFLO Covid'!C135</f>
        <v>0</v>
      </c>
      <c r="AA17" s="347">
        <f>'Prod. GEXFLO'!R15*'GEXFLO Limp.Ord.'!C140</f>
        <v>0</v>
      </c>
      <c r="AB17" s="510">
        <f>'Prod. GEXFLO'!S15*'GEXFLO Covid'!C140</f>
        <v>0</v>
      </c>
      <c r="AC17" s="168"/>
    </row>
    <row r="18" spans="1:1015" x14ac:dyDescent="0.2">
      <c r="A18" s="538" t="s">
        <v>122</v>
      </c>
      <c r="B18" s="538" t="s">
        <v>381</v>
      </c>
      <c r="C18" s="538" t="s">
        <v>382</v>
      </c>
      <c r="D18" s="269">
        <f>MC!C85/100</f>
        <v>0</v>
      </c>
      <c r="E18" s="569">
        <f>'Prod. GEXFLO'!C16</f>
        <v>279.19</v>
      </c>
      <c r="F18" s="296">
        <f>'GEXFLO Limp.Ord.'!D149</f>
        <v>0</v>
      </c>
      <c r="G18" s="297">
        <f>'Prod. GEXFLO'!D16</f>
        <v>0</v>
      </c>
      <c r="H18" s="296">
        <f>'GEXFLO Limp.Ord.'!D155</f>
        <v>0</v>
      </c>
      <c r="I18" s="292">
        <f>'Prod. GEXFLO'!E16</f>
        <v>0</v>
      </c>
      <c r="J18" s="294">
        <f>'GEXFLO Limp.Ord.'!D161</f>
        <v>0</v>
      </c>
      <c r="K18" s="292">
        <f>'Prod. GEXFLO'!F16</f>
        <v>17.87</v>
      </c>
      <c r="L18" s="294">
        <f>'GEXFLO Limp.Ord.'!D167</f>
        <v>0</v>
      </c>
      <c r="M18" s="292">
        <f>'Prod. GEXFLO'!G16</f>
        <v>122.92</v>
      </c>
      <c r="N18" s="294">
        <f>'GEXFLO Limp.Ord.'!D173</f>
        <v>0</v>
      </c>
      <c r="O18" s="292">
        <f>'Prod. GEXFLO'!H16</f>
        <v>152.91999999999999</v>
      </c>
      <c r="P18" s="294">
        <f>'GEXFLO Limp.Ord.'!D176</f>
        <v>0</v>
      </c>
      <c r="Q18" s="292">
        <f>'Prod. GEXFLO'!I16</f>
        <v>22.01</v>
      </c>
      <c r="R18" s="294">
        <f>'GEXFLO Limp.Ord.'!D179</f>
        <v>0</v>
      </c>
      <c r="S18" s="292">
        <f>'Prod. GEXFLO'!J16</f>
        <v>0</v>
      </c>
      <c r="T18" s="296">
        <f>'GEXFLO Limp.Ord.'!D185</f>
        <v>0</v>
      </c>
      <c r="U18" s="525">
        <v>93.78</v>
      </c>
      <c r="V18" s="296">
        <f>'GEXFLO Limp.Ord.'!D188</f>
        <v>0</v>
      </c>
      <c r="W18" s="525">
        <v>93.78</v>
      </c>
      <c r="X18" s="296">
        <f>'GEXFLO Limp.Ord.'!D191</f>
        <v>0</v>
      </c>
      <c r="Y18" s="167">
        <f t="shared" si="0"/>
        <v>0</v>
      </c>
      <c r="Z18" s="350">
        <f>'Prod. GEXFLO'!P16*'GEXFLO Covid'!D134</f>
        <v>0</v>
      </c>
      <c r="AA18" s="347">
        <f>'Prod. GEXFLO'!R16*'GEXFLO Limp.Ord.'!C139</f>
        <v>0</v>
      </c>
      <c r="AB18" s="510">
        <f>'Prod. GEXFLO'!S16*'GEXFLO Covid'!C139</f>
        <v>0</v>
      </c>
      <c r="AC18" s="168"/>
    </row>
    <row r="19" spans="1:1015" x14ac:dyDescent="0.2">
      <c r="A19" s="538" t="s">
        <v>123</v>
      </c>
      <c r="B19" s="538" t="s">
        <v>383</v>
      </c>
      <c r="C19" s="538" t="s">
        <v>376</v>
      </c>
      <c r="D19" s="269">
        <f>MC!C86/100</f>
        <v>0</v>
      </c>
      <c r="E19" s="569">
        <f>'Prod. GEXFLO'!C17</f>
        <v>0</v>
      </c>
      <c r="F19" s="296">
        <f>'GEXFLO Limp.Ord.'!D149</f>
        <v>0</v>
      </c>
      <c r="G19" s="297">
        <f>'Prod. GEXFLO'!D17</f>
        <v>225.95</v>
      </c>
      <c r="H19" s="296">
        <f>'GEXFLO Limp.Ord.'!D155</f>
        <v>0</v>
      </c>
      <c r="I19" s="292">
        <f>'Prod. GEXFLO'!E17</f>
        <v>0</v>
      </c>
      <c r="J19" s="294">
        <f>'GEXFLO Limp.Ord.'!D161</f>
        <v>0</v>
      </c>
      <c r="K19" s="292">
        <f>'Prod. GEXFLO'!F17</f>
        <v>20.05</v>
      </c>
      <c r="L19" s="294">
        <f>'GEXFLO Limp.Ord.'!D167</f>
        <v>0</v>
      </c>
      <c r="M19" s="292">
        <f>'Prod. GEXFLO'!G17</f>
        <v>234.3</v>
      </c>
      <c r="N19" s="294">
        <f>'GEXFLO Limp.Ord.'!D173</f>
        <v>0</v>
      </c>
      <c r="O19" s="292">
        <f>'Prod. GEXFLO'!H17</f>
        <v>171.14</v>
      </c>
      <c r="P19" s="294">
        <f>'GEXFLO Limp.Ord.'!D176</f>
        <v>0</v>
      </c>
      <c r="Q19" s="292">
        <f>'Prod. GEXFLO'!I17</f>
        <v>63.6</v>
      </c>
      <c r="R19" s="294">
        <f>'GEXFLO Limp.Ord.'!D179</f>
        <v>0</v>
      </c>
      <c r="S19" s="292">
        <f>'Prod. GEXFLO'!J17</f>
        <v>0</v>
      </c>
      <c r="T19" s="296">
        <f>'GEXFLO Limp.Ord.'!D185</f>
        <v>0</v>
      </c>
      <c r="U19" s="525">
        <v>62.59</v>
      </c>
      <c r="V19" s="296">
        <f>'GEXFLO Limp.Ord.'!D188</f>
        <v>0</v>
      </c>
      <c r="W19" s="525">
        <v>62.59</v>
      </c>
      <c r="X19" s="296">
        <f>'GEXFLO Limp.Ord.'!D191</f>
        <v>0</v>
      </c>
      <c r="Y19" s="167">
        <f t="shared" si="0"/>
        <v>0</v>
      </c>
      <c r="Z19" s="350"/>
      <c r="AA19" s="347">
        <f>'Prod. GEXFLO'!R17*'GEXFLO Limp.Ord.'!C139</f>
        <v>0</v>
      </c>
      <c r="AB19" s="510">
        <f>'Prod. GEXFLO'!S17*'GEXFLO Covid'!C139</f>
        <v>0</v>
      </c>
      <c r="AC19" s="168"/>
    </row>
    <row r="20" spans="1:1015" x14ac:dyDescent="0.2">
      <c r="A20" s="538" t="s">
        <v>124</v>
      </c>
      <c r="B20" s="538" t="s">
        <v>384</v>
      </c>
      <c r="C20" s="538" t="s">
        <v>361</v>
      </c>
      <c r="D20" s="269">
        <f>MC!C87/100</f>
        <v>0</v>
      </c>
      <c r="E20" s="569">
        <f>'Prod. GEXFLO'!C18</f>
        <v>1330.2</v>
      </c>
      <c r="F20" s="296">
        <f>'GEXFLO Limp.Ord.'!F149</f>
        <v>0</v>
      </c>
      <c r="G20" s="297">
        <f>'Prod. GEXFLO'!D18</f>
        <v>2736.12</v>
      </c>
      <c r="H20" s="296">
        <f>'GEXFLO Limp.Ord.'!F155</f>
        <v>0</v>
      </c>
      <c r="I20" s="292">
        <f>'Prod. GEXFLO'!E18</f>
        <v>0</v>
      </c>
      <c r="J20" s="294">
        <f>'GEXFLO Limp.Ord.'!F161</f>
        <v>0</v>
      </c>
      <c r="K20" s="292">
        <f>'Prod. GEXFLO'!F18</f>
        <v>27.05</v>
      </c>
      <c r="L20" s="294">
        <f>'GEXFLO Limp.Ord.'!F167</f>
        <v>0</v>
      </c>
      <c r="M20" s="292">
        <f>'Prod. GEXFLO'!G18</f>
        <v>0</v>
      </c>
      <c r="N20" s="294">
        <f>'GEXFLO Limp.Ord.'!F173</f>
        <v>0</v>
      </c>
      <c r="O20" s="292">
        <f>'Prod. GEXFLO'!H18</f>
        <v>1567.93</v>
      </c>
      <c r="P20" s="294">
        <f>'GEXFLO Limp.Ord.'!F176</f>
        <v>0</v>
      </c>
      <c r="Q20" s="292">
        <f>'Prod. GEXFLO'!I18</f>
        <v>1405.98</v>
      </c>
      <c r="R20" s="294">
        <f>'GEXFLO Limp.Ord.'!F179</f>
        <v>0</v>
      </c>
      <c r="S20" s="292">
        <f>'Prod. GEXFLO'!J18</f>
        <v>0</v>
      </c>
      <c r="T20" s="296">
        <f>'GEXFLO Limp.Ord.'!F185</f>
        <v>0</v>
      </c>
      <c r="U20" s="525">
        <v>92.13</v>
      </c>
      <c r="V20" s="296">
        <f>'GEXFLO Limp.Ord.'!F188</f>
        <v>0</v>
      </c>
      <c r="W20" s="525">
        <v>92.13</v>
      </c>
      <c r="X20" s="296">
        <f>'GEXFLO Limp.Ord.'!F191</f>
        <v>0</v>
      </c>
      <c r="Y20" s="167">
        <f t="shared" si="0"/>
        <v>0</v>
      </c>
      <c r="Z20" s="350"/>
      <c r="AA20" s="347">
        <f>'Prod. GEXFLO'!R18*'GEXFLO Limp.Ord.'!C140</f>
        <v>0</v>
      </c>
      <c r="AB20" s="510">
        <f>'Prod. GEXFLO'!S18*'GEXFLO Covid'!C140</f>
        <v>0</v>
      </c>
      <c r="AC20" s="168"/>
    </row>
    <row r="21" spans="1:1015" x14ac:dyDescent="0.2">
      <c r="A21" s="538" t="s">
        <v>125</v>
      </c>
      <c r="B21" s="538" t="s">
        <v>385</v>
      </c>
      <c r="C21" s="538" t="s">
        <v>361</v>
      </c>
      <c r="D21" s="269">
        <f>MC!C88/100</f>
        <v>0</v>
      </c>
      <c r="E21" s="569">
        <f>'Prod. GEXFLO'!C19</f>
        <v>182.51</v>
      </c>
      <c r="F21" s="296">
        <f>'GEXFLO Limp.Ord.'!F149</f>
        <v>0</v>
      </c>
      <c r="G21" s="297">
        <f>'Prod. GEXFLO'!D19</f>
        <v>0</v>
      </c>
      <c r="H21" s="296">
        <f>'GEXFLO Limp.Ord.'!F155</f>
        <v>0</v>
      </c>
      <c r="I21" s="292">
        <f>'Prod. GEXFLO'!E19</f>
        <v>0</v>
      </c>
      <c r="J21" s="294">
        <f>'GEXFLO Limp.Ord.'!F161</f>
        <v>0</v>
      </c>
      <c r="K21" s="292">
        <f>'Prod. GEXFLO'!F19</f>
        <v>19.2</v>
      </c>
      <c r="L21" s="294">
        <f>'GEXFLO Limp.Ord.'!F167</f>
        <v>0</v>
      </c>
      <c r="M21" s="292">
        <f>'Prod. GEXFLO'!G19</f>
        <v>0</v>
      </c>
      <c r="N21" s="294">
        <f>'GEXFLO Limp.Ord.'!F173</f>
        <v>0</v>
      </c>
      <c r="O21" s="292">
        <f>'Prod. GEXFLO'!H19</f>
        <v>0</v>
      </c>
      <c r="P21" s="294">
        <f>'GEXFLO Limp.Ord.'!F176</f>
        <v>0</v>
      </c>
      <c r="Q21" s="292">
        <f>'Prod. GEXFLO'!I19</f>
        <v>0</v>
      </c>
      <c r="R21" s="294">
        <f>'GEXFLO Limp.Ord.'!F179</f>
        <v>0</v>
      </c>
      <c r="S21" s="292">
        <f>'Prod. GEXFLO'!J19</f>
        <v>0</v>
      </c>
      <c r="T21" s="296">
        <f>'GEXFLO Limp.Ord.'!F185</f>
        <v>0</v>
      </c>
      <c r="U21" s="525">
        <v>57.29</v>
      </c>
      <c r="V21" s="296">
        <f>'GEXFLO Limp.Ord.'!F188</f>
        <v>0</v>
      </c>
      <c r="W21" s="525">
        <v>57.29</v>
      </c>
      <c r="X21" s="296">
        <f>'GEXFLO Limp.Ord.'!F191</f>
        <v>0</v>
      </c>
      <c r="Y21" s="167">
        <f t="shared" si="0"/>
        <v>0</v>
      </c>
      <c r="Z21" s="350"/>
      <c r="AA21" s="347">
        <f>'Prod. GEXFLO'!R19*'GEXFLO Limp.Ord.'!C140</f>
        <v>0</v>
      </c>
      <c r="AB21" s="510">
        <f>'Prod. GEXFLO'!S19*'GEXFLO Covid'!C140</f>
        <v>0</v>
      </c>
      <c r="AC21" s="168"/>
    </row>
    <row r="22" spans="1:1015" x14ac:dyDescent="0.2">
      <c r="A22" s="538" t="s">
        <v>126</v>
      </c>
      <c r="B22" s="538" t="s">
        <v>386</v>
      </c>
      <c r="C22" s="538" t="s">
        <v>361</v>
      </c>
      <c r="D22" s="269">
        <f>MC!C89/100</f>
        <v>0</v>
      </c>
      <c r="E22" s="569">
        <f>'Prod. GEXFLO'!C20</f>
        <v>1068.8800000000001</v>
      </c>
      <c r="F22" s="296">
        <f>'GEXFLO Limp.Ord.'!F149</f>
        <v>0</v>
      </c>
      <c r="G22" s="297">
        <f>'Prod. GEXFLO'!D20</f>
        <v>0</v>
      </c>
      <c r="H22" s="296">
        <f>'GEXFLO Limp.Ord.'!H155</f>
        <v>0</v>
      </c>
      <c r="I22" s="292">
        <f>'Prod. GEXFLO'!E20</f>
        <v>753.45</v>
      </c>
      <c r="J22" s="294">
        <f>'GEXFLO Limp.Ord.'!F161</f>
        <v>0</v>
      </c>
      <c r="K22" s="292">
        <f>'Prod. GEXFLO'!F20</f>
        <v>65.28</v>
      </c>
      <c r="L22" s="294">
        <f>'GEXFLO Limp.Ord.'!F167</f>
        <v>0</v>
      </c>
      <c r="M22" s="292">
        <f>'Prod. GEXFLO'!G20</f>
        <v>0</v>
      </c>
      <c r="N22" s="294">
        <f>'GEXFLO Limp.Ord.'!F173</f>
        <v>0</v>
      </c>
      <c r="O22" s="292">
        <f>'Prod. GEXFLO'!H20</f>
        <v>0</v>
      </c>
      <c r="P22" s="294">
        <f>'GEXFLO Limp.Ord.'!F176</f>
        <v>0</v>
      </c>
      <c r="Q22" s="292">
        <f>'Prod. GEXFLO'!I20</f>
        <v>0</v>
      </c>
      <c r="R22" s="294">
        <f>'GEXFLO Limp.Ord.'!F179</f>
        <v>0</v>
      </c>
      <c r="S22" s="292">
        <f>'Prod. GEXFLO'!J20</f>
        <v>0</v>
      </c>
      <c r="T22" s="296">
        <f>'GEXFLO Limp.Ord.'!F185</f>
        <v>0</v>
      </c>
      <c r="U22" s="525">
        <v>137.63</v>
      </c>
      <c r="V22" s="296">
        <f>'GEXFLO Limp.Ord.'!F188</f>
        <v>0</v>
      </c>
      <c r="W22" s="525">
        <v>326.57</v>
      </c>
      <c r="X22" s="296">
        <f>'GEXFLO Limp.Ord.'!F191</f>
        <v>0</v>
      </c>
      <c r="Y22" s="167">
        <f t="shared" si="0"/>
        <v>0</v>
      </c>
      <c r="Z22" s="350">
        <f>'Prod. GEXFLO'!Q20*'GEXFLO Covid'!C135</f>
        <v>0</v>
      </c>
      <c r="AA22" s="347">
        <f>'Prod. GEXFLO'!R20*'GEXFLO Limp.Ord.'!C140</f>
        <v>0</v>
      </c>
      <c r="AB22" s="510">
        <f>'Prod. GEXFLO'!S20*'GEXFLO Covid'!C140</f>
        <v>0</v>
      </c>
      <c r="AC22" s="168"/>
    </row>
    <row r="23" spans="1:1015" s="156" customFormat="1" ht="12.75" x14ac:dyDescent="0.2">
      <c r="A23" s="538" t="s">
        <v>127</v>
      </c>
      <c r="B23" s="538" t="s">
        <v>387</v>
      </c>
      <c r="C23" s="538" t="s">
        <v>361</v>
      </c>
      <c r="D23" s="269">
        <f>MC!C90/100</f>
        <v>0</v>
      </c>
      <c r="E23" s="570">
        <f>'Prod. GEXFLO'!C21</f>
        <v>3867.48</v>
      </c>
      <c r="F23" s="296">
        <f>'GEXFLO Limp.Ord.'!F149</f>
        <v>0</v>
      </c>
      <c r="G23" s="297">
        <f>'Prod. GEXFLO'!D21</f>
        <v>0</v>
      </c>
      <c r="H23" s="296">
        <f>'GEXFLO Limp.Ord.'!H155</f>
        <v>0</v>
      </c>
      <c r="I23" s="292">
        <f>'Prod. GEXFLO'!E21</f>
        <v>177.16</v>
      </c>
      <c r="J23" s="294">
        <f>'GEXFLO Limp.Ord.'!F161</f>
        <v>0</v>
      </c>
      <c r="K23" s="292">
        <f>'Prod. GEXFLO'!F21</f>
        <v>133.13</v>
      </c>
      <c r="L23" s="294">
        <f>'GEXFLO Limp.Ord.'!F167</f>
        <v>0</v>
      </c>
      <c r="M23" s="292">
        <f>'Prod. GEXFLO'!G21</f>
        <v>312.32</v>
      </c>
      <c r="N23" s="294">
        <f>'GEXFLO Limp.Ord.'!F173</f>
        <v>0</v>
      </c>
      <c r="O23" s="292">
        <f>'Prod. GEXFLO'!H21</f>
        <v>0</v>
      </c>
      <c r="P23" s="294">
        <f>'GEXFLO Limp.Ord.'!F176</f>
        <v>0</v>
      </c>
      <c r="Q23" s="292">
        <f>'Prod. GEXFLO'!I21</f>
        <v>300.82</v>
      </c>
      <c r="R23" s="294">
        <f>'GEXFLO Limp.Ord.'!F179</f>
        <v>0</v>
      </c>
      <c r="S23" s="292">
        <f>'Prod. GEXFLO'!J21</f>
        <v>553.68000000000006</v>
      </c>
      <c r="T23" s="296">
        <f>'GEXFLO Limp.Ord.'!F185</f>
        <v>0</v>
      </c>
      <c r="U23" s="525">
        <v>216.14</v>
      </c>
      <c r="V23" s="296">
        <f>'GEXFLO Limp.Ord.'!F188</f>
        <v>0</v>
      </c>
      <c r="W23" s="525">
        <v>769.82</v>
      </c>
      <c r="X23" s="296">
        <f>'GEXFLO Limp.Ord.'!F191</f>
        <v>0</v>
      </c>
      <c r="Y23" s="167">
        <f t="shared" si="0"/>
        <v>0</v>
      </c>
      <c r="Z23" s="350"/>
      <c r="AA23" s="347">
        <f>'Prod. GEXFLO'!R21*'GEXFLO Limp.Ord.'!C140</f>
        <v>0</v>
      </c>
      <c r="AB23" s="557">
        <f>'Prod. GEXFLO'!S21*'GEXFLO Covid'!C140</f>
        <v>0</v>
      </c>
      <c r="AC23" s="168"/>
      <c r="ALO23" s="169"/>
      <c r="ALP23" s="169"/>
      <c r="ALQ23" s="169"/>
      <c r="ALR23" s="169"/>
      <c r="ALS23" s="169"/>
      <c r="ALT23" s="169"/>
      <c r="ALU23" s="169"/>
      <c r="ALV23" s="169"/>
      <c r="ALW23" s="169"/>
      <c r="ALX23" s="169"/>
      <c r="ALY23" s="169"/>
      <c r="ALZ23" s="169"/>
      <c r="AMA23" s="169"/>
    </row>
    <row r="24" spans="1:1015" s="156" customFormat="1" ht="14.25" customHeight="1" x14ac:dyDescent="0.2">
      <c r="A24" s="1026"/>
      <c r="B24" s="1026"/>
      <c r="C24" s="1026"/>
      <c r="D24" s="1027"/>
      <c r="E24" s="591">
        <f>SUM(E6:E23)</f>
        <v>14340.399999999998</v>
      </c>
      <c r="F24" s="592"/>
      <c r="G24" s="593">
        <f>SUM(G6:G23)</f>
        <v>4412.04</v>
      </c>
      <c r="H24" s="594"/>
      <c r="I24" s="593">
        <f>SUM(I6:I23)</f>
        <v>4153.08</v>
      </c>
      <c r="J24" s="594"/>
      <c r="K24" s="593">
        <f>SUM(K6:K23)</f>
        <v>1004.73</v>
      </c>
      <c r="L24" s="594"/>
      <c r="M24" s="593">
        <f>SUM(M6:M23)</f>
        <v>4636.4799999999996</v>
      </c>
      <c r="N24" s="594"/>
      <c r="O24" s="593">
        <f>SUM(O6:O23)</f>
        <v>5294.1900000000005</v>
      </c>
      <c r="P24" s="594"/>
      <c r="Q24" s="593">
        <f>SUM(Q6:Q23)</f>
        <v>4281.1000000000004</v>
      </c>
      <c r="R24" s="594"/>
      <c r="S24" s="593">
        <f>SUM(S6:S23)</f>
        <v>1132.24</v>
      </c>
      <c r="T24" s="594"/>
      <c r="U24" s="593">
        <f>SUM(U6:U23)</f>
        <v>3134.8200000000006</v>
      </c>
      <c r="V24" s="594"/>
      <c r="W24" s="601">
        <f>SUM(W6:W23)</f>
        <v>4456</v>
      </c>
      <c r="X24" s="594"/>
      <c r="Y24" s="594">
        <f>SUM(Y6:Y23)</f>
        <v>0</v>
      </c>
      <c r="Z24" s="661">
        <f>SUM(Z6:Z23)</f>
        <v>0</v>
      </c>
      <c r="AA24" s="601">
        <f>SUM(AA6:AA23)</f>
        <v>0</v>
      </c>
      <c r="AB24" s="647">
        <f>SUM(AB6:AB23)</f>
        <v>0</v>
      </c>
      <c r="AC24" s="594">
        <f>SUM(AC6:AC23)</f>
        <v>0</v>
      </c>
      <c r="AD24" s="643"/>
      <c r="ALO24" s="169"/>
      <c r="ALP24" s="169"/>
      <c r="ALQ24" s="169"/>
      <c r="ALR24" s="169"/>
      <c r="ALS24" s="169"/>
      <c r="ALT24" s="169"/>
      <c r="ALU24" s="169"/>
      <c r="ALV24" s="169"/>
      <c r="ALW24" s="169"/>
      <c r="ALX24" s="169"/>
      <c r="ALY24" s="169"/>
      <c r="ALZ24" s="169"/>
      <c r="AMA24" s="169"/>
    </row>
    <row r="25" spans="1:1015" s="156" customFormat="1" ht="12.75" x14ac:dyDescent="0.2">
      <c r="A25" s="648" t="str">
        <f>'Prod. GEXBLU'!A4</f>
        <v>GERÊNCIA EXECUTIVA BLUMENAU</v>
      </c>
      <c r="B25" s="649" t="s">
        <v>388</v>
      </c>
      <c r="C25" s="649" t="s">
        <v>389</v>
      </c>
      <c r="D25" s="650">
        <f>MC!I73/100</f>
        <v>0</v>
      </c>
      <c r="E25" s="773">
        <f>'Prod. GEXBLU'!C4</f>
        <v>1239.6099999999999</v>
      </c>
      <c r="F25" s="651">
        <f>'GEXBLU Limp.Ord. '!H156</f>
        <v>0</v>
      </c>
      <c r="G25" s="773">
        <f>'Prod. GEXBLU'!D4</f>
        <v>45.94</v>
      </c>
      <c r="H25" s="652">
        <f>'GEXBLU Limp.Ord. '!H162</f>
        <v>0</v>
      </c>
      <c r="I25" s="773">
        <f>'Prod. GEXBLU'!E4</f>
        <v>327</v>
      </c>
      <c r="J25" s="652">
        <f>'GEXBLU Limp.Ord. '!H168</f>
        <v>0</v>
      </c>
      <c r="K25" s="773">
        <f>'Prod. GEXBLU'!F4</f>
        <v>78.7</v>
      </c>
      <c r="L25" s="653">
        <f>'GEXBLU Limp.Ord. '!H174</f>
        <v>0</v>
      </c>
      <c r="M25" s="773">
        <f>'Prod. GEXBLU'!G4</f>
        <v>0</v>
      </c>
      <c r="N25" s="652">
        <f>'GEXBLU Limp.Ord. '!H180</f>
        <v>0</v>
      </c>
      <c r="O25" s="773">
        <f>'Prod. GEXBLU'!H4</f>
        <v>0</v>
      </c>
      <c r="P25" s="652">
        <f>'GEXBLU Limp.Ord. '!H183</f>
        <v>0</v>
      </c>
      <c r="Q25" s="773">
        <f>'Prod. GEXBLU'!I4</f>
        <v>0</v>
      </c>
      <c r="R25" s="652">
        <f>'GEXBLU Limp.Ord. '!H186</f>
        <v>0</v>
      </c>
      <c r="S25" s="654">
        <f>'Prod. GEXBLU'!J4</f>
        <v>0</v>
      </c>
      <c r="T25" s="652"/>
      <c r="U25" s="773">
        <f>'Prod. GEXBLU'!K4</f>
        <v>0</v>
      </c>
      <c r="V25" s="652">
        <f>'GEXBLU Limp.Ord. '!H195</f>
        <v>0</v>
      </c>
      <c r="W25" s="776">
        <f>'Prod. GEXBLU'!L4</f>
        <v>0</v>
      </c>
      <c r="X25" s="652">
        <f>'GEXBLU Limp.Ord. '!H198</f>
        <v>0</v>
      </c>
      <c r="Y25" s="655">
        <f t="shared" ref="Y25:Y36" si="1">(E25*F25)+(G25*H25)+(I25*J25)+(K25*L25)+(M25*N25)+(O25*P25)+(Q25*R25)+(S25*T25)+(U25*V25)+(W25*X25)</f>
        <v>0</v>
      </c>
      <c r="Z25" s="656"/>
      <c r="AA25" s="657">
        <f>'Prod. GEXFLO'!R4*'GEXBLU Limp.Ord. '!C147</f>
        <v>0</v>
      </c>
      <c r="AB25" s="510">
        <f>'Prod. GEXBLU'!S4*'GEXBLU Covid'!C147</f>
        <v>0</v>
      </c>
      <c r="AC25" s="658">
        <f>MC!C16*'Prod. GEXBLU'!T4</f>
        <v>0</v>
      </c>
      <c r="ALO25" s="169"/>
      <c r="ALP25" s="169"/>
      <c r="ALQ25" s="169"/>
      <c r="ALR25" s="169"/>
      <c r="ALS25" s="169"/>
      <c r="ALT25" s="169"/>
      <c r="ALU25" s="169"/>
      <c r="ALV25" s="169"/>
      <c r="ALW25" s="169"/>
      <c r="ALX25" s="169"/>
      <c r="ALY25" s="169"/>
      <c r="ALZ25" s="169"/>
      <c r="AMA25" s="169"/>
    </row>
    <row r="26" spans="1:1015" s="156" customFormat="1" ht="12.75" x14ac:dyDescent="0.2">
      <c r="A26" s="659" t="str">
        <f>'Prod. GEXBLU'!A5</f>
        <v>CEDOC Prev</v>
      </c>
      <c r="B26" s="538" t="s">
        <v>390</v>
      </c>
      <c r="C26" s="538" t="s">
        <v>389</v>
      </c>
      <c r="D26" s="269">
        <f>MC!I74/100</f>
        <v>0</v>
      </c>
      <c r="E26" s="774">
        <f>'Prod. GEXBLU'!C5</f>
        <v>188.9</v>
      </c>
      <c r="F26" s="589">
        <f>'GEXBLU Limp.Ord. '!H156</f>
        <v>0</v>
      </c>
      <c r="G26" s="774">
        <f>'Prod. GEXBLU'!D5</f>
        <v>268.93</v>
      </c>
      <c r="H26" s="590">
        <f>'GEXBLU Limp.Ord. '!H162</f>
        <v>0</v>
      </c>
      <c r="I26" s="774">
        <f>'Prod. GEXBLU'!E5</f>
        <v>0</v>
      </c>
      <c r="J26" s="590">
        <f>'GEXBLU Limp.Ord. '!H168</f>
        <v>0</v>
      </c>
      <c r="K26" s="774">
        <f>'Prod. GEXBLU'!F5</f>
        <v>14</v>
      </c>
      <c r="L26" s="598">
        <f>'GEXBLU Limp.Ord. '!H174</f>
        <v>0</v>
      </c>
      <c r="M26" s="774">
        <f>'Prod. GEXBLU'!G5</f>
        <v>618</v>
      </c>
      <c r="N26" s="590">
        <f>'GEXBLU Limp.Ord. '!H180</f>
        <v>0</v>
      </c>
      <c r="O26" s="774">
        <f>'Prod. GEXBLU'!H5</f>
        <v>0</v>
      </c>
      <c r="P26" s="590">
        <f>'GEXBLU Limp.Ord. '!H183</f>
        <v>0</v>
      </c>
      <c r="Q26" s="774">
        <f>'Prod. GEXBLU'!I5</f>
        <v>145</v>
      </c>
      <c r="R26" s="590">
        <f>'GEXBLU Limp.Ord. '!H186</f>
        <v>0</v>
      </c>
      <c r="S26" s="597">
        <f>'Prod. GEXBLU'!J5</f>
        <v>0</v>
      </c>
      <c r="T26" s="590"/>
      <c r="U26" s="774">
        <f>'Prod. GEXBLU'!K5</f>
        <v>99</v>
      </c>
      <c r="V26" s="590">
        <f>'GEXBLU Limp.Ord. '!H195</f>
        <v>0</v>
      </c>
      <c r="W26" s="777">
        <f>'Prod. GEXBLU'!L5</f>
        <v>99</v>
      </c>
      <c r="X26" s="590">
        <f>'GEXBLU Limp.Ord. '!H198</f>
        <v>0</v>
      </c>
      <c r="Y26" s="600">
        <f t="shared" si="1"/>
        <v>0</v>
      </c>
      <c r="Z26" s="646"/>
      <c r="AA26" s="645">
        <f>'Prod. GEXFLO'!R5*'GEXBLU Limp.Ord. '!C147</f>
        <v>0</v>
      </c>
      <c r="AB26" s="510">
        <f>'Prod. GEXBLU'!S5*'GEXBLU Covid'!C147</f>
        <v>0</v>
      </c>
      <c r="AC26" s="660"/>
      <c r="ALO26" s="169"/>
      <c r="ALP26" s="169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</row>
    <row r="27" spans="1:1015" s="156" customFormat="1" ht="12.75" x14ac:dyDescent="0.2">
      <c r="A27" s="659" t="str">
        <f>'Prod. GEXBLU'!A6</f>
        <v>APS BLUMENAU</v>
      </c>
      <c r="B27" s="538" t="s">
        <v>388</v>
      </c>
      <c r="C27" s="538" t="s">
        <v>389</v>
      </c>
      <c r="D27" s="269">
        <f>MC!I75/100</f>
        <v>0</v>
      </c>
      <c r="E27" s="774">
        <f>'Prod. GEXBLU'!C6</f>
        <v>1138.97</v>
      </c>
      <c r="F27" s="589">
        <f>'GEXBLU Limp.Ord. '!H156</f>
        <v>0</v>
      </c>
      <c r="G27" s="774">
        <f>'Prod. GEXBLU'!D6</f>
        <v>222.29</v>
      </c>
      <c r="H27" s="590">
        <f>'GEXBLU Limp.Ord. '!H162</f>
        <v>0</v>
      </c>
      <c r="I27" s="774">
        <f>'Prod. GEXBLU'!E6</f>
        <v>82.46</v>
      </c>
      <c r="J27" s="590">
        <f>'GEXBLU Limp.Ord. '!H168</f>
        <v>0</v>
      </c>
      <c r="K27" s="774">
        <f>'Prod. GEXBLU'!F6</f>
        <v>47.44</v>
      </c>
      <c r="L27" s="598">
        <f>'GEXBLU Limp.Ord. '!H174</f>
        <v>0</v>
      </c>
      <c r="M27" s="774">
        <f>'Prod. GEXBLU'!G6</f>
        <v>388.09</v>
      </c>
      <c r="N27" s="590">
        <f>'GEXBLU Limp.Ord. '!H180</f>
        <v>0</v>
      </c>
      <c r="O27" s="774">
        <f>'Prod. GEXBLU'!H6</f>
        <v>118.12</v>
      </c>
      <c r="P27" s="590">
        <f>'GEXBLU Limp.Ord. '!H183</f>
        <v>0</v>
      </c>
      <c r="Q27" s="774">
        <f>'Prod. GEXBLU'!I6</f>
        <v>265.26</v>
      </c>
      <c r="R27" s="590">
        <f>'GEXBLU Limp.Ord. '!H186</f>
        <v>0</v>
      </c>
      <c r="S27" s="597">
        <f>'Prod. GEXBLU'!J6</f>
        <v>0</v>
      </c>
      <c r="T27" s="590"/>
      <c r="U27" s="774">
        <f>'Prod. GEXBLU'!K6</f>
        <v>232.04</v>
      </c>
      <c r="V27" s="590">
        <f>'GEXBLU Limp.Ord. '!H195</f>
        <v>0</v>
      </c>
      <c r="W27" s="777">
        <f>'Prod. GEXBLU'!L6</f>
        <v>232.04</v>
      </c>
      <c r="X27" s="590">
        <f>'GEXBLU Limp.Ord. '!H198</f>
        <v>0</v>
      </c>
      <c r="Y27" s="600">
        <f t="shared" si="1"/>
        <v>0</v>
      </c>
      <c r="Z27" s="646">
        <f>'Prod. GEXBLU'!Q6*'GEXBLU Covid'!C141</f>
        <v>0</v>
      </c>
      <c r="AA27" s="645">
        <f>'Prod. GEXFLO'!R6*'GEXBLU Limp.Ord. '!C147</f>
        <v>0</v>
      </c>
      <c r="AB27" s="510">
        <f>'Prod. GEXBLU'!S6*'GEXBLU Covid'!C147</f>
        <v>0</v>
      </c>
      <c r="AC27" s="660"/>
      <c r="ALO27" s="169"/>
      <c r="ALP27" s="169"/>
      <c r="ALQ27" s="169"/>
      <c r="ALR27" s="169"/>
      <c r="ALS27" s="169"/>
      <c r="ALT27" s="169"/>
      <c r="ALU27" s="169"/>
      <c r="ALV27" s="169"/>
      <c r="ALW27" s="169"/>
      <c r="ALX27" s="169"/>
      <c r="ALY27" s="169"/>
      <c r="ALZ27" s="169"/>
      <c r="AMA27" s="169"/>
    </row>
    <row r="28" spans="1:1015" s="156" customFormat="1" ht="12.75" x14ac:dyDescent="0.2">
      <c r="A28" s="659" t="str">
        <f>'Prod. GEXBLU'!A7</f>
        <v>APS BRUSQUE</v>
      </c>
      <c r="B28" s="538" t="s">
        <v>391</v>
      </c>
      <c r="C28" s="538" t="s">
        <v>392</v>
      </c>
      <c r="D28" s="269">
        <f>MC!I76/100</f>
        <v>0</v>
      </c>
      <c r="E28" s="774">
        <f>'Prod. GEXBLU'!C7</f>
        <v>511.2</v>
      </c>
      <c r="F28" s="589">
        <f>'GEXBLU Limp.Ord. '!D156</f>
        <v>0</v>
      </c>
      <c r="G28" s="774">
        <f>'Prod. GEXBLU'!D7</f>
        <v>1175.1500000000001</v>
      </c>
      <c r="H28" s="590">
        <f>'GEXBLU Limp.Ord. '!D162</f>
        <v>0</v>
      </c>
      <c r="I28" s="774">
        <f>'Prod. GEXBLU'!E7</f>
        <v>39.1</v>
      </c>
      <c r="J28" s="590">
        <f>'GEXBLU Limp.Ord. '!D168</f>
        <v>0</v>
      </c>
      <c r="K28" s="774">
        <f>'Prod. GEXBLU'!F7</f>
        <v>65.08</v>
      </c>
      <c r="L28" s="598">
        <f>'GEXBLU Limp.Ord. '!D174</f>
        <v>0</v>
      </c>
      <c r="M28" s="774">
        <f>'Prod. GEXBLU'!G7</f>
        <v>853.03</v>
      </c>
      <c r="N28" s="590">
        <f>'GEXBLU Limp.Ord. '!D180</f>
        <v>0</v>
      </c>
      <c r="O28" s="774">
        <f>'Prod. GEXBLU'!H7</f>
        <v>440.53</v>
      </c>
      <c r="P28" s="590">
        <f>'GEXBLU Limp.Ord. '!D183</f>
        <v>0</v>
      </c>
      <c r="Q28" s="774">
        <f>'Prod. GEXBLU'!I7</f>
        <v>244.09</v>
      </c>
      <c r="R28" s="590">
        <f>'GEXBLU Limp.Ord. '!D186</f>
        <v>0</v>
      </c>
      <c r="S28" s="597">
        <f>'Prod. GEXBLU'!J7</f>
        <v>0</v>
      </c>
      <c r="T28" s="590"/>
      <c r="U28" s="774">
        <f>'Prod. GEXBLU'!K7</f>
        <v>69.870000000000019</v>
      </c>
      <c r="V28" s="590">
        <f>'GEXBLU Limp.Ord. '!D195</f>
        <v>0</v>
      </c>
      <c r="W28" s="777">
        <f>'Prod. GEXBLU'!L7</f>
        <v>69.870000000000019</v>
      </c>
      <c r="X28" s="590">
        <f>'GEXBLU Limp.Ord. '!D198</f>
        <v>0</v>
      </c>
      <c r="Y28" s="600">
        <f t="shared" si="1"/>
        <v>0</v>
      </c>
      <c r="Z28" s="646">
        <f>'Prod. GEXBLU'!Q7*'GEXBLU Covid'!C139</f>
        <v>0</v>
      </c>
      <c r="AA28" s="645">
        <f>'Prod. GEXFLO'!R7*'GEXBLU Limp.Ord. '!C145</f>
        <v>0</v>
      </c>
      <c r="AB28" s="510">
        <f>'Prod. GEXBLU'!S7*'GEXBLU Covid'!C145</f>
        <v>0</v>
      </c>
      <c r="AC28" s="660"/>
      <c r="ALO28" s="169"/>
      <c r="ALP28" s="169"/>
      <c r="ALQ28" s="169"/>
      <c r="ALR28" s="169"/>
      <c r="ALS28" s="169"/>
      <c r="ALT28" s="169"/>
      <c r="ALU28" s="169"/>
      <c r="ALV28" s="169"/>
      <c r="ALW28" s="169"/>
      <c r="ALX28" s="169"/>
      <c r="ALY28" s="169"/>
      <c r="ALZ28" s="169"/>
      <c r="AMA28" s="169"/>
    </row>
    <row r="29" spans="1:1015" s="156" customFormat="1" ht="12.75" x14ac:dyDescent="0.2">
      <c r="A29" s="659" t="str">
        <f>'Prod. GEXBLU'!A8</f>
        <v>APS IBIRAMA</v>
      </c>
      <c r="B29" s="538" t="s">
        <v>393</v>
      </c>
      <c r="C29" s="538" t="s">
        <v>394</v>
      </c>
      <c r="D29" s="269">
        <f>MC!I77/100</f>
        <v>0</v>
      </c>
      <c r="E29" s="774">
        <f>'Prod. GEXBLU'!C8</f>
        <v>317.24</v>
      </c>
      <c r="F29" s="589">
        <f>'GEXBLU Limp.Ord. '!N156</f>
        <v>0</v>
      </c>
      <c r="G29" s="774">
        <f>'Prod. GEXBLU'!D8</f>
        <v>84.04</v>
      </c>
      <c r="H29" s="590">
        <f>'GEXBLU Limp.Ord. '!N162</f>
        <v>0</v>
      </c>
      <c r="I29" s="774">
        <f>'Prod. GEXBLU'!E8</f>
        <v>0</v>
      </c>
      <c r="J29" s="590">
        <f>'GEXBLU Limp.Ord. '!N168</f>
        <v>0</v>
      </c>
      <c r="K29" s="774">
        <f>'Prod. GEXBLU'!F8</f>
        <v>37</v>
      </c>
      <c r="L29" s="598">
        <f>'GEXBLU Limp.Ord. '!N174</f>
        <v>0</v>
      </c>
      <c r="M29" s="774">
        <f>'Prod. GEXBLU'!G8</f>
        <v>60.76</v>
      </c>
      <c r="N29" s="590">
        <f>'GEXBLU Limp.Ord. '!N180</f>
        <v>0</v>
      </c>
      <c r="O29" s="774">
        <f>'Prod. GEXBLU'!H8</f>
        <v>517.51</v>
      </c>
      <c r="P29" s="590">
        <f>'GEXBLU Limp.Ord. '!N183</f>
        <v>0</v>
      </c>
      <c r="Q29" s="774">
        <f>'Prod. GEXBLU'!I8</f>
        <v>108</v>
      </c>
      <c r="R29" s="590">
        <f>'GEXBLU Limp.Ord. '!N186</f>
        <v>0</v>
      </c>
      <c r="S29" s="597">
        <f>'Prod. GEXBLU'!J8</f>
        <v>0</v>
      </c>
      <c r="T29" s="590"/>
      <c r="U29" s="774">
        <f>'Prod. GEXBLU'!K8</f>
        <v>115.75</v>
      </c>
      <c r="V29" s="590">
        <f>'GEXBLU Limp.Ord. '!N195</f>
        <v>0</v>
      </c>
      <c r="W29" s="777">
        <f>'Prod. GEXBLU'!L8</f>
        <v>115.75</v>
      </c>
      <c r="X29" s="590">
        <f>'GEXBLU Limp.Ord. '!N198</f>
        <v>0</v>
      </c>
      <c r="Y29" s="600">
        <f t="shared" si="1"/>
        <v>0</v>
      </c>
      <c r="Z29" s="646"/>
      <c r="AA29" s="645">
        <f>'Prod. GEXFLO'!R8*'GEXBLU Limp.Ord. '!C150</f>
        <v>0</v>
      </c>
      <c r="AB29" s="510">
        <f>'Prod. GEXBLU'!S8*'GEXBLU Covid'!C150</f>
        <v>0</v>
      </c>
      <c r="AC29" s="660"/>
      <c r="ALO29" s="169"/>
      <c r="ALP29" s="169"/>
      <c r="ALQ29" s="169"/>
      <c r="ALR29" s="169"/>
      <c r="ALS29" s="169"/>
      <c r="ALT29" s="169"/>
      <c r="ALU29" s="169"/>
      <c r="ALV29" s="169"/>
      <c r="ALW29" s="169"/>
      <c r="ALX29" s="169"/>
      <c r="ALY29" s="169"/>
      <c r="ALZ29" s="169"/>
      <c r="AMA29" s="169"/>
    </row>
    <row r="30" spans="1:1015" s="156" customFormat="1" ht="12.75" x14ac:dyDescent="0.2">
      <c r="A30" s="659" t="str">
        <f>'Prod. GEXBLU'!A9</f>
        <v>APS INDAIAL</v>
      </c>
      <c r="B30" s="538" t="s">
        <v>395</v>
      </c>
      <c r="C30" s="538" t="s">
        <v>396</v>
      </c>
      <c r="D30" s="269">
        <f>MC!I78/100</f>
        <v>0</v>
      </c>
      <c r="E30" s="774">
        <f>'Prod. GEXBLU'!C9</f>
        <v>174.1</v>
      </c>
      <c r="F30" s="589">
        <f>'GEXBLU Limp.Ord. '!H156</f>
        <v>0</v>
      </c>
      <c r="G30" s="774">
        <f>'Prod. GEXBLU'!D9</f>
        <v>19</v>
      </c>
      <c r="H30" s="590">
        <f>'GEXBLU Limp.Ord. '!H162</f>
        <v>0</v>
      </c>
      <c r="I30" s="774">
        <f>'Prod. GEXBLU'!E9</f>
        <v>0</v>
      </c>
      <c r="J30" s="590">
        <f>'GEXBLU Limp.Ord. '!H168</f>
        <v>0</v>
      </c>
      <c r="K30" s="774">
        <f>'Prod. GEXBLU'!F9</f>
        <v>9.3000000000000007</v>
      </c>
      <c r="L30" s="598">
        <f>'GEXBLU Limp.Ord. '!H174</f>
        <v>0</v>
      </c>
      <c r="M30" s="774">
        <f>'Prod. GEXBLU'!G9</f>
        <v>51.38</v>
      </c>
      <c r="N30" s="590">
        <f>'GEXBLU Limp.Ord. '!H180</f>
        <v>0</v>
      </c>
      <c r="O30" s="774">
        <f>'Prod. GEXBLU'!H9</f>
        <v>0</v>
      </c>
      <c r="P30" s="590">
        <f>'GEXBLU Limp.Ord. '!H183</f>
        <v>0</v>
      </c>
      <c r="Q30" s="774">
        <f>'Prod. GEXBLU'!I9</f>
        <v>0</v>
      </c>
      <c r="R30" s="590">
        <f>'GEXBLU Limp.Ord. '!H186</f>
        <v>0</v>
      </c>
      <c r="S30" s="597">
        <f>'Prod. GEXBLU'!J9</f>
        <v>0</v>
      </c>
      <c r="T30" s="590"/>
      <c r="U30" s="774">
        <f>'Prod. GEXBLU'!K9</f>
        <v>0</v>
      </c>
      <c r="V30" s="590">
        <f>'GEXBLU Limp.Ord. '!H195</f>
        <v>0</v>
      </c>
      <c r="W30" s="777">
        <f>'Prod. GEXBLU'!L9</f>
        <v>0</v>
      </c>
      <c r="X30" s="590">
        <f>'GEXBLU Limp.Ord. '!H198</f>
        <v>0</v>
      </c>
      <c r="Y30" s="600">
        <f t="shared" si="1"/>
        <v>0</v>
      </c>
      <c r="Z30" s="646"/>
      <c r="AA30" s="645">
        <f>'Prod. GEXFLO'!R9*'GEXBLU Limp.Ord. '!C147</f>
        <v>0</v>
      </c>
      <c r="AB30" s="510">
        <f>'Prod. GEXBLU'!S9*'GEXBLU Covid'!C147</f>
        <v>0</v>
      </c>
      <c r="AC30" s="660"/>
      <c r="ALO30" s="169"/>
      <c r="ALP30" s="169"/>
      <c r="ALQ30" s="169"/>
      <c r="ALR30" s="169"/>
      <c r="ALS30" s="169"/>
      <c r="ALT30" s="169"/>
      <c r="ALU30" s="169"/>
      <c r="ALV30" s="169"/>
      <c r="ALW30" s="169"/>
      <c r="ALX30" s="169"/>
      <c r="ALY30" s="169"/>
      <c r="ALZ30" s="169"/>
      <c r="AMA30" s="169"/>
    </row>
    <row r="31" spans="1:1015" s="156" customFormat="1" ht="12.75" x14ac:dyDescent="0.2">
      <c r="A31" s="659" t="str">
        <f>'Prod. GEXBLU'!A10</f>
        <v>APS ITAJAÍ</v>
      </c>
      <c r="B31" s="538" t="s">
        <v>397</v>
      </c>
      <c r="C31" s="538" t="s">
        <v>398</v>
      </c>
      <c r="D31" s="269">
        <f>MC!I79/100</f>
        <v>0</v>
      </c>
      <c r="E31" s="774">
        <f>'Prod. GEXBLU'!C10</f>
        <v>959.92</v>
      </c>
      <c r="F31" s="589">
        <f>'GEXBLU Limp.Ord. '!D156</f>
        <v>0</v>
      </c>
      <c r="G31" s="774">
        <f>'Prod. GEXBLU'!D10</f>
        <v>1697</v>
      </c>
      <c r="H31" s="590">
        <f>'GEXBLU Limp.Ord. '!D162</f>
        <v>0</v>
      </c>
      <c r="I31" s="774">
        <f>'Prod. GEXBLU'!E10</f>
        <v>182</v>
      </c>
      <c r="J31" s="590">
        <f>'GEXBLU Limp.Ord. '!D168</f>
        <v>0</v>
      </c>
      <c r="K31" s="774">
        <f>'Prod. GEXBLU'!F10</f>
        <v>98</v>
      </c>
      <c r="L31" s="598">
        <f>'GEXBLU Limp.Ord. '!D174</f>
        <v>0</v>
      </c>
      <c r="M31" s="774">
        <f>'Prod. GEXBLU'!G10</f>
        <v>264.07</v>
      </c>
      <c r="N31" s="590">
        <f>'GEXBLU Limp.Ord. '!D180</f>
        <v>0</v>
      </c>
      <c r="O31" s="774">
        <f>'Prod. GEXBLU'!H10</f>
        <v>0</v>
      </c>
      <c r="P31" s="590">
        <f>'GEXBLU Limp.Ord. '!D183</f>
        <v>0</v>
      </c>
      <c r="Q31" s="774">
        <f>'Prod. GEXBLU'!I10</f>
        <v>222.62</v>
      </c>
      <c r="R31" s="590">
        <f>'GEXBLU Limp.Ord. '!D186</f>
        <v>0</v>
      </c>
      <c r="S31" s="597">
        <f>'Prod. GEXBLU'!J10</f>
        <v>0</v>
      </c>
      <c r="T31" s="590"/>
      <c r="U31" s="774">
        <f>'Prod. GEXBLU'!K10</f>
        <v>185.39000000000004</v>
      </c>
      <c r="V31" s="590">
        <f>'GEXBLU Limp.Ord. '!D195</f>
        <v>0</v>
      </c>
      <c r="W31" s="777">
        <f>'Prod. GEXBLU'!L10</f>
        <v>185.39000000000004</v>
      </c>
      <c r="X31" s="590">
        <f>'GEXBLU Limp.Ord. '!D198</f>
        <v>0</v>
      </c>
      <c r="Y31" s="600">
        <f t="shared" si="1"/>
        <v>0</v>
      </c>
      <c r="Z31" s="646">
        <f>'Prod. GEXBLU'!Q10*'GEXBLU Covid'!C139</f>
        <v>0</v>
      </c>
      <c r="AA31" s="645">
        <f>'Prod. GEXFLO'!R10*'GEXBLU Limp.Ord. '!C145</f>
        <v>0</v>
      </c>
      <c r="AB31" s="510">
        <f>'Prod. GEXBLU'!S10*'GEXBLU Covid'!C145</f>
        <v>0</v>
      </c>
      <c r="AC31" s="660"/>
      <c r="ALO31" s="169"/>
      <c r="ALP31" s="169"/>
      <c r="ALQ31" s="169"/>
      <c r="ALR31" s="169"/>
      <c r="ALS31" s="169"/>
      <c r="ALT31" s="169"/>
      <c r="ALU31" s="169"/>
      <c r="ALV31" s="169"/>
      <c r="ALW31" s="169"/>
      <c r="ALX31" s="169"/>
      <c r="ALY31" s="169"/>
      <c r="ALZ31" s="169"/>
      <c r="AMA31" s="169"/>
    </row>
    <row r="32" spans="1:1015" s="156" customFormat="1" ht="12.75" x14ac:dyDescent="0.2">
      <c r="A32" s="659" t="str">
        <f>'Prod. GEXBLU'!A11</f>
        <v>APS RIO DO SUL</v>
      </c>
      <c r="B32" s="538" t="s">
        <v>399</v>
      </c>
      <c r="C32" s="538" t="s">
        <v>400</v>
      </c>
      <c r="D32" s="269">
        <f>MC!I80/100</f>
        <v>0</v>
      </c>
      <c r="E32" s="774">
        <f>'Prod. GEXBLU'!C11</f>
        <v>596.27</v>
      </c>
      <c r="F32" s="589">
        <f>'GEXBLU Limp.Ord. '!D156</f>
        <v>0</v>
      </c>
      <c r="G32" s="774">
        <f>'Prod. GEXBLU'!D11</f>
        <v>1271.3800000000001</v>
      </c>
      <c r="H32" s="590">
        <f>'GEXBLU Limp.Ord. '!D162</f>
        <v>0</v>
      </c>
      <c r="I32" s="774">
        <f>'Prod. GEXBLU'!E11</f>
        <v>31.65</v>
      </c>
      <c r="J32" s="590">
        <f>'GEXBLU Limp.Ord. '!D168</f>
        <v>0</v>
      </c>
      <c r="K32" s="774">
        <f>'Prod. GEXBLU'!F11</f>
        <v>46.3</v>
      </c>
      <c r="L32" s="598">
        <f>'GEXBLU Limp.Ord. '!D174</f>
        <v>0</v>
      </c>
      <c r="M32" s="774">
        <f>'Prod. GEXBLU'!G11</f>
        <v>257.76</v>
      </c>
      <c r="N32" s="590">
        <f>'GEXBLU Limp.Ord. '!D180</f>
        <v>0</v>
      </c>
      <c r="O32" s="774">
        <f>'Prod. GEXBLU'!H11</f>
        <v>6</v>
      </c>
      <c r="P32" s="590">
        <f>'GEXBLU Limp.Ord. '!D183</f>
        <v>0</v>
      </c>
      <c r="Q32" s="774">
        <f>'Prod. GEXBLU'!I11</f>
        <v>120</v>
      </c>
      <c r="R32" s="590">
        <f>'GEXBLU Limp.Ord. '!D186</f>
        <v>0</v>
      </c>
      <c r="S32" s="597">
        <f>'Prod. GEXBLU'!J11</f>
        <v>0</v>
      </c>
      <c r="T32" s="590"/>
      <c r="U32" s="774">
        <f>'Prod. GEXBLU'!K11</f>
        <v>141.43</v>
      </c>
      <c r="V32" s="590">
        <f>'GEXBLU Limp.Ord. '!D195</f>
        <v>0</v>
      </c>
      <c r="W32" s="777">
        <f>'Prod. GEXBLU'!L11</f>
        <v>141.43</v>
      </c>
      <c r="X32" s="590">
        <f>'GEXBLU Limp.Ord. '!D198</f>
        <v>0</v>
      </c>
      <c r="Y32" s="600">
        <f t="shared" si="1"/>
        <v>0</v>
      </c>
      <c r="Z32" s="646">
        <f>'Prod. GEXBLU'!Q11*'GEXBLU Covid'!C139</f>
        <v>0</v>
      </c>
      <c r="AA32" s="645">
        <f>'Prod. GEXFLO'!R11*'GEXBLU Limp.Ord. '!C145</f>
        <v>0</v>
      </c>
      <c r="AB32" s="510">
        <f>'Prod. GEXBLU'!S11*'GEXBLU Covid'!C145</f>
        <v>0</v>
      </c>
      <c r="AC32" s="660"/>
      <c r="ALO32" s="169"/>
      <c r="ALP32" s="169"/>
      <c r="ALQ32" s="169"/>
      <c r="ALR32" s="169"/>
      <c r="ALS32" s="169"/>
      <c r="ALT32" s="169"/>
      <c r="ALU32" s="169"/>
      <c r="ALV32" s="169"/>
      <c r="ALW32" s="169"/>
      <c r="ALX32" s="169"/>
      <c r="ALY32" s="169"/>
      <c r="ALZ32" s="169"/>
      <c r="AMA32" s="169"/>
    </row>
    <row r="33" spans="1:1015" s="156" customFormat="1" ht="12.75" x14ac:dyDescent="0.2">
      <c r="A33" s="659" t="str">
        <f>'Prod. GEXBLU'!A12</f>
        <v>APS TIMBÓ</v>
      </c>
      <c r="B33" s="538" t="s">
        <v>401</v>
      </c>
      <c r="C33" s="538" t="s">
        <v>402</v>
      </c>
      <c r="D33" s="269">
        <f>MC!I81/100</f>
        <v>0</v>
      </c>
      <c r="E33" s="774">
        <f>'Prod. GEXBLU'!C12</f>
        <v>374</v>
      </c>
      <c r="F33" s="589">
        <f>'GEXBLU Limp.Ord. '!H156</f>
        <v>0</v>
      </c>
      <c r="G33" s="774">
        <f>'Prod. GEXBLU'!D12</f>
        <v>382</v>
      </c>
      <c r="H33" s="590">
        <f>'GEXBLU Limp.Ord. '!H162</f>
        <v>0</v>
      </c>
      <c r="I33" s="774">
        <f>'Prod. GEXBLU'!E12</f>
        <v>39.700000000000003</v>
      </c>
      <c r="J33" s="590">
        <f>'GEXBLU Limp.Ord. '!H168</f>
        <v>0</v>
      </c>
      <c r="K33" s="774">
        <f>'Prod. GEXBLU'!F12</f>
        <v>41</v>
      </c>
      <c r="L33" s="598">
        <f>'GEXBLU Limp.Ord. '!H174</f>
        <v>0</v>
      </c>
      <c r="M33" s="774">
        <f>'Prod. GEXBLU'!G12</f>
        <v>269.70999999999998</v>
      </c>
      <c r="N33" s="590">
        <f>'GEXBLU Limp.Ord. '!H180</f>
        <v>0</v>
      </c>
      <c r="O33" s="774">
        <f>'Prod. GEXBLU'!H12</f>
        <v>1053.18</v>
      </c>
      <c r="P33" s="590">
        <f>'GEXBLU Limp.Ord. '!H183</f>
        <v>0</v>
      </c>
      <c r="Q33" s="774">
        <f>'Prod. GEXBLU'!I12</f>
        <v>368.21</v>
      </c>
      <c r="R33" s="590">
        <f>'GEXBLU Limp.Ord. '!H186</f>
        <v>0</v>
      </c>
      <c r="S33" s="597">
        <f>'Prod. GEXBLU'!J12</f>
        <v>0</v>
      </c>
      <c r="T33" s="590"/>
      <c r="U33" s="774">
        <f>'Prod. GEXBLU'!K12</f>
        <v>90.66</v>
      </c>
      <c r="V33" s="590">
        <f>'GEXBLU Limp.Ord. '!H195</f>
        <v>0</v>
      </c>
      <c r="W33" s="777">
        <f>'Prod. GEXBLU'!L12</f>
        <v>90.66</v>
      </c>
      <c r="X33" s="590">
        <f>'GEXBLU Limp.Ord. '!H198</f>
        <v>0</v>
      </c>
      <c r="Y33" s="600">
        <f t="shared" si="1"/>
        <v>0</v>
      </c>
      <c r="Z33" s="646">
        <f>'Prod. GEXBLU'!P12*'GEXBLU Covid'!D141</f>
        <v>0</v>
      </c>
      <c r="AA33" s="645">
        <f>'Prod. GEXFLO'!R12*'GEXBLU Limp.Ord. '!C147</f>
        <v>0</v>
      </c>
      <c r="AB33" s="510">
        <f>'Prod. GEXBLU'!S12*'GEXBLU Covid'!C147</f>
        <v>0</v>
      </c>
      <c r="AC33" s="660"/>
      <c r="ALO33" s="169"/>
      <c r="ALP33" s="169"/>
      <c r="ALQ33" s="169"/>
      <c r="ALR33" s="169"/>
      <c r="ALS33" s="169"/>
      <c r="ALT33" s="169"/>
      <c r="ALU33" s="169"/>
      <c r="ALV33" s="169"/>
      <c r="ALW33" s="169"/>
      <c r="ALX33" s="169"/>
      <c r="ALY33" s="169"/>
      <c r="ALZ33" s="169"/>
      <c r="AMA33" s="169"/>
    </row>
    <row r="34" spans="1:1015" s="156" customFormat="1" ht="12.75" x14ac:dyDescent="0.2">
      <c r="A34" s="659" t="str">
        <f>'Prod. GEXBLU'!A13</f>
        <v>APS BALNEÁRIO DE CAMBORIÚ</v>
      </c>
      <c r="B34" s="538" t="s">
        <v>403</v>
      </c>
      <c r="C34" s="538" t="s">
        <v>404</v>
      </c>
      <c r="D34" s="269">
        <f>MC!I82/100</f>
        <v>0</v>
      </c>
      <c r="E34" s="774">
        <f>'Prod. GEXBLU'!C13</f>
        <v>374.46</v>
      </c>
      <c r="F34" s="589">
        <f>'GEXBLU Limp.Ord. '!F156</f>
        <v>0</v>
      </c>
      <c r="G34" s="774">
        <f>'Prod. GEXBLU'!D13</f>
        <v>54.12</v>
      </c>
      <c r="H34" s="590">
        <f>'GEXBLU Limp.Ord. '!F162</f>
        <v>0</v>
      </c>
      <c r="I34" s="774">
        <f>'Prod. GEXBLU'!E13</f>
        <v>70.349999999999994</v>
      </c>
      <c r="J34" s="590">
        <f>'GEXBLU Limp.Ord. '!F168</f>
        <v>0</v>
      </c>
      <c r="K34" s="774">
        <f>'Prod. GEXBLU'!F13</f>
        <v>30.38</v>
      </c>
      <c r="L34" s="598">
        <f>'GEXBLU Limp.Ord. '!F174</f>
        <v>0</v>
      </c>
      <c r="M34" s="774">
        <f>'Prod. GEXBLU'!G13</f>
        <v>0</v>
      </c>
      <c r="N34" s="590">
        <f>'GEXBLU Limp.Ord. '!F180</f>
        <v>0</v>
      </c>
      <c r="O34" s="774">
        <f>'Prod. GEXBLU'!H13</f>
        <v>0</v>
      </c>
      <c r="P34" s="590">
        <f>'GEXBLU Limp.Ord. '!F183</f>
        <v>0</v>
      </c>
      <c r="Q34" s="774">
        <f>'Prod. GEXBLU'!I13</f>
        <v>30</v>
      </c>
      <c r="R34" s="590">
        <f>'GEXBLU Limp.Ord. '!F186</f>
        <v>0</v>
      </c>
      <c r="S34" s="597">
        <f>'Prod. GEXBLU'!J13</f>
        <v>0</v>
      </c>
      <c r="T34" s="590"/>
      <c r="U34" s="774">
        <f>'Prod. GEXBLU'!K13</f>
        <v>18.18</v>
      </c>
      <c r="V34" s="590">
        <f>'GEXBLU Limp.Ord. '!F195</f>
        <v>0</v>
      </c>
      <c r="W34" s="777">
        <f>'Prod. GEXBLU'!L13</f>
        <v>18.18</v>
      </c>
      <c r="X34" s="590">
        <f>'GEXBLU Limp.Ord. '!F198</f>
        <v>0</v>
      </c>
      <c r="Y34" s="600">
        <f t="shared" si="1"/>
        <v>0</v>
      </c>
      <c r="Z34" s="646">
        <f>'Prod. GEXBLU'!Q13*'GEXBLU Covid'!C140</f>
        <v>0</v>
      </c>
      <c r="AA34" s="645">
        <f>'Prod. GEXFLO'!R13*'GEXBLU Limp.Ord. '!C146</f>
        <v>0</v>
      </c>
      <c r="AB34" s="510">
        <f>'Prod. GEXBLU'!S13*'GEXBLU Covid'!C146</f>
        <v>0</v>
      </c>
      <c r="AC34" s="660"/>
      <c r="ALO34" s="169"/>
      <c r="ALP34" s="169"/>
      <c r="ALQ34" s="169"/>
      <c r="ALR34" s="169"/>
      <c r="ALS34" s="169"/>
      <c r="ALT34" s="169"/>
      <c r="ALU34" s="169"/>
      <c r="ALV34" s="169"/>
      <c r="ALW34" s="169"/>
      <c r="ALX34" s="169"/>
      <c r="ALY34" s="169"/>
      <c r="ALZ34" s="169"/>
      <c r="AMA34" s="169"/>
    </row>
    <row r="35" spans="1:1015" s="156" customFormat="1" ht="12.75" x14ac:dyDescent="0.2">
      <c r="A35" s="659" t="str">
        <f>'Prod. GEXBLU'!A14</f>
        <v>APS PENHA</v>
      </c>
      <c r="B35" s="538" t="s">
        <v>405</v>
      </c>
      <c r="C35" s="538" t="s">
        <v>406</v>
      </c>
      <c r="D35" s="269">
        <f>MC!I83/100</f>
        <v>0</v>
      </c>
      <c r="E35" s="774">
        <f>'Prod. GEXBLU'!C14</f>
        <v>258.60000000000002</v>
      </c>
      <c r="F35" s="589">
        <f>'GEXBLU Limp.Ord. '!H156</f>
        <v>0</v>
      </c>
      <c r="G35" s="774">
        <f>'Prod. GEXBLU'!D14</f>
        <v>21.85</v>
      </c>
      <c r="H35" s="590">
        <f>'GEXBLU Limp.Ord. '!H162</f>
        <v>0</v>
      </c>
      <c r="I35" s="774">
        <f>'Prod. GEXBLU'!E14</f>
        <v>33.79</v>
      </c>
      <c r="J35" s="590">
        <f>'GEXBLU Limp.Ord. '!H168</f>
        <v>0</v>
      </c>
      <c r="K35" s="774">
        <f>'Prod. GEXBLU'!F14</f>
        <v>24.05</v>
      </c>
      <c r="L35" s="598">
        <f>'GEXBLU Limp.Ord. '!H174</f>
        <v>0</v>
      </c>
      <c r="M35" s="774">
        <f>'Prod. GEXBLU'!G14</f>
        <v>314.49</v>
      </c>
      <c r="N35" s="590">
        <f>'GEXBLU Limp.Ord. '!H180</f>
        <v>0</v>
      </c>
      <c r="O35" s="774">
        <f>'Prod. GEXBLU'!H14</f>
        <v>128.33000000000001</v>
      </c>
      <c r="P35" s="590">
        <f>'GEXBLU Limp.Ord. '!H183</f>
        <v>0</v>
      </c>
      <c r="Q35" s="774">
        <f>'Prod. GEXBLU'!I14</f>
        <v>232.21</v>
      </c>
      <c r="R35" s="590">
        <f>'GEXBLU Limp.Ord. '!H186</f>
        <v>0</v>
      </c>
      <c r="S35" s="597">
        <f>'Prod. GEXBLU'!J14</f>
        <v>0</v>
      </c>
      <c r="T35" s="590"/>
      <c r="U35" s="774">
        <f>'Prod. GEXBLU'!K14</f>
        <v>69.77</v>
      </c>
      <c r="V35" s="590">
        <f>'GEXBLU Limp.Ord. '!H195</f>
        <v>0</v>
      </c>
      <c r="W35" s="777">
        <f>'Prod. GEXBLU'!L14</f>
        <v>69.77</v>
      </c>
      <c r="X35" s="590">
        <f>'GEXBLU Limp.Ord. '!H198</f>
        <v>0</v>
      </c>
      <c r="Y35" s="600">
        <f t="shared" si="1"/>
        <v>0</v>
      </c>
      <c r="Z35" s="646"/>
      <c r="AA35" s="645">
        <f>'Prod. GEXFLO'!R14*'GEXBLU Limp.Ord. '!C147</f>
        <v>0</v>
      </c>
      <c r="AB35" s="510">
        <f>'Prod. GEXBLU'!S14*'GEXBLU Covid'!C147</f>
        <v>0</v>
      </c>
      <c r="AC35" s="660"/>
      <c r="ALO35" s="169"/>
      <c r="ALP35" s="169"/>
      <c r="ALQ35" s="169"/>
      <c r="ALR35" s="169"/>
      <c r="ALS35" s="169"/>
      <c r="ALT35" s="169"/>
      <c r="ALU35" s="169"/>
      <c r="ALV35" s="169"/>
      <c r="ALW35" s="169"/>
      <c r="ALX35" s="169"/>
      <c r="ALY35" s="169"/>
      <c r="ALZ35" s="169"/>
      <c r="AMA35" s="169"/>
    </row>
    <row r="36" spans="1:1015" s="156" customFormat="1" ht="12.75" x14ac:dyDescent="0.2">
      <c r="A36" s="696" t="str">
        <f>'Prod. GEXBLU'!A15</f>
        <v>APS POMERODE</v>
      </c>
      <c r="B36" s="697" t="s">
        <v>407</v>
      </c>
      <c r="C36" s="697" t="s">
        <v>408</v>
      </c>
      <c r="D36" s="698">
        <f>MC!I84/100</f>
        <v>0</v>
      </c>
      <c r="E36" s="775">
        <f>'Prod. GEXBLU'!C15</f>
        <v>258.60000000000002</v>
      </c>
      <c r="F36" s="699">
        <f>'GEXBLU Limp.Ord. '!J156</f>
        <v>0</v>
      </c>
      <c r="G36" s="775">
        <f>'Prod. GEXBLU'!D15</f>
        <v>21.85</v>
      </c>
      <c r="H36" s="700">
        <f>'GEXBLU Limp.Ord. '!J162</f>
        <v>0</v>
      </c>
      <c r="I36" s="775">
        <f>'Prod. GEXBLU'!E15</f>
        <v>33.79</v>
      </c>
      <c r="J36" s="700">
        <f>'GEXBLU Limp.Ord. '!J168</f>
        <v>0</v>
      </c>
      <c r="K36" s="775">
        <f>'Prod. GEXBLU'!F15</f>
        <v>24.05</v>
      </c>
      <c r="L36" s="701">
        <f>'GEXBLU Limp.Ord. '!J174</f>
        <v>0</v>
      </c>
      <c r="M36" s="775">
        <f>'Prod. GEXBLU'!G15</f>
        <v>611.16</v>
      </c>
      <c r="N36" s="700">
        <f>'GEXBLU Limp.Ord. '!J180</f>
        <v>0</v>
      </c>
      <c r="O36" s="775">
        <f>'Prod. GEXBLU'!H15</f>
        <v>278</v>
      </c>
      <c r="P36" s="700">
        <f>'GEXBLU Limp.Ord. '!J183</f>
        <v>0</v>
      </c>
      <c r="Q36" s="775">
        <f>'Prod. GEXBLU'!I15</f>
        <v>175.23</v>
      </c>
      <c r="R36" s="700">
        <f>'GEXBLU Limp.Ord. '!J186</f>
        <v>0</v>
      </c>
      <c r="S36" s="702">
        <f>'Prod. GEXBLU'!J15</f>
        <v>0</v>
      </c>
      <c r="T36" s="700"/>
      <c r="U36" s="775">
        <f>'Prod. GEXBLU'!K15</f>
        <v>69.77</v>
      </c>
      <c r="V36" s="700">
        <f>'GEXBLU Limp.Ord. '!J195</f>
        <v>0</v>
      </c>
      <c r="W36" s="778">
        <f>'Prod. GEXBLU'!L15</f>
        <v>69.77</v>
      </c>
      <c r="X36" s="700">
        <f>'GEXBLU Limp.Ord. '!J198</f>
        <v>0</v>
      </c>
      <c r="Y36" s="703">
        <f t="shared" si="1"/>
        <v>0</v>
      </c>
      <c r="Z36" s="704"/>
      <c r="AA36" s="705">
        <f>'Prod. GEXFLO'!R15*'GEXBLU Limp.Ord. '!C148</f>
        <v>0</v>
      </c>
      <c r="AB36" s="557">
        <f>'Prod. GEXBLU'!S15*'GEXBLU Covid'!C148</f>
        <v>0</v>
      </c>
      <c r="AC36" s="706"/>
      <c r="ALO36" s="169"/>
      <c r="ALP36" s="169"/>
      <c r="ALQ36" s="169"/>
      <c r="ALR36" s="169"/>
      <c r="ALS36" s="169"/>
      <c r="ALT36" s="169"/>
      <c r="ALU36" s="169"/>
      <c r="ALV36" s="169"/>
      <c r="ALW36" s="169"/>
      <c r="ALX36" s="169"/>
      <c r="ALY36" s="169"/>
      <c r="ALZ36" s="169"/>
      <c r="AMA36" s="169"/>
    </row>
    <row r="37" spans="1:1015" s="156" customFormat="1" ht="12.75" x14ac:dyDescent="0.2">
      <c r="A37" s="1006"/>
      <c r="B37" s="1007"/>
      <c r="C37" s="1007"/>
      <c r="D37" s="1008"/>
      <c r="E37" s="687">
        <f>SUM(E25:E36)</f>
        <v>6391.87</v>
      </c>
      <c r="F37" s="688"/>
      <c r="G37" s="689">
        <f>SUM(G25:G36)</f>
        <v>5263.55</v>
      </c>
      <c r="H37" s="689">
        <f t="shared" ref="H37:I37" si="2">SUM(H25:H36)</f>
        <v>0</v>
      </c>
      <c r="I37" s="689">
        <f t="shared" si="2"/>
        <v>839.83999999999992</v>
      </c>
      <c r="J37" s="689"/>
      <c r="K37" s="689">
        <f>SUM(K25:K36)</f>
        <v>515.29999999999995</v>
      </c>
      <c r="L37" s="690"/>
      <c r="M37" s="691">
        <f>SUM(M25:M36)</f>
        <v>3688.45</v>
      </c>
      <c r="N37" s="692"/>
      <c r="O37" s="691">
        <f>SUM(O25:O36)</f>
        <v>2541.67</v>
      </c>
      <c r="P37" s="690"/>
      <c r="Q37" s="689">
        <f>SUM(Q25:Q36)</f>
        <v>1910.6200000000001</v>
      </c>
      <c r="R37" s="690"/>
      <c r="S37" s="689">
        <f>SUM(S25:S36)</f>
        <v>0</v>
      </c>
      <c r="T37" s="690"/>
      <c r="U37" s="691">
        <f>SUM(U25:U36)</f>
        <v>1091.8599999999999</v>
      </c>
      <c r="V37" s="690"/>
      <c r="W37" s="693">
        <f>SUM(W25:W36)</f>
        <v>1091.8599999999999</v>
      </c>
      <c r="X37" s="690"/>
      <c r="Y37" s="690">
        <f>SUM(Y25:Y36)</f>
        <v>0</v>
      </c>
      <c r="Z37" s="694">
        <f>SUM(Z25:Z36)</f>
        <v>0</v>
      </c>
      <c r="AA37" s="693">
        <f>SUM(AA25:AA36)</f>
        <v>0</v>
      </c>
      <c r="AB37" s="694">
        <f>SUM(AB25:AB36)</f>
        <v>0</v>
      </c>
      <c r="AC37" s="695">
        <f>SUM(AC25:AC36)</f>
        <v>0</v>
      </c>
      <c r="ALO37" s="169"/>
      <c r="ALP37" s="169"/>
      <c r="ALQ37" s="169"/>
      <c r="ALR37" s="169"/>
      <c r="ALS37" s="169"/>
      <c r="ALT37" s="169"/>
      <c r="ALU37" s="169"/>
      <c r="ALV37" s="169"/>
      <c r="ALW37" s="169"/>
      <c r="ALX37" s="169"/>
      <c r="ALY37" s="169"/>
      <c r="ALZ37" s="169"/>
      <c r="AMA37" s="169"/>
    </row>
    <row r="38" spans="1:1015" s="156" customFormat="1" ht="15" x14ac:dyDescent="0.25">
      <c r="A38" s="707" t="s">
        <v>88</v>
      </c>
      <c r="B38" s="537" t="s">
        <v>409</v>
      </c>
      <c r="C38" s="537" t="s">
        <v>410</v>
      </c>
      <c r="D38" s="268">
        <f>MC!O73/100</f>
        <v>0</v>
      </c>
      <c r="E38" s="779">
        <f>'Prod. GEXJVL'!C4</f>
        <v>1038</v>
      </c>
      <c r="F38" s="708">
        <f>'GEXJVL Limp.Ord.'!F156</f>
        <v>0</v>
      </c>
      <c r="G38" s="779">
        <f>'Prod. GEXJVL'!D4</f>
        <v>395.4</v>
      </c>
      <c r="H38" s="709">
        <f>'GEXJVL Limp.Ord.'!F162</f>
        <v>0</v>
      </c>
      <c r="I38" s="779">
        <f>'Prod. GEXJVL'!E4</f>
        <v>0</v>
      </c>
      <c r="J38" s="709">
        <f>'GEXJVL Limp.Ord.'!F168</f>
        <v>0</v>
      </c>
      <c r="K38" s="779">
        <f>'Prod. GEXJVL'!F4</f>
        <v>81.400000000000006</v>
      </c>
      <c r="L38" s="709">
        <f>'GEXJVL Limp.Ord.'!F174</f>
        <v>0</v>
      </c>
      <c r="M38" s="779">
        <f>'Prod. GEXJVL'!G4</f>
        <v>766.1</v>
      </c>
      <c r="N38" s="709">
        <f>'GEXJVL Limp.Ord.'!F180</f>
        <v>0</v>
      </c>
      <c r="O38" s="779">
        <f>'Prod. GEXJVL'!H4</f>
        <v>0</v>
      </c>
      <c r="P38" s="709">
        <f>'GEXJVL Limp.Ord.'!F183</f>
        <v>0</v>
      </c>
      <c r="Q38" s="779">
        <f>'Prod. GEXJVL'!I4</f>
        <v>0</v>
      </c>
      <c r="R38" s="709">
        <f>'GEXJVL Limp.Ord.'!F186</f>
        <v>0</v>
      </c>
      <c r="S38" s="781">
        <v>166.24</v>
      </c>
      <c r="T38" s="709">
        <f>'GEXJVL Limp.Ord.'!F192</f>
        <v>0</v>
      </c>
      <c r="U38" s="781">
        <v>249.36</v>
      </c>
      <c r="V38" s="709">
        <f>'GEXJVL Limp.Ord.'!F195</f>
        <v>0</v>
      </c>
      <c r="W38" s="780">
        <f>'Prod. GEXJVL'!L4</f>
        <v>415.6</v>
      </c>
      <c r="X38" s="709">
        <f>'GEXJVL Limp.Ord.'!F198</f>
        <v>0</v>
      </c>
      <c r="Y38" s="599">
        <f t="shared" ref="Y38:Y47" si="3">(E38*F38)+(G38*H38)+(I38*J38)+(K38*L38)+(M38*N38)+(O38*P38)+(Q38*R38)+(S38*T38)+(U38*V38)+(W38*X38)</f>
        <v>0</v>
      </c>
      <c r="Z38" s="656"/>
      <c r="AA38" s="710">
        <f>'Prod. GEXJVL'!R4*'GEXJVL Limp.Ord.'!C146</f>
        <v>0</v>
      </c>
      <c r="AB38" s="711">
        <f>'Prod. GEXJVL'!S4*'GEXJVL Covid'!C146</f>
        <v>0</v>
      </c>
      <c r="AC38" s="712">
        <f>'Prod. GEXJVL'!T4*MC!C16</f>
        <v>0</v>
      </c>
      <c r="ALR38" s="171"/>
      <c r="ALS38" s="171"/>
      <c r="ALT38" s="171"/>
      <c r="ALU38" s="171"/>
      <c r="ALV38" s="171"/>
      <c r="ALW38" s="171"/>
      <c r="ALX38" s="171"/>
      <c r="ALY38" s="171"/>
      <c r="ALZ38" s="171"/>
      <c r="AMA38" s="171"/>
    </row>
    <row r="39" spans="1:1015" x14ac:dyDescent="0.2">
      <c r="A39" s="659" t="s">
        <v>91</v>
      </c>
      <c r="B39" s="538" t="s">
        <v>411</v>
      </c>
      <c r="C39" s="538" t="s">
        <v>412</v>
      </c>
      <c r="D39" s="269">
        <f>MC!O74/100</f>
        <v>0</v>
      </c>
      <c r="E39" s="774">
        <f>'Prod. GEXJVL'!C5</f>
        <v>545</v>
      </c>
      <c r="F39" s="589">
        <f>'GEXJVL Limp.Ord.'!H156</f>
        <v>0</v>
      </c>
      <c r="G39" s="774">
        <f>'Prod. GEXJVL'!D5</f>
        <v>1438</v>
      </c>
      <c r="H39" s="590">
        <f>'GEXJVL Limp.Ord.'!H162</f>
        <v>0</v>
      </c>
      <c r="I39" s="774">
        <f>'Prod. GEXJVL'!E5</f>
        <v>40.4</v>
      </c>
      <c r="J39" s="590">
        <f>'GEXJVL Limp.Ord.'!H168</f>
        <v>0</v>
      </c>
      <c r="K39" s="774">
        <f>'Prod. GEXJVL'!F5</f>
        <v>74.599999999999994</v>
      </c>
      <c r="L39" s="590">
        <f>'GEXJVL Limp.Ord.'!H174</f>
        <v>0</v>
      </c>
      <c r="M39" s="774">
        <f>'Prod. GEXJVL'!G5</f>
        <v>483.2</v>
      </c>
      <c r="N39" s="590">
        <f>'GEXJVL Limp.Ord.'!H180</f>
        <v>0</v>
      </c>
      <c r="O39" s="774">
        <f>'Prod. GEXJVL'!H5</f>
        <v>91</v>
      </c>
      <c r="P39" s="590">
        <f>'GEXJVL Limp.Ord.'!H183</f>
        <v>0</v>
      </c>
      <c r="Q39" s="774">
        <f>'Prod. GEXJVL'!I5</f>
        <v>149</v>
      </c>
      <c r="R39" s="590">
        <f>'GEXJVL Limp.Ord.'!H186</f>
        <v>0</v>
      </c>
      <c r="S39" s="781">
        <v>250</v>
      </c>
      <c r="T39" s="590">
        <f>'GEXJVL Limp.Ord.'!H192</f>
        <v>0</v>
      </c>
      <c r="U39" s="781">
        <v>273</v>
      </c>
      <c r="V39" s="590">
        <f>'GEXJVL Limp.Ord.'!H195</f>
        <v>0</v>
      </c>
      <c r="W39" s="777">
        <f>'Prod. GEXJVL'!L5</f>
        <v>523</v>
      </c>
      <c r="X39" s="590">
        <f>'GEXJVL Limp.Ord.'!H198</f>
        <v>0</v>
      </c>
      <c r="Y39" s="600">
        <f t="shared" si="3"/>
        <v>0</v>
      </c>
      <c r="Z39" s="646">
        <f>'Prod. GEXJVL'!P5*'GEXJVL Covid'!D141</f>
        <v>0</v>
      </c>
      <c r="AA39" s="710">
        <f>'Prod. GEXJVL'!R5*'GEXJVL Limp.Ord.'!C147</f>
        <v>0</v>
      </c>
      <c r="AB39" s="711">
        <f>'Prod. GEXJVL'!S5*'GEXJVL Covid'!C147</f>
        <v>0</v>
      </c>
      <c r="AC39" s="660"/>
      <c r="AD39" s="156"/>
    </row>
    <row r="40" spans="1:1015" x14ac:dyDescent="0.2">
      <c r="A40" s="659" t="s">
        <v>94</v>
      </c>
      <c r="B40" s="538" t="s">
        <v>413</v>
      </c>
      <c r="C40" s="538" t="s">
        <v>414</v>
      </c>
      <c r="D40" s="269">
        <f>MC!O75/100</f>
        <v>0</v>
      </c>
      <c r="E40" s="774">
        <f>'Prod. GEXJVL'!C6</f>
        <v>542</v>
      </c>
      <c r="F40" s="589">
        <f>'GEXJVL Limp.Ord.'!N156</f>
        <v>0</v>
      </c>
      <c r="G40" s="774">
        <f>'Prod. GEXJVL'!D6</f>
        <v>680</v>
      </c>
      <c r="H40" s="590">
        <f>'GEXJVL Limp.Ord.'!N162</f>
        <v>0</v>
      </c>
      <c r="I40" s="774">
        <f>'Prod. GEXJVL'!E6</f>
        <v>0</v>
      </c>
      <c r="J40" s="590">
        <f>'GEXJVL Limp.Ord.'!N168</f>
        <v>0</v>
      </c>
      <c r="K40" s="774">
        <f>'Prod. GEXJVL'!F6</f>
        <v>42.6</v>
      </c>
      <c r="L40" s="590">
        <f>'GEXJVL Limp.Ord.'!N174</f>
        <v>0</v>
      </c>
      <c r="M40" s="774">
        <f>'Prod. GEXJVL'!G6</f>
        <v>313.39999999999998</v>
      </c>
      <c r="N40" s="590">
        <f>'GEXJVL Limp.Ord.'!N180</f>
        <v>0</v>
      </c>
      <c r="O40" s="774">
        <f>'Prod. GEXJVL'!H6</f>
        <v>2578.9</v>
      </c>
      <c r="P40" s="590">
        <f>'GEXJVL Limp.Ord.'!N183</f>
        <v>0</v>
      </c>
      <c r="Q40" s="774">
        <f>'Prod. GEXJVL'!I6</f>
        <v>104</v>
      </c>
      <c r="R40" s="590">
        <f>'GEXJVL Limp.Ord.'!N186</f>
        <v>0</v>
      </c>
      <c r="S40" s="781"/>
      <c r="T40" s="590">
        <f>'GEXJVL Limp.Ord.'!N192</f>
        <v>0</v>
      </c>
      <c r="U40" s="781">
        <v>274.5</v>
      </c>
      <c r="V40" s="590">
        <f>'GEXJVL Limp.Ord.'!N195</f>
        <v>0</v>
      </c>
      <c r="W40" s="777">
        <f>'Prod. GEXJVL'!L6</f>
        <v>274.5</v>
      </c>
      <c r="X40" s="590">
        <f>'GEXJVL Limp.Ord.'!N198</f>
        <v>0</v>
      </c>
      <c r="Y40" s="600">
        <f t="shared" si="3"/>
        <v>0</v>
      </c>
      <c r="Z40" s="646">
        <f>'Prod. GEXJVL'!Q6*'GEXJVL Covid'!C144</f>
        <v>0</v>
      </c>
      <c r="AA40" s="710">
        <f>'Prod. GEXJVL'!R6*'GEXJVL Limp.Ord.'!C150</f>
        <v>0</v>
      </c>
      <c r="AB40" s="711">
        <f>'Prod. GEXJVL'!S6*'GEXJVL Covid'!C150</f>
        <v>0</v>
      </c>
      <c r="AC40" s="660"/>
      <c r="AD40" s="156"/>
    </row>
    <row r="41" spans="1:1015" x14ac:dyDescent="0.2">
      <c r="A41" s="659" t="s">
        <v>97</v>
      </c>
      <c r="B41" s="538" t="s">
        <v>409</v>
      </c>
      <c r="C41" s="538" t="s">
        <v>410</v>
      </c>
      <c r="D41" s="269">
        <f>MC!O76/100</f>
        <v>0</v>
      </c>
      <c r="E41" s="774">
        <f>'Prod. GEXJVL'!C7</f>
        <v>1058</v>
      </c>
      <c r="F41" s="589">
        <f>'GEXJVL Limp.Ord.'!F156</f>
        <v>0</v>
      </c>
      <c r="G41" s="774">
        <f>'Prod. GEXJVL'!D7</f>
        <v>432.5</v>
      </c>
      <c r="H41" s="590">
        <f>'GEXJVL Limp.Ord.'!F162</f>
        <v>0</v>
      </c>
      <c r="I41" s="774">
        <f>'Prod. GEXJVL'!E7</f>
        <v>28.5</v>
      </c>
      <c r="J41" s="590">
        <f>'GEXJVL Limp.Ord.'!F168</f>
        <v>0</v>
      </c>
      <c r="K41" s="774">
        <f>'Prod. GEXJVL'!F7</f>
        <v>57.2</v>
      </c>
      <c r="L41" s="590">
        <f>'GEXJVL Limp.Ord.'!F174</f>
        <v>0</v>
      </c>
      <c r="M41" s="774">
        <f>'Prod. GEXJVL'!G7</f>
        <v>112.5</v>
      </c>
      <c r="N41" s="590">
        <f>'GEXJVL Limp.Ord.'!F180</f>
        <v>0</v>
      </c>
      <c r="O41" s="774">
        <f>'Prod. GEXJVL'!H7</f>
        <v>52.5</v>
      </c>
      <c r="P41" s="590">
        <f>'GEXJVL Limp.Ord.'!F183</f>
        <v>0</v>
      </c>
      <c r="Q41" s="774">
        <f>'Prod. GEXJVL'!I7</f>
        <v>210.8</v>
      </c>
      <c r="R41" s="590">
        <f>'GEXJVL Limp.Ord.'!F186</f>
        <v>0</v>
      </c>
      <c r="S41" s="781"/>
      <c r="T41" s="590">
        <f>'GEXJVL Limp.Ord.'!F192</f>
        <v>0</v>
      </c>
      <c r="U41" s="781">
        <v>225</v>
      </c>
      <c r="V41" s="590">
        <f>'GEXJVL Limp.Ord.'!F195</f>
        <v>0</v>
      </c>
      <c r="W41" s="777">
        <f>'Prod. GEXJVL'!L7</f>
        <v>225</v>
      </c>
      <c r="X41" s="590">
        <f>'GEXJVL Limp.Ord.'!F198</f>
        <v>0</v>
      </c>
      <c r="Y41" s="600">
        <f t="shared" si="3"/>
        <v>0</v>
      </c>
      <c r="Z41" s="646">
        <f>'Prod. GEXJVL'!Q7*'GEXJVL Covid'!C140</f>
        <v>0</v>
      </c>
      <c r="AA41" s="710">
        <f>'Prod. GEXJVL'!R7*'GEXJVL Limp.Ord.'!C146</f>
        <v>0</v>
      </c>
      <c r="AB41" s="711">
        <f>'Prod. GEXJVL'!S7*'GEXJVL Limp.Ord.'!C150</f>
        <v>0</v>
      </c>
      <c r="AC41" s="660"/>
      <c r="AD41" s="156"/>
    </row>
    <row r="42" spans="1:1015" x14ac:dyDescent="0.2">
      <c r="A42" s="659" t="s">
        <v>100</v>
      </c>
      <c r="B42" s="538" t="s">
        <v>415</v>
      </c>
      <c r="C42" s="538" t="s">
        <v>416</v>
      </c>
      <c r="D42" s="269">
        <f>MC!O77/100</f>
        <v>0</v>
      </c>
      <c r="E42" s="774">
        <f>'Prod. GEXJVL'!C8</f>
        <v>790</v>
      </c>
      <c r="F42" s="589">
        <f>'GEXJVL Limp.Ord.'!H156</f>
        <v>0</v>
      </c>
      <c r="G42" s="774">
        <f>'Prod. GEXJVL'!D8</f>
        <v>765</v>
      </c>
      <c r="H42" s="590">
        <f>'GEXJVL Limp.Ord.'!H162</f>
        <v>0</v>
      </c>
      <c r="I42" s="774">
        <f>'Prod. GEXJVL'!E8</f>
        <v>24</v>
      </c>
      <c r="J42" s="590">
        <f>'GEXJVL Limp.Ord.'!H168</f>
        <v>0</v>
      </c>
      <c r="K42" s="774">
        <f>'Prod. GEXJVL'!F8</f>
        <v>44.5</v>
      </c>
      <c r="L42" s="590">
        <f>'GEXJVL Limp.Ord.'!H174</f>
        <v>0</v>
      </c>
      <c r="M42" s="774">
        <f>'Prod. GEXJVL'!G8</f>
        <v>69.2</v>
      </c>
      <c r="N42" s="590">
        <f>'GEXJVL Limp.Ord.'!H180</f>
        <v>0</v>
      </c>
      <c r="O42" s="774">
        <f>'Prod. GEXJVL'!H8</f>
        <v>0</v>
      </c>
      <c r="P42" s="590">
        <f>'GEXJVL Limp.Ord.'!H183</f>
        <v>0</v>
      </c>
      <c r="Q42" s="774">
        <f>'Prod. GEXJVL'!I8</f>
        <v>27.5</v>
      </c>
      <c r="R42" s="590">
        <f>'GEXJVL Limp.Ord.'!H186</f>
        <v>0</v>
      </c>
      <c r="S42" s="781">
        <v>36.700000000000003</v>
      </c>
      <c r="T42" s="590">
        <f>'GEXJVL Limp.Ord.'!H192</f>
        <v>0</v>
      </c>
      <c r="U42" s="781">
        <v>173.3</v>
      </c>
      <c r="V42" s="590">
        <f>'GEXJVL Limp.Ord.'!H195</f>
        <v>0</v>
      </c>
      <c r="W42" s="777">
        <f>'Prod. GEXJVL'!L8</f>
        <v>210</v>
      </c>
      <c r="X42" s="590">
        <f>'GEXJVL Limp.Ord.'!H198</f>
        <v>0</v>
      </c>
      <c r="Y42" s="600">
        <f t="shared" si="3"/>
        <v>0</v>
      </c>
      <c r="Z42" s="646">
        <f>'Prod. GEXJVL'!P8*'GEXJVL Covid'!D141</f>
        <v>0</v>
      </c>
      <c r="AA42" s="710">
        <f>'Prod. GEXJVL'!R8*'GEXJVL Limp.Ord.'!C147</f>
        <v>0</v>
      </c>
      <c r="AB42" s="711">
        <f>'Prod. GEXJVL'!S8*'GEXJVL Covid'!C147</f>
        <v>0</v>
      </c>
      <c r="AC42" s="660"/>
      <c r="AD42" s="156"/>
    </row>
    <row r="43" spans="1:1015" x14ac:dyDescent="0.2">
      <c r="A43" s="659" t="s">
        <v>103</v>
      </c>
      <c r="B43" s="538" t="s">
        <v>417</v>
      </c>
      <c r="C43" s="538" t="s">
        <v>418</v>
      </c>
      <c r="D43" s="269">
        <f>MC!O78/100</f>
        <v>0</v>
      </c>
      <c r="E43" s="774">
        <f>'Prod. GEXJVL'!C9</f>
        <v>529</v>
      </c>
      <c r="F43" s="589">
        <f>'GEXJVL Limp.Ord.'!H156</f>
        <v>0</v>
      </c>
      <c r="G43" s="774">
        <f>'Prod. GEXJVL'!D9</f>
        <v>190</v>
      </c>
      <c r="H43" s="590">
        <f>'GEXJVL Limp.Ord.'!H162</f>
        <v>0</v>
      </c>
      <c r="I43" s="774">
        <f>'Prod. GEXJVL'!E9</f>
        <v>12</v>
      </c>
      <c r="J43" s="590">
        <f>'GEXJVL Limp.Ord.'!H168</f>
        <v>0</v>
      </c>
      <c r="K43" s="774">
        <f>'Prod. GEXJVL'!F9</f>
        <v>49.2</v>
      </c>
      <c r="L43" s="590">
        <f>'GEXJVL Limp.Ord.'!H174</f>
        <v>0</v>
      </c>
      <c r="M43" s="774">
        <f>'Prod. GEXJVL'!G9</f>
        <v>21.6</v>
      </c>
      <c r="N43" s="590">
        <f>'GEXJVL Limp.Ord.'!H180</f>
        <v>0</v>
      </c>
      <c r="O43" s="774">
        <f>'Prod. GEXJVL'!H9</f>
        <v>38.1</v>
      </c>
      <c r="P43" s="590">
        <f>'GEXJVL Limp.Ord.'!H183</f>
        <v>0</v>
      </c>
      <c r="Q43" s="774">
        <f>'Prod. GEXJVL'!I9</f>
        <v>40.1</v>
      </c>
      <c r="R43" s="590">
        <f>'GEXJVL Limp.Ord.'!H186</f>
        <v>0</v>
      </c>
      <c r="S43" s="781">
        <v>56</v>
      </c>
      <c r="T43" s="590">
        <f>'GEXJVL Limp.Ord.'!H192</f>
        <v>0</v>
      </c>
      <c r="U43" s="781">
        <v>56</v>
      </c>
      <c r="V43" s="590">
        <f>'GEXJVL Limp.Ord.'!H195</f>
        <v>0</v>
      </c>
      <c r="W43" s="777">
        <f>'Prod. GEXJVL'!L9</f>
        <v>112</v>
      </c>
      <c r="X43" s="590">
        <f>'GEXJVL Limp.Ord.'!H198</f>
        <v>0</v>
      </c>
      <c r="Y43" s="600">
        <f t="shared" si="3"/>
        <v>0</v>
      </c>
      <c r="Z43" s="646">
        <f>'Prod. GEXJVL'!P9*'GEXJVL Covid'!D141</f>
        <v>0</v>
      </c>
      <c r="AA43" s="710">
        <f>'Prod. GEXJVL'!R9*'GEXJVL Limp.Ord.'!C147</f>
        <v>0</v>
      </c>
      <c r="AB43" s="711">
        <f>'Prod. GEXJVL'!S9*'GEXJVL Covid'!C147</f>
        <v>0</v>
      </c>
      <c r="AC43" s="660"/>
      <c r="AD43" s="156"/>
    </row>
    <row r="44" spans="1:1015" x14ac:dyDescent="0.2">
      <c r="A44" s="659" t="s">
        <v>106</v>
      </c>
      <c r="B44" s="538" t="s">
        <v>419</v>
      </c>
      <c r="C44" s="538" t="s">
        <v>420</v>
      </c>
      <c r="D44" s="269">
        <f>MC!O79/100</f>
        <v>0</v>
      </c>
      <c r="E44" s="774">
        <f>'Prod. GEXJVL'!C10</f>
        <v>318.3</v>
      </c>
      <c r="F44" s="589">
        <f>'GEXJVL Limp.Ord.'!N156</f>
        <v>0</v>
      </c>
      <c r="G44" s="774">
        <f>'Prod. GEXJVL'!D10</f>
        <v>33.200000000000003</v>
      </c>
      <c r="H44" s="590">
        <f>'GEXJVL Limp.Ord.'!N162</f>
        <v>0</v>
      </c>
      <c r="I44" s="774">
        <f>'Prod. GEXJVL'!E10</f>
        <v>11.7</v>
      </c>
      <c r="J44" s="590">
        <f>'GEXJVL Limp.Ord.'!N168</f>
        <v>0</v>
      </c>
      <c r="K44" s="774">
        <f>'Prod. GEXJVL'!F10</f>
        <v>7.93</v>
      </c>
      <c r="L44" s="590">
        <f>'GEXJVL Limp.Ord.'!N174</f>
        <v>0</v>
      </c>
      <c r="M44" s="774">
        <f>'Prod. GEXJVL'!G10</f>
        <v>0</v>
      </c>
      <c r="N44" s="590">
        <f>'GEXJVL Limp.Ord.'!N180</f>
        <v>0</v>
      </c>
      <c r="O44" s="774">
        <f>'Prod. GEXJVL'!H10</f>
        <v>0</v>
      </c>
      <c r="P44" s="590">
        <f>'GEXJVL Limp.Ord.'!N183</f>
        <v>0</v>
      </c>
      <c r="Q44" s="774">
        <f>'Prod. GEXJVL'!I10</f>
        <v>0</v>
      </c>
      <c r="R44" s="590">
        <f>'GEXJVL Limp.Ord.'!N186</f>
        <v>0</v>
      </c>
      <c r="S44" s="781"/>
      <c r="T44" s="590">
        <f>'GEXJVL Limp.Ord.'!N192</f>
        <v>0</v>
      </c>
      <c r="U44" s="781">
        <v>127.7</v>
      </c>
      <c r="V44" s="590">
        <f>'GEXJVL Limp.Ord.'!N195</f>
        <v>0</v>
      </c>
      <c r="W44" s="777">
        <f>'Prod. GEXJVL'!L10</f>
        <v>127.7</v>
      </c>
      <c r="X44" s="590">
        <f>'GEXJVL Limp.Ord.'!N198</f>
        <v>0</v>
      </c>
      <c r="Y44" s="600">
        <f t="shared" si="3"/>
        <v>0</v>
      </c>
      <c r="Z44" s="646">
        <f>'Prod. GEXBLU'!Q23*'GEXBLU Covid'!C152</f>
        <v>0</v>
      </c>
      <c r="AA44" s="710">
        <f>'Prod. GEXJVL'!R10*'GEXJVL Limp.Ord.'!C150</f>
        <v>0</v>
      </c>
      <c r="AB44" s="711">
        <f>'Prod. GEXJVL'!S10*'GEXJVL Covid'!C150</f>
        <v>0</v>
      </c>
      <c r="AC44" s="660"/>
      <c r="AD44" s="156"/>
    </row>
    <row r="45" spans="1:1015" x14ac:dyDescent="0.2">
      <c r="A45" s="659" t="s">
        <v>109</v>
      </c>
      <c r="B45" s="538" t="s">
        <v>421</v>
      </c>
      <c r="C45" s="538" t="s">
        <v>410</v>
      </c>
      <c r="D45" s="269">
        <f>MC!O80/100</f>
        <v>0</v>
      </c>
      <c r="E45" s="774">
        <f>'Prod. GEXJVL'!C11</f>
        <v>0</v>
      </c>
      <c r="F45" s="589">
        <f>'GEXJVL Limp.Ord.'!F156</f>
        <v>0</v>
      </c>
      <c r="G45" s="774">
        <f>'Prod. GEXJVL'!D11</f>
        <v>670</v>
      </c>
      <c r="H45" s="590">
        <f>'GEXJVL Limp.Ord.'!F162</f>
        <v>0</v>
      </c>
      <c r="I45" s="774">
        <f>'Prod. GEXJVL'!E11</f>
        <v>24.2</v>
      </c>
      <c r="J45" s="590">
        <f>'GEXJVL Limp.Ord.'!F168</f>
        <v>0</v>
      </c>
      <c r="K45" s="774">
        <f>'Prod. GEXJVL'!F11</f>
        <v>62.5</v>
      </c>
      <c r="L45" s="590">
        <f>'GEXJVL Limp.Ord.'!F174</f>
        <v>0</v>
      </c>
      <c r="M45" s="774">
        <f>'Prod. GEXJVL'!G11</f>
        <v>463</v>
      </c>
      <c r="N45" s="590">
        <f>'GEXJVL Limp.Ord.'!F180</f>
        <v>0</v>
      </c>
      <c r="O45" s="774">
        <f>'Prod. GEXJVL'!H11</f>
        <v>62.7</v>
      </c>
      <c r="P45" s="590">
        <f>'GEXJVL Limp.Ord.'!F183</f>
        <v>0</v>
      </c>
      <c r="Q45" s="774">
        <f>'Prod. GEXJVL'!I11</f>
        <v>63.5</v>
      </c>
      <c r="R45" s="590">
        <f>'GEXJVL Limp.Ord.'!F186</f>
        <v>0</v>
      </c>
      <c r="S45" s="781"/>
      <c r="T45" s="590">
        <f>'GEXJVL Limp.Ord.'!F192</f>
        <v>0</v>
      </c>
      <c r="U45" s="781">
        <v>214.2</v>
      </c>
      <c r="V45" s="590">
        <f>'GEXJVL Limp.Ord.'!F195</f>
        <v>0</v>
      </c>
      <c r="W45" s="777">
        <f>'Prod. GEXJVL'!L11</f>
        <v>214.2</v>
      </c>
      <c r="X45" s="590">
        <f>'GEXJVL Limp.Ord.'!F198</f>
        <v>0</v>
      </c>
      <c r="Y45" s="600">
        <f t="shared" si="3"/>
        <v>0</v>
      </c>
      <c r="Z45" s="646">
        <f>'Prod. GEXBLU'!Q24*'GEXBLU Covid'!C152</f>
        <v>0</v>
      </c>
      <c r="AA45" s="710">
        <f>'Prod. GEXJVL'!R11*'GEXJVL Limp.Ord.'!C146</f>
        <v>0</v>
      </c>
      <c r="AB45" s="711">
        <f>'Prod. GEXJVL'!S11*'GEXJVL Limp.Ord.'!C150</f>
        <v>0</v>
      </c>
      <c r="AC45" s="660"/>
      <c r="AD45" s="156"/>
    </row>
    <row r="46" spans="1:1015" x14ac:dyDescent="0.2">
      <c r="A46" s="659" t="s">
        <v>112</v>
      </c>
      <c r="B46" s="538" t="s">
        <v>422</v>
      </c>
      <c r="C46" s="538" t="s">
        <v>423</v>
      </c>
      <c r="D46" s="269">
        <f>MC!O81/100</f>
        <v>0</v>
      </c>
      <c r="E46" s="774">
        <f>'Prod. GEXJVL'!C12</f>
        <v>800</v>
      </c>
      <c r="F46" s="589">
        <f>'GEXJVL Limp.Ord.'!D156</f>
        <v>0</v>
      </c>
      <c r="G46" s="774">
        <f>'Prod. GEXJVL'!D12</f>
        <v>0</v>
      </c>
      <c r="H46" s="590">
        <f>'GEXJVL Limp.Ord.'!D162</f>
        <v>0</v>
      </c>
      <c r="I46" s="774">
        <f>'Prod. GEXJVL'!E12</f>
        <v>0</v>
      </c>
      <c r="J46" s="590">
        <f>'GEXJVL Limp.Ord.'!D168</f>
        <v>0</v>
      </c>
      <c r="K46" s="774">
        <f>'Prod. GEXJVL'!F12</f>
        <v>0</v>
      </c>
      <c r="L46" s="590">
        <f>'GEXJVL Limp.Ord.'!D174</f>
        <v>0</v>
      </c>
      <c r="M46" s="774">
        <f>'Prod. GEXJVL'!G12</f>
        <v>0</v>
      </c>
      <c r="N46" s="590">
        <f>'GEXJVL Limp.Ord.'!D180</f>
        <v>0</v>
      </c>
      <c r="O46" s="774">
        <f>'Prod. GEXJVL'!H12</f>
        <v>0</v>
      </c>
      <c r="P46" s="590">
        <f>'GEXJVL Limp.Ord.'!D183</f>
        <v>0</v>
      </c>
      <c r="Q46" s="774">
        <f>'Prod. GEXJVL'!I12</f>
        <v>0</v>
      </c>
      <c r="R46" s="590">
        <f>'GEXJVL Limp.Ord.'!D186</f>
        <v>0</v>
      </c>
      <c r="S46" s="781"/>
      <c r="T46" s="590">
        <f>'GEXJVL Limp.Ord.'!D192</f>
        <v>0</v>
      </c>
      <c r="U46" s="781">
        <v>75.36</v>
      </c>
      <c r="V46" s="590">
        <f>'GEXJVL Limp.Ord.'!D195</f>
        <v>0</v>
      </c>
      <c r="W46" s="777">
        <f>'Prod. GEXJVL'!L12</f>
        <v>0</v>
      </c>
      <c r="X46" s="590">
        <f>'GEXJVL Limp.Ord.'!D198</f>
        <v>0</v>
      </c>
      <c r="Y46" s="600">
        <f t="shared" si="3"/>
        <v>0</v>
      </c>
      <c r="Z46" s="646">
        <f>'Prod. GEXBLU'!P25*'GEXBLU Covid'!D154</f>
        <v>0</v>
      </c>
      <c r="AA46" s="710">
        <f>'Prod. GEXJVL'!R12*'GEXJVL Limp.Ord.'!C145</f>
        <v>0</v>
      </c>
      <c r="AB46" s="711">
        <f>'Prod. GEXJVL'!S12*'GEXJVL Covid'!C145</f>
        <v>0</v>
      </c>
      <c r="AC46" s="660"/>
      <c r="AD46" s="156"/>
    </row>
    <row r="47" spans="1:1015" x14ac:dyDescent="0.2">
      <c r="A47" s="659" t="s">
        <v>115</v>
      </c>
      <c r="B47" s="538" t="s">
        <v>424</v>
      </c>
      <c r="C47" s="538" t="s">
        <v>425</v>
      </c>
      <c r="D47" s="269">
        <f>MC!O82/100</f>
        <v>0</v>
      </c>
      <c r="E47" s="774">
        <f>'Prod. GEXJVL'!C13</f>
        <v>234.1</v>
      </c>
      <c r="F47" s="589">
        <f>'GEXJVL L.Ord e Covid - APS PR'!G156</f>
        <v>0</v>
      </c>
      <c r="G47" s="774">
        <f>'Prod. GEXJVL'!D13</f>
        <v>16.8</v>
      </c>
      <c r="H47" s="590">
        <f>'GEXJVL L.Ord e Covid - APS PR'!G162</f>
        <v>0</v>
      </c>
      <c r="I47" s="774">
        <f>'Prod. GEXJVL'!E13</f>
        <v>9.35</v>
      </c>
      <c r="J47" s="590">
        <f>'GEXJVL L.Ord e Covid - APS PR'!G168</f>
        <v>0</v>
      </c>
      <c r="K47" s="774">
        <f>'Prod. GEXJVL'!F13</f>
        <v>32.200000000000003</v>
      </c>
      <c r="L47" s="590">
        <f>'GEXJVL L.Ord e Covid - APS PR'!G174</f>
        <v>0</v>
      </c>
      <c r="M47" s="774">
        <f>'Prod. GEXJVL'!G13</f>
        <v>392.4</v>
      </c>
      <c r="N47" s="590">
        <f>'GEXJVL L.Ord e Covid - APS PR'!G180</f>
        <v>0</v>
      </c>
      <c r="O47" s="774">
        <f>'Prod. GEXJVL'!H13</f>
        <v>467.2</v>
      </c>
      <c r="P47" s="590">
        <f>'GEXJVL L.Ord e Covid - APS PR'!G183</f>
        <v>0</v>
      </c>
      <c r="Q47" s="774">
        <f>'Prod. GEXJVL'!I13</f>
        <v>203.4</v>
      </c>
      <c r="R47" s="590">
        <f>'GEXJVL L.Ord e Covid - APS PR'!G186</f>
        <v>0</v>
      </c>
      <c r="S47" s="782"/>
      <c r="T47" s="590"/>
      <c r="U47" s="782">
        <v>75.36</v>
      </c>
      <c r="V47" s="590">
        <f>'GEXJVL L.Ord e Covid - APS PR'!G195</f>
        <v>0</v>
      </c>
      <c r="W47" s="777">
        <f>'Prod. GEXJVL'!L13</f>
        <v>170.72</v>
      </c>
      <c r="X47" s="590">
        <f>'GEXJVL L.Ord e Covid - APS PR'!G198</f>
        <v>0</v>
      </c>
      <c r="Y47" s="600">
        <f t="shared" si="3"/>
        <v>0</v>
      </c>
      <c r="Z47" s="646">
        <f>'Prod. GEXBLU'!Q26*'GEXBLU Covid'!C153</f>
        <v>0</v>
      </c>
      <c r="AA47" s="710">
        <f>'Prod. GEXJVL'!R13*'GEXJVL L.Ord e Covid - APS PR'!C147</f>
        <v>0</v>
      </c>
      <c r="AB47" s="711">
        <f>'Prod. GEXJVL'!S13*'GEXJVL L.Ord e Covid - APS PR'!E147</f>
        <v>0</v>
      </c>
      <c r="AC47" s="660"/>
      <c r="AD47" s="156"/>
    </row>
    <row r="48" spans="1:1015" x14ac:dyDescent="0.2">
      <c r="A48" s="1026"/>
      <c r="B48" s="1026"/>
      <c r="C48" s="1026"/>
      <c r="D48" s="1027"/>
      <c r="E48" s="300">
        <f>SUM(E38:E47)</f>
        <v>5854.4000000000005</v>
      </c>
      <c r="F48" s="301"/>
      <c r="G48" s="595">
        <f>SUM(G38:G47)</f>
        <v>4620.9000000000005</v>
      </c>
      <c r="H48" s="595">
        <f>SUM(H38:H47)</f>
        <v>0</v>
      </c>
      <c r="I48" s="595">
        <f>SUM(I38:I47)</f>
        <v>150.15</v>
      </c>
      <c r="J48" s="595"/>
      <c r="K48" s="595">
        <f>SUM(K38:K47)</f>
        <v>452.13</v>
      </c>
      <c r="L48" s="596"/>
      <c r="M48" s="602">
        <f>SUM(M38:M47)</f>
        <v>2621.4</v>
      </c>
      <c r="N48" s="603"/>
      <c r="O48" s="602">
        <f>SUM(O38:O47)</f>
        <v>3290.3999999999996</v>
      </c>
      <c r="P48" s="596"/>
      <c r="Q48" s="595">
        <f>SUM(Q38:Q47)</f>
        <v>798.3</v>
      </c>
      <c r="R48" s="596"/>
      <c r="S48" s="595">
        <f>SUM(S38:S47)</f>
        <v>508.94</v>
      </c>
      <c r="T48" s="596"/>
      <c r="U48" s="602">
        <f>SUM(U38:U47)</f>
        <v>1743.78</v>
      </c>
      <c r="V48" s="596"/>
      <c r="W48" s="604">
        <f>SUM(W38:W47)</f>
        <v>2272.7199999999998</v>
      </c>
      <c r="X48" s="596"/>
      <c r="Y48" s="596">
        <f>SUM(Y38:Y47)</f>
        <v>0</v>
      </c>
      <c r="Z48" s="348">
        <f>SUM(Z38:Z47)</f>
        <v>0</v>
      </c>
      <c r="AA48" s="604">
        <f>SUM(AA38:AA47)</f>
        <v>0</v>
      </c>
      <c r="AB48" s="348">
        <f>SUM(AB38:AB47)</f>
        <v>0</v>
      </c>
      <c r="AC48" s="596">
        <f>SUM(AC38:AC47)</f>
        <v>0</v>
      </c>
      <c r="AD48" s="156"/>
    </row>
    <row r="50" spans="1:29" ht="15" x14ac:dyDescent="0.25">
      <c r="A50" s="810" t="s">
        <v>426</v>
      </c>
      <c r="B50" s="1023" t="s">
        <v>427</v>
      </c>
      <c r="C50" s="1023"/>
      <c r="D50" s="1023"/>
      <c r="E50" s="1023"/>
      <c r="F50" s="1023"/>
      <c r="G50" s="1023"/>
      <c r="H50" s="1023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812">
        <f>ROUND(Y24+Y37+Y48,2)</f>
        <v>0</v>
      </c>
      <c r="Z50" s="812">
        <f>ROUND(Z24+Z37+Z48,2)</f>
        <v>0</v>
      </c>
      <c r="AA50" s="812">
        <f>ROUND(AA24+AA37+AA48,2)</f>
        <v>0</v>
      </c>
      <c r="AB50" s="812">
        <f>ROUND(AB24+AB37+AB48,2)</f>
        <v>0</v>
      </c>
      <c r="AC50" s="812">
        <f>ROUND(AC24+AC37+AC48,2)</f>
        <v>0</v>
      </c>
    </row>
    <row r="51" spans="1:29" ht="15" x14ac:dyDescent="0.25">
      <c r="A51" s="810" t="s">
        <v>426</v>
      </c>
      <c r="B51" s="813" t="s">
        <v>426</v>
      </c>
      <c r="C51" s="813" t="s">
        <v>426</v>
      </c>
      <c r="D51" s="813" t="s">
        <v>426</v>
      </c>
      <c r="E51" s="811" t="s">
        <v>426</v>
      </c>
      <c r="F51" s="814" t="s">
        <v>426</v>
      </c>
      <c r="G51" s="811" t="s">
        <v>426</v>
      </c>
      <c r="H51" s="811" t="s">
        <v>426</v>
      </c>
      <c r="I51" s="811" t="s">
        <v>426</v>
      </c>
      <c r="J51" s="811" t="s">
        <v>426</v>
      </c>
      <c r="K51" s="811" t="s">
        <v>426</v>
      </c>
      <c r="L51" s="811" t="s">
        <v>426</v>
      </c>
      <c r="M51" s="811" t="s">
        <v>426</v>
      </c>
      <c r="N51" s="811" t="s">
        <v>426</v>
      </c>
      <c r="O51" s="811" t="s">
        <v>426</v>
      </c>
      <c r="P51" s="815" t="s">
        <v>426</v>
      </c>
      <c r="Q51" s="816" t="s">
        <v>426</v>
      </c>
      <c r="R51" s="811" t="s">
        <v>426</v>
      </c>
      <c r="S51" s="814" t="s">
        <v>426</v>
      </c>
      <c r="T51" s="811" t="s">
        <v>426</v>
      </c>
      <c r="U51" s="811" t="s">
        <v>426</v>
      </c>
      <c r="V51" s="811" t="s">
        <v>426</v>
      </c>
      <c r="W51" s="811" t="s">
        <v>426</v>
      </c>
      <c r="X51" s="811" t="s">
        <v>426</v>
      </c>
      <c r="Y51" s="811" t="s">
        <v>426</v>
      </c>
      <c r="Z51" s="811" t="s">
        <v>426</v>
      </c>
      <c r="AA51" s="811" t="s">
        <v>426</v>
      </c>
      <c r="AB51" s="811" t="s">
        <v>426</v>
      </c>
      <c r="AC51" s="811" t="s">
        <v>426</v>
      </c>
    </row>
    <row r="52" spans="1:29" x14ac:dyDescent="0.2">
      <c r="A52" s="817" t="s">
        <v>426</v>
      </c>
      <c r="B52" s="817" t="s">
        <v>426</v>
      </c>
      <c r="C52" s="817" t="s">
        <v>426</v>
      </c>
      <c r="D52" s="817" t="s">
        <v>426</v>
      </c>
      <c r="E52" s="818" t="s">
        <v>426</v>
      </c>
      <c r="F52" s="818" t="s">
        <v>426</v>
      </c>
      <c r="G52" s="818" t="s">
        <v>426</v>
      </c>
      <c r="H52" s="818" t="s">
        <v>426</v>
      </c>
      <c r="I52" s="818" t="s">
        <v>426</v>
      </c>
      <c r="J52" s="818" t="s">
        <v>426</v>
      </c>
      <c r="K52" s="818" t="s">
        <v>426</v>
      </c>
      <c r="L52" s="818" t="s">
        <v>426</v>
      </c>
      <c r="M52" s="818" t="s">
        <v>426</v>
      </c>
      <c r="N52" s="818" t="s">
        <v>426</v>
      </c>
      <c r="O52" s="818" t="s">
        <v>426</v>
      </c>
      <c r="P52" s="818" t="s">
        <v>426</v>
      </c>
      <c r="Q52" s="818" t="s">
        <v>426</v>
      </c>
      <c r="R52" s="818" t="s">
        <v>426</v>
      </c>
      <c r="S52" s="818" t="s">
        <v>426</v>
      </c>
      <c r="T52" s="818" t="s">
        <v>426</v>
      </c>
      <c r="U52" s="818" t="s">
        <v>426</v>
      </c>
      <c r="V52" s="818" t="s">
        <v>426</v>
      </c>
      <c r="W52" s="818" t="s">
        <v>426</v>
      </c>
      <c r="X52" s="818" t="s">
        <v>426</v>
      </c>
      <c r="Y52" s="818" t="s">
        <v>426</v>
      </c>
      <c r="Z52" s="818" t="s">
        <v>426</v>
      </c>
      <c r="AA52" s="818" t="s">
        <v>426</v>
      </c>
      <c r="AB52" s="1024" t="s">
        <v>62</v>
      </c>
      <c r="AC52" s="819">
        <f>SUM(Y50:AC50)</f>
        <v>0</v>
      </c>
    </row>
    <row r="53" spans="1:29" x14ac:dyDescent="0.2">
      <c r="A53" s="820" t="s">
        <v>426</v>
      </c>
      <c r="B53" s="820" t="s">
        <v>426</v>
      </c>
      <c r="C53" s="820" t="s">
        <v>426</v>
      </c>
      <c r="D53" s="820" t="s">
        <v>426</v>
      </c>
      <c r="E53" s="821" t="s">
        <v>426</v>
      </c>
      <c r="F53" s="821" t="s">
        <v>426</v>
      </c>
      <c r="G53" s="821" t="s">
        <v>426</v>
      </c>
      <c r="H53" s="821" t="s">
        <v>426</v>
      </c>
      <c r="I53" s="821" t="s">
        <v>426</v>
      </c>
      <c r="J53" s="821" t="s">
        <v>426</v>
      </c>
      <c r="K53" s="821" t="s">
        <v>426</v>
      </c>
      <c r="L53" s="821" t="s">
        <v>426</v>
      </c>
      <c r="M53" s="821" t="s">
        <v>426</v>
      </c>
      <c r="N53" s="821" t="s">
        <v>426</v>
      </c>
      <c r="O53" s="821" t="s">
        <v>426</v>
      </c>
      <c r="P53" s="821" t="s">
        <v>426</v>
      </c>
      <c r="Q53" s="821" t="s">
        <v>426</v>
      </c>
      <c r="R53" s="821" t="s">
        <v>426</v>
      </c>
      <c r="S53" s="821" t="s">
        <v>426</v>
      </c>
      <c r="T53" s="821" t="s">
        <v>426</v>
      </c>
      <c r="U53" s="821" t="s">
        <v>426</v>
      </c>
      <c r="V53" s="821" t="s">
        <v>426</v>
      </c>
      <c r="W53" s="821" t="s">
        <v>426</v>
      </c>
      <c r="X53" s="821" t="s">
        <v>426</v>
      </c>
      <c r="Y53" s="821" t="s">
        <v>426</v>
      </c>
      <c r="Z53" s="821" t="s">
        <v>426</v>
      </c>
      <c r="AA53" s="821" t="s">
        <v>426</v>
      </c>
      <c r="AB53" s="1025"/>
      <c r="AC53" s="822">
        <f>AC52*12</f>
        <v>0</v>
      </c>
    </row>
    <row r="55" spans="1:29" x14ac:dyDescent="0.2">
      <c r="AB55" s="823"/>
    </row>
    <row r="81" spans="2:30" ht="15" x14ac:dyDescent="0.2">
      <c r="B81" s="1005" t="s">
        <v>427</v>
      </c>
      <c r="C81" s="1005"/>
      <c r="D81" s="1005"/>
      <c r="E81" s="1005"/>
      <c r="F81" s="1005"/>
      <c r="G81" s="1005"/>
      <c r="H81" s="1005"/>
      <c r="I81" s="1005"/>
      <c r="J81" s="1005"/>
      <c r="K81" s="1005"/>
      <c r="L81" s="1005"/>
      <c r="M81" s="1005"/>
      <c r="N81" s="1005"/>
      <c r="O81" s="1005"/>
      <c r="P81" s="1005"/>
      <c r="Q81" s="1005"/>
      <c r="R81" s="1005"/>
      <c r="S81" s="1005"/>
      <c r="T81" s="1005"/>
      <c r="U81" s="1005"/>
      <c r="V81" s="1005"/>
      <c r="W81" s="1005"/>
      <c r="X81" s="1005"/>
      <c r="Y81" s="1005"/>
      <c r="Z81" s="172">
        <f>Y24+Y37</f>
        <v>0</v>
      </c>
      <c r="AA81" s="172">
        <f>Z24+Z37</f>
        <v>0</v>
      </c>
      <c r="AB81" s="173">
        <f>AA24+AA37</f>
        <v>0</v>
      </c>
      <c r="AC81" s="172">
        <f>AB24+AB37</f>
        <v>0</v>
      </c>
      <c r="AD81" s="172">
        <f>AC24+AC37</f>
        <v>0</v>
      </c>
    </row>
    <row r="82" spans="2:30" ht="15" x14ac:dyDescent="0.2">
      <c r="B82" s="174"/>
      <c r="C82" s="174"/>
      <c r="D82" s="174"/>
      <c r="E82" s="174"/>
      <c r="F82" s="175"/>
      <c r="G82" s="176"/>
      <c r="H82" s="175"/>
      <c r="I82" s="175"/>
      <c r="J82" s="172"/>
      <c r="K82" s="172"/>
      <c r="L82" s="172"/>
      <c r="M82" s="172"/>
      <c r="N82" s="172"/>
      <c r="O82" s="172"/>
      <c r="P82" s="172"/>
      <c r="Q82" s="177"/>
      <c r="R82" s="178"/>
      <c r="S82" s="175"/>
      <c r="T82" s="176"/>
      <c r="U82" s="175"/>
      <c r="V82" s="175"/>
      <c r="W82" s="172"/>
      <c r="X82" s="172"/>
      <c r="Y82" s="172"/>
      <c r="Z82" s="172"/>
      <c r="AA82" s="172"/>
      <c r="AB82" s="175"/>
      <c r="AC82" s="172"/>
      <c r="AD82" s="172"/>
    </row>
    <row r="83" spans="2:30" x14ac:dyDescent="0.2">
      <c r="B83" s="179"/>
      <c r="C83" s="179"/>
      <c r="D83" s="179"/>
      <c r="E83" s="179"/>
      <c r="F83" s="180"/>
      <c r="G83" s="180"/>
      <c r="H83" s="180"/>
      <c r="I83" s="180"/>
      <c r="J83" s="181"/>
      <c r="K83" s="181"/>
      <c r="L83" s="181"/>
      <c r="M83" s="181"/>
      <c r="N83" s="181"/>
      <c r="O83" s="180"/>
      <c r="P83" s="180"/>
      <c r="Q83" s="180"/>
      <c r="R83" s="181"/>
      <c r="S83" s="181"/>
      <c r="T83" s="180"/>
      <c r="U83" s="180"/>
      <c r="V83" s="180"/>
      <c r="W83" s="181"/>
      <c r="X83" s="181"/>
      <c r="Y83" s="181"/>
      <c r="Z83" s="181"/>
      <c r="AA83" s="181"/>
      <c r="AB83" s="180"/>
      <c r="AC83" s="1004" t="s">
        <v>62</v>
      </c>
      <c r="AD83" s="177">
        <f>Z81+AA81+AB81+AC81+AD81</f>
        <v>0</v>
      </c>
    </row>
    <row r="84" spans="2:30" x14ac:dyDescent="0.2">
      <c r="B84" s="182"/>
      <c r="C84" s="182"/>
      <c r="D84" s="182"/>
      <c r="E84" s="182"/>
      <c r="F84" s="183"/>
      <c r="G84" s="183"/>
      <c r="H84" s="183"/>
      <c r="I84" s="183"/>
      <c r="J84" s="184"/>
      <c r="K84" s="184"/>
      <c r="L84" s="184"/>
      <c r="M84" s="184"/>
      <c r="N84" s="184"/>
      <c r="O84" s="183"/>
      <c r="P84" s="183"/>
      <c r="Q84" s="183"/>
      <c r="R84" s="184"/>
      <c r="S84" s="184"/>
      <c r="T84" s="183"/>
      <c r="U84" s="183"/>
      <c r="V84" s="183"/>
      <c r="W84" s="184"/>
      <c r="X84" s="184"/>
      <c r="Y84" s="184"/>
      <c r="Z84" s="184"/>
      <c r="AA84" s="184"/>
      <c r="AB84" s="183"/>
      <c r="AC84" s="1004"/>
      <c r="AD84" s="177">
        <f>AD83*12</f>
        <v>0</v>
      </c>
    </row>
    <row r="1048576" ht="15" customHeight="1" x14ac:dyDescent="0.2"/>
  </sheetData>
  <mergeCells count="28">
    <mergeCell ref="AC83:AC84"/>
    <mergeCell ref="B81:Y81"/>
    <mergeCell ref="A37:D37"/>
    <mergeCell ref="A1:AC1"/>
    <mergeCell ref="E2:L2"/>
    <mergeCell ref="M2:R2"/>
    <mergeCell ref="S2:X2"/>
    <mergeCell ref="AC3:AC4"/>
    <mergeCell ref="I3:J4"/>
    <mergeCell ref="D3:D5"/>
    <mergeCell ref="A3:C5"/>
    <mergeCell ref="Z3:Z4"/>
    <mergeCell ref="B50:X50"/>
    <mergeCell ref="AB52:AB53"/>
    <mergeCell ref="A48:D48"/>
    <mergeCell ref="A24:D24"/>
    <mergeCell ref="AB3:AB4"/>
    <mergeCell ref="AA3:AA4"/>
    <mergeCell ref="Y3:Y4"/>
    <mergeCell ref="W3:X4"/>
    <mergeCell ref="U3:V4"/>
    <mergeCell ref="G3:H4"/>
    <mergeCell ref="E3:F4"/>
    <mergeCell ref="S3:T4"/>
    <mergeCell ref="Q3:R4"/>
    <mergeCell ref="O3:P4"/>
    <mergeCell ref="M3:N4"/>
    <mergeCell ref="K3:L4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724"/>
  </sheetPr>
  <dimension ref="A1:AMC17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V6" sqref="V6"/>
    </sheetView>
  </sheetViews>
  <sheetFormatPr defaultRowHeight="14.25" x14ac:dyDescent="0.2"/>
  <cols>
    <col min="1" max="1" width="34.5"/>
    <col min="3" max="3" width="11.25" customWidth="1"/>
    <col min="4" max="4" width="13.625"/>
    <col min="5" max="5" width="9.625"/>
    <col min="6" max="6" width="11.625"/>
    <col min="8" max="8" width="13.5"/>
    <col min="9" max="9" width="11.125"/>
    <col min="10" max="10" width="9.875"/>
    <col min="11" max="11" width="12.25"/>
    <col min="12" max="12" width="12.5"/>
    <col min="13" max="15" width="9.25"/>
    <col min="16" max="16" width="12.125" customWidth="1"/>
    <col min="17" max="17" width="9.25"/>
    <col min="18" max="18" width="10.875" customWidth="1"/>
    <col min="19" max="20" width="10.625" customWidth="1"/>
    <col min="21" max="21" width="11.625"/>
    <col min="22" max="22" width="9.25"/>
    <col min="23" max="1018" width="10.625"/>
  </cols>
  <sheetData>
    <row r="1" spans="1:22" ht="15" customHeight="1" x14ac:dyDescent="0.2">
      <c r="A1" s="554"/>
      <c r="B1" s="554"/>
      <c r="C1" s="1035" t="s">
        <v>331</v>
      </c>
      <c r="D1" s="1035"/>
      <c r="E1" s="1035"/>
      <c r="F1" s="1035"/>
      <c r="G1" s="1036" t="s">
        <v>332</v>
      </c>
      <c r="H1" s="1036"/>
      <c r="I1" s="1036"/>
      <c r="J1" s="1037" t="s">
        <v>333</v>
      </c>
      <c r="K1" s="1037"/>
      <c r="L1" s="1037"/>
      <c r="M1" s="554"/>
      <c r="N1" s="554"/>
      <c r="O1" s="554"/>
      <c r="P1" s="554"/>
      <c r="Q1" s="554"/>
      <c r="R1" s="1032"/>
      <c r="S1" s="1032"/>
      <c r="T1" s="1032"/>
      <c r="U1" s="554"/>
      <c r="V1" s="156"/>
    </row>
    <row r="2" spans="1:22" ht="60" customHeight="1" x14ac:dyDescent="0.2">
      <c r="A2" s="1028" t="s">
        <v>85</v>
      </c>
      <c r="B2" s="1030" t="s">
        <v>428</v>
      </c>
      <c r="C2" s="1029" t="s">
        <v>340</v>
      </c>
      <c r="D2" s="1029" t="s">
        <v>341</v>
      </c>
      <c r="E2" s="1029" t="s">
        <v>342</v>
      </c>
      <c r="F2" s="1029" t="s">
        <v>429</v>
      </c>
      <c r="G2" s="1038" t="s">
        <v>344</v>
      </c>
      <c r="H2" s="1039" t="s">
        <v>430</v>
      </c>
      <c r="I2" s="1038" t="s">
        <v>346</v>
      </c>
      <c r="J2" s="1040" t="s">
        <v>347</v>
      </c>
      <c r="K2" s="1040" t="s">
        <v>348</v>
      </c>
      <c r="L2" s="1041" t="s">
        <v>349</v>
      </c>
      <c r="M2" s="1033" t="s">
        <v>431</v>
      </c>
      <c r="N2" s="1033" t="s">
        <v>432</v>
      </c>
      <c r="O2" s="1033"/>
      <c r="P2" s="1034" t="s">
        <v>433</v>
      </c>
      <c r="Q2" s="1034"/>
      <c r="R2" s="499" t="s">
        <v>434</v>
      </c>
      <c r="S2" s="500" t="s">
        <v>435</v>
      </c>
      <c r="T2" s="501" t="s">
        <v>436</v>
      </c>
      <c r="U2" s="502" t="s">
        <v>437</v>
      </c>
      <c r="V2" s="160"/>
    </row>
    <row r="3" spans="1:22" x14ac:dyDescent="0.2">
      <c r="A3" s="1028"/>
      <c r="B3" s="1031"/>
      <c r="C3" s="1029"/>
      <c r="D3" s="1029"/>
      <c r="E3" s="1029"/>
      <c r="F3" s="1029"/>
      <c r="G3" s="1038"/>
      <c r="H3" s="1039"/>
      <c r="I3" s="1038"/>
      <c r="J3" s="1040"/>
      <c r="K3" s="1040"/>
      <c r="L3" s="1041"/>
      <c r="M3" s="1033"/>
      <c r="N3" s="498" t="s">
        <v>358</v>
      </c>
      <c r="O3" s="498" t="s">
        <v>359</v>
      </c>
      <c r="P3" s="503" t="s">
        <v>358</v>
      </c>
      <c r="Q3" s="503" t="s">
        <v>359</v>
      </c>
      <c r="R3" s="504" t="s">
        <v>438</v>
      </c>
      <c r="S3" s="505" t="s">
        <v>438</v>
      </c>
      <c r="T3" s="506" t="s">
        <v>439</v>
      </c>
      <c r="U3" s="502" t="s">
        <v>359</v>
      </c>
      <c r="V3" s="160"/>
    </row>
    <row r="4" spans="1:22" x14ac:dyDescent="0.2">
      <c r="A4" s="507" t="s">
        <v>86</v>
      </c>
      <c r="B4" s="753">
        <f>'Resumo Proposta'!D6</f>
        <v>0</v>
      </c>
      <c r="C4" s="508">
        <v>1685.66</v>
      </c>
      <c r="D4" s="509"/>
      <c r="E4" s="509">
        <v>315.92</v>
      </c>
      <c r="F4" s="509">
        <v>140.08000000000001</v>
      </c>
      <c r="G4" s="509"/>
      <c r="H4" s="509"/>
      <c r="I4" s="509">
        <v>108.55</v>
      </c>
      <c r="J4" s="565">
        <f t="shared" ref="J4:J19" si="0">L4-K4</f>
        <v>370.86</v>
      </c>
      <c r="K4" s="509">
        <v>123.07</v>
      </c>
      <c r="L4" s="509">
        <v>493.93</v>
      </c>
      <c r="M4" s="552">
        <f>C4/$C$23+D4/$D$23+E4/$E$23+F4/$F$23+G4/$G$23+H4/$H$23+I4/$I$23+K4/$K$23*16*1/188.76+L4/$L$23*16*1/188.76</f>
        <v>2.6796109197713509</v>
      </c>
      <c r="N4" s="510"/>
      <c r="O4" s="510">
        <v>3</v>
      </c>
      <c r="P4" s="768"/>
      <c r="Q4" s="768"/>
      <c r="R4" s="533">
        <v>6</v>
      </c>
      <c r="S4" s="510">
        <v>6</v>
      </c>
      <c r="T4" s="511">
        <v>22</v>
      </c>
      <c r="U4" s="512">
        <v>1</v>
      </c>
    </row>
    <row r="5" spans="1:22" x14ac:dyDescent="0.2">
      <c r="A5" s="513" t="s">
        <v>89</v>
      </c>
      <c r="B5" s="753">
        <f>'Resumo Proposta'!D7</f>
        <v>0</v>
      </c>
      <c r="C5" s="509">
        <v>205.83</v>
      </c>
      <c r="D5" s="509"/>
      <c r="E5" s="509"/>
      <c r="F5" s="509">
        <v>9.8800000000000008</v>
      </c>
      <c r="G5" s="509"/>
      <c r="H5" s="509"/>
      <c r="I5" s="509">
        <v>76.02</v>
      </c>
      <c r="J5" s="566">
        <f t="shared" si="0"/>
        <v>0</v>
      </c>
      <c r="K5" s="509">
        <v>24.99</v>
      </c>
      <c r="L5" s="509">
        <v>24.99</v>
      </c>
      <c r="M5" s="552">
        <f t="shared" ref="M5:M21" si="1">C5/$C$23+D5/$D$23+E5/$E$23+F5/$F$23+G5/$G$23+H5/$H$23+I5/$I$23+K5/$K$23*16*1/188.76+L5/$L$23*16*1/188.76</f>
        <v>0.2787154731393009</v>
      </c>
      <c r="N5" s="510">
        <v>1</v>
      </c>
      <c r="O5" s="510"/>
      <c r="P5" s="768"/>
      <c r="Q5" s="768"/>
      <c r="R5" s="533">
        <v>6</v>
      </c>
      <c r="S5" s="510">
        <v>6</v>
      </c>
      <c r="T5" s="511"/>
      <c r="U5" s="514"/>
    </row>
    <row r="6" spans="1:22" x14ac:dyDescent="0.2">
      <c r="A6" s="515" t="s">
        <v>92</v>
      </c>
      <c r="B6" s="753">
        <f>'Resumo Proposta'!D8</f>
        <v>0</v>
      </c>
      <c r="C6" s="509">
        <v>303.05</v>
      </c>
      <c r="D6" s="509"/>
      <c r="E6" s="509">
        <v>17.329999999999998</v>
      </c>
      <c r="F6" s="509">
        <v>17.88</v>
      </c>
      <c r="G6" s="509">
        <v>153.11000000000001</v>
      </c>
      <c r="H6" s="509">
        <v>40.53</v>
      </c>
      <c r="I6" s="509">
        <v>25.8</v>
      </c>
      <c r="J6" s="566">
        <f t="shared" si="0"/>
        <v>0</v>
      </c>
      <c r="K6" s="509">
        <v>54.06</v>
      </c>
      <c r="L6" s="509">
        <v>54.06</v>
      </c>
      <c r="M6" s="552">
        <f t="shared" si="1"/>
        <v>0.48827219471435884</v>
      </c>
      <c r="N6" s="510"/>
      <c r="O6" s="510">
        <v>1</v>
      </c>
      <c r="P6" s="768"/>
      <c r="Q6" s="769">
        <v>1</v>
      </c>
      <c r="R6" s="533">
        <v>6</v>
      </c>
      <c r="S6" s="510">
        <v>6</v>
      </c>
      <c r="T6" s="511"/>
      <c r="U6" s="514"/>
    </row>
    <row r="7" spans="1:22" x14ac:dyDescent="0.2">
      <c r="A7" s="513" t="s">
        <v>95</v>
      </c>
      <c r="B7" s="753">
        <f>'Resumo Proposta'!D9</f>
        <v>0</v>
      </c>
      <c r="C7" s="508">
        <v>1603.29</v>
      </c>
      <c r="D7" s="509"/>
      <c r="E7" s="509">
        <v>31.66</v>
      </c>
      <c r="F7" s="509">
        <v>54.3</v>
      </c>
      <c r="G7" s="509">
        <v>253.11</v>
      </c>
      <c r="H7" s="509">
        <v>610.95000000000005</v>
      </c>
      <c r="I7" s="509">
        <v>205.15</v>
      </c>
      <c r="J7" s="566">
        <f t="shared" si="0"/>
        <v>0</v>
      </c>
      <c r="K7" s="509">
        <v>365.74</v>
      </c>
      <c r="L7" s="509">
        <v>365.74</v>
      </c>
      <c r="M7" s="552">
        <f t="shared" si="1"/>
        <v>2.2497779003343812</v>
      </c>
      <c r="N7" s="510"/>
      <c r="O7" s="510">
        <v>2</v>
      </c>
      <c r="P7" s="769">
        <v>1</v>
      </c>
      <c r="Q7" s="768"/>
      <c r="R7" s="533">
        <v>6</v>
      </c>
      <c r="S7" s="510">
        <v>6</v>
      </c>
      <c r="T7" s="511"/>
      <c r="U7" s="514"/>
    </row>
    <row r="8" spans="1:22" x14ac:dyDescent="0.2">
      <c r="A8" s="515" t="s">
        <v>98</v>
      </c>
      <c r="B8" s="753">
        <f>'Resumo Proposta'!D10</f>
        <v>0</v>
      </c>
      <c r="C8" s="509">
        <v>924.57</v>
      </c>
      <c r="D8" s="509"/>
      <c r="E8" s="509"/>
      <c r="F8" s="509">
        <v>89.18</v>
      </c>
      <c r="G8" s="509"/>
      <c r="H8" s="509"/>
      <c r="I8" s="509"/>
      <c r="J8" s="566">
        <f t="shared" si="0"/>
        <v>109.56000000000002</v>
      </c>
      <c r="K8" s="509">
        <v>93.49</v>
      </c>
      <c r="L8" s="509">
        <v>203.05</v>
      </c>
      <c r="M8" s="552">
        <f t="shared" si="1"/>
        <v>1.3794245868963571</v>
      </c>
      <c r="N8" s="510"/>
      <c r="O8" s="510">
        <v>2</v>
      </c>
      <c r="P8" s="768"/>
      <c r="Q8" s="769">
        <v>2</v>
      </c>
      <c r="R8" s="533">
        <v>6</v>
      </c>
      <c r="S8" s="510">
        <v>6</v>
      </c>
      <c r="T8" s="511"/>
      <c r="U8" s="514"/>
    </row>
    <row r="9" spans="1:22" x14ac:dyDescent="0.2">
      <c r="A9" s="513" t="s">
        <v>101</v>
      </c>
      <c r="B9" s="753">
        <f>'Resumo Proposta'!D11</f>
        <v>0</v>
      </c>
      <c r="C9" s="509"/>
      <c r="D9" s="509">
        <v>733.24</v>
      </c>
      <c r="E9" s="509">
        <v>2021.22</v>
      </c>
      <c r="F9" s="509">
        <v>188.52</v>
      </c>
      <c r="G9" s="509">
        <v>2104.21</v>
      </c>
      <c r="H9" s="509">
        <v>1082.81</v>
      </c>
      <c r="I9" s="509">
        <v>1235.71</v>
      </c>
      <c r="J9" s="566">
        <f t="shared" si="0"/>
        <v>98.139999999999986</v>
      </c>
      <c r="K9" s="509">
        <v>651.53</v>
      </c>
      <c r="L9" s="509">
        <v>749.67</v>
      </c>
      <c r="M9" s="552">
        <f t="shared" si="1"/>
        <v>3.509197316684078</v>
      </c>
      <c r="N9" s="510"/>
      <c r="O9" s="510">
        <v>1</v>
      </c>
      <c r="P9" s="768"/>
      <c r="Q9" s="768"/>
      <c r="R9" s="533">
        <v>6</v>
      </c>
      <c r="S9" s="510">
        <v>6</v>
      </c>
      <c r="T9" s="511"/>
      <c r="U9" s="514"/>
    </row>
    <row r="10" spans="1:22" x14ac:dyDescent="0.2">
      <c r="A10" s="516" t="s">
        <v>104</v>
      </c>
      <c r="B10" s="753">
        <f>'Resumo Proposta'!D12</f>
        <v>0</v>
      </c>
      <c r="C10" s="509">
        <v>404.33</v>
      </c>
      <c r="D10" s="509"/>
      <c r="E10" s="509"/>
      <c r="F10" s="509">
        <v>20.97</v>
      </c>
      <c r="G10" s="509">
        <v>16.059999999999999</v>
      </c>
      <c r="H10" s="509"/>
      <c r="I10" s="509">
        <v>288.67</v>
      </c>
      <c r="J10" s="566">
        <f t="shared" si="0"/>
        <v>0</v>
      </c>
      <c r="K10" s="509">
        <v>60.2</v>
      </c>
      <c r="L10" s="509">
        <v>60.2</v>
      </c>
      <c r="M10" s="552">
        <f t="shared" si="1"/>
        <v>0.57909798976320492</v>
      </c>
      <c r="N10" s="510"/>
      <c r="O10" s="510">
        <v>1</v>
      </c>
      <c r="P10" s="768"/>
      <c r="Q10" s="769">
        <v>1</v>
      </c>
      <c r="R10" s="533">
        <v>6</v>
      </c>
      <c r="S10" s="510">
        <v>6</v>
      </c>
      <c r="T10" s="511"/>
      <c r="U10" s="514"/>
    </row>
    <row r="11" spans="1:22" x14ac:dyDescent="0.2">
      <c r="A11" s="517" t="s">
        <v>107</v>
      </c>
      <c r="B11" s="753">
        <f>'Resumo Proposta'!D13</f>
        <v>0</v>
      </c>
      <c r="C11" s="509">
        <v>271.87</v>
      </c>
      <c r="D11" s="509"/>
      <c r="E11" s="509"/>
      <c r="F11" s="509">
        <v>24.27</v>
      </c>
      <c r="G11" s="509">
        <v>185.97</v>
      </c>
      <c r="H11" s="509">
        <v>405.01</v>
      </c>
      <c r="I11" s="509">
        <v>68.08</v>
      </c>
      <c r="J11" s="566">
        <f t="shared" si="0"/>
        <v>0</v>
      </c>
      <c r="K11" s="509">
        <v>80.489999999999995</v>
      </c>
      <c r="L11" s="509">
        <v>80.489999999999995</v>
      </c>
      <c r="M11" s="552">
        <f t="shared" si="1"/>
        <v>0.49605915299910092</v>
      </c>
      <c r="N11" s="510"/>
      <c r="O11" s="510">
        <v>1</v>
      </c>
      <c r="P11" s="768"/>
      <c r="Q11" s="769">
        <v>1</v>
      </c>
      <c r="R11" s="533">
        <v>6</v>
      </c>
      <c r="S11" s="510">
        <v>6</v>
      </c>
      <c r="T11" s="511"/>
      <c r="U11" s="514"/>
    </row>
    <row r="12" spans="1:22" x14ac:dyDescent="0.2">
      <c r="A12" s="517" t="s">
        <v>110</v>
      </c>
      <c r="B12" s="753">
        <f>'Resumo Proposta'!D14</f>
        <v>0</v>
      </c>
      <c r="C12" s="508">
        <v>1117.1300000000001</v>
      </c>
      <c r="D12" s="509">
        <v>716.73</v>
      </c>
      <c r="E12" s="509">
        <v>836.34</v>
      </c>
      <c r="F12" s="509">
        <v>92.57</v>
      </c>
      <c r="G12" s="509">
        <v>933.08</v>
      </c>
      <c r="H12" s="509"/>
      <c r="I12" s="509">
        <v>65.150000000000006</v>
      </c>
      <c r="J12" s="566">
        <f t="shared" si="0"/>
        <v>0</v>
      </c>
      <c r="K12" s="509">
        <v>708.7</v>
      </c>
      <c r="L12" s="509">
        <v>708.7</v>
      </c>
      <c r="M12" s="552">
        <f t="shared" si="1"/>
        <v>3.0494268051611693</v>
      </c>
      <c r="N12" s="510"/>
      <c r="O12" s="510">
        <v>3</v>
      </c>
      <c r="P12" s="768"/>
      <c r="Q12" s="769">
        <v>1</v>
      </c>
      <c r="R12" s="533">
        <v>6</v>
      </c>
      <c r="S12" s="510">
        <v>6</v>
      </c>
      <c r="T12" s="511"/>
      <c r="U12" s="514"/>
    </row>
    <row r="13" spans="1:22" x14ac:dyDescent="0.2">
      <c r="A13" s="515" t="s">
        <v>113</v>
      </c>
      <c r="B13" s="753">
        <f>'Resumo Proposta'!D15</f>
        <v>0</v>
      </c>
      <c r="C13" s="509">
        <v>416.25</v>
      </c>
      <c r="D13" s="509"/>
      <c r="E13" s="509"/>
      <c r="F13" s="509">
        <v>31.62</v>
      </c>
      <c r="G13" s="509">
        <v>51.62</v>
      </c>
      <c r="H13" s="509">
        <v>19.53</v>
      </c>
      <c r="I13" s="509">
        <v>98.69</v>
      </c>
      <c r="J13" s="566">
        <f t="shared" si="0"/>
        <v>0</v>
      </c>
      <c r="K13" s="509">
        <v>92.29</v>
      </c>
      <c r="L13" s="509">
        <v>92.29</v>
      </c>
      <c r="M13" s="552">
        <f t="shared" si="1"/>
        <v>0.63426981871715038</v>
      </c>
      <c r="N13" s="510"/>
      <c r="O13" s="510">
        <v>1</v>
      </c>
      <c r="P13" s="768"/>
      <c r="Q13" s="769">
        <v>1</v>
      </c>
      <c r="R13" s="533">
        <v>6</v>
      </c>
      <c r="S13" s="510">
        <v>6</v>
      </c>
      <c r="T13" s="511"/>
      <c r="U13" s="514"/>
    </row>
    <row r="14" spans="1:22" x14ac:dyDescent="0.2">
      <c r="A14" s="517" t="s">
        <v>116</v>
      </c>
      <c r="B14" s="753">
        <f>'Resumo Proposta'!D16</f>
        <v>0</v>
      </c>
      <c r="C14" s="509">
        <v>257.49</v>
      </c>
      <c r="D14" s="509"/>
      <c r="E14" s="509"/>
      <c r="F14" s="509">
        <v>15.68</v>
      </c>
      <c r="G14" s="509">
        <v>128.9</v>
      </c>
      <c r="H14" s="509">
        <v>839.45</v>
      </c>
      <c r="I14" s="509">
        <v>209.78</v>
      </c>
      <c r="J14" s="566">
        <f t="shared" si="0"/>
        <v>0</v>
      </c>
      <c r="K14" s="509">
        <v>96.6</v>
      </c>
      <c r="L14" s="509">
        <v>96.6</v>
      </c>
      <c r="M14" s="552">
        <f t="shared" si="1"/>
        <v>0.45776250057288098</v>
      </c>
      <c r="N14" s="510"/>
      <c r="O14" s="510">
        <v>1</v>
      </c>
      <c r="P14" s="769">
        <v>1</v>
      </c>
      <c r="Q14" s="768"/>
      <c r="R14" s="533">
        <v>6</v>
      </c>
      <c r="S14" s="510">
        <v>6</v>
      </c>
      <c r="T14" s="511"/>
      <c r="U14" s="514"/>
    </row>
    <row r="15" spans="1:22" x14ac:dyDescent="0.2">
      <c r="A15" s="515" t="s">
        <v>119</v>
      </c>
      <c r="B15" s="753">
        <f>'Resumo Proposta'!D17</f>
        <v>0</v>
      </c>
      <c r="C15" s="509">
        <v>422.67</v>
      </c>
      <c r="D15" s="509"/>
      <c r="E15" s="509"/>
      <c r="F15" s="509">
        <v>37.200000000000003</v>
      </c>
      <c r="G15" s="509">
        <v>140.88</v>
      </c>
      <c r="H15" s="509">
        <v>403.92</v>
      </c>
      <c r="I15" s="509">
        <v>107.09</v>
      </c>
      <c r="J15" s="566">
        <f t="shared" si="0"/>
        <v>0</v>
      </c>
      <c r="K15" s="509">
        <v>124.1</v>
      </c>
      <c r="L15" s="509">
        <v>124.1</v>
      </c>
      <c r="M15" s="552">
        <f t="shared" si="1"/>
        <v>0.71195248778079978</v>
      </c>
      <c r="N15" s="510"/>
      <c r="O15" s="510">
        <v>1</v>
      </c>
      <c r="P15" s="768"/>
      <c r="Q15" s="769">
        <v>1</v>
      </c>
      <c r="R15" s="533">
        <v>6</v>
      </c>
      <c r="S15" s="510">
        <v>6</v>
      </c>
      <c r="T15" s="511"/>
      <c r="U15" s="514"/>
    </row>
    <row r="16" spans="1:22" x14ac:dyDescent="0.2">
      <c r="A16" s="515" t="s">
        <v>122</v>
      </c>
      <c r="B16" s="753">
        <f>'Resumo Proposta'!D18</f>
        <v>0</v>
      </c>
      <c r="C16" s="509">
        <v>279.19</v>
      </c>
      <c r="D16" s="509"/>
      <c r="E16" s="509"/>
      <c r="F16" s="509">
        <v>17.87</v>
      </c>
      <c r="G16" s="509">
        <v>122.92</v>
      </c>
      <c r="H16" s="509">
        <v>152.91999999999999</v>
      </c>
      <c r="I16" s="509">
        <v>22.01</v>
      </c>
      <c r="J16" s="566">
        <f t="shared" si="0"/>
        <v>0</v>
      </c>
      <c r="K16" s="509">
        <v>93.78</v>
      </c>
      <c r="L16" s="509">
        <v>93.78</v>
      </c>
      <c r="M16" s="552">
        <f t="shared" si="1"/>
        <v>0.45770713419941739</v>
      </c>
      <c r="N16" s="510"/>
      <c r="O16" s="510">
        <v>1</v>
      </c>
      <c r="P16" s="769">
        <v>1</v>
      </c>
      <c r="Q16" s="768"/>
      <c r="R16" s="533">
        <v>6</v>
      </c>
      <c r="S16" s="510">
        <v>6</v>
      </c>
      <c r="T16" s="511"/>
      <c r="U16" s="514"/>
    </row>
    <row r="17" spans="1:1017" s="156" customFormat="1" ht="12.75" x14ac:dyDescent="0.2">
      <c r="A17" s="518" t="s">
        <v>123</v>
      </c>
      <c r="B17" s="754">
        <f>'Resumo Proposta'!D19</f>
        <v>0</v>
      </c>
      <c r="C17" s="519"/>
      <c r="D17" s="519">
        <v>225.95</v>
      </c>
      <c r="E17" s="519"/>
      <c r="F17" s="519">
        <v>20.05</v>
      </c>
      <c r="G17" s="519">
        <v>234.3</v>
      </c>
      <c r="H17" s="519">
        <v>171.14</v>
      </c>
      <c r="I17" s="519">
        <v>63.6</v>
      </c>
      <c r="J17" s="566">
        <f t="shared" si="0"/>
        <v>0</v>
      </c>
      <c r="K17" s="519">
        <v>62.59</v>
      </c>
      <c r="L17" s="519">
        <v>62.59</v>
      </c>
      <c r="M17" s="552">
        <f t="shared" si="1"/>
        <v>0.28069213201652149</v>
      </c>
      <c r="N17" s="510">
        <v>1</v>
      </c>
      <c r="O17" s="510"/>
      <c r="P17" s="768"/>
      <c r="Q17" s="768"/>
      <c r="R17" s="533">
        <v>6</v>
      </c>
      <c r="S17" s="510">
        <v>6</v>
      </c>
      <c r="T17" s="511"/>
      <c r="U17" s="514"/>
      <c r="ALP17" s="169"/>
      <c r="ALQ17" s="169"/>
      <c r="ALR17" s="169"/>
      <c r="ALS17" s="169"/>
      <c r="ALT17" s="169"/>
      <c r="ALU17" s="169"/>
      <c r="ALV17" s="169"/>
      <c r="ALW17" s="169"/>
      <c r="ALX17" s="169"/>
      <c r="ALY17" s="169"/>
      <c r="ALZ17" s="169"/>
      <c r="AMA17" s="169"/>
      <c r="AMB17" s="169"/>
    </row>
    <row r="18" spans="1:1017" s="156" customFormat="1" ht="12.75" x14ac:dyDescent="0.2">
      <c r="A18" s="518" t="s">
        <v>124</v>
      </c>
      <c r="B18" s="754">
        <f>'Resumo Proposta'!D20</f>
        <v>0</v>
      </c>
      <c r="C18" s="520">
        <v>1330.2</v>
      </c>
      <c r="D18" s="520">
        <v>2736.12</v>
      </c>
      <c r="E18" s="519"/>
      <c r="F18" s="519">
        <v>27.05</v>
      </c>
      <c r="G18" s="519"/>
      <c r="H18" s="520">
        <v>1567.93</v>
      </c>
      <c r="I18" s="520">
        <v>1405.98</v>
      </c>
      <c r="J18" s="566">
        <f t="shared" si="0"/>
        <v>0</v>
      </c>
      <c r="K18" s="519">
        <v>92.13</v>
      </c>
      <c r="L18" s="519">
        <v>92.13</v>
      </c>
      <c r="M18" s="552">
        <f t="shared" si="1"/>
        <v>2.8593736906747154</v>
      </c>
      <c r="N18" s="510"/>
      <c r="O18" s="510">
        <v>1</v>
      </c>
      <c r="P18" s="768"/>
      <c r="Q18" s="768"/>
      <c r="R18" s="533">
        <v>6</v>
      </c>
      <c r="S18" s="510">
        <v>6</v>
      </c>
      <c r="T18" s="511"/>
      <c r="U18" s="514"/>
      <c r="ALP18" s="169"/>
      <c r="ALQ18" s="169"/>
      <c r="ALR18" s="169"/>
      <c r="ALS18" s="169"/>
      <c r="ALT18" s="169"/>
      <c r="ALU18" s="169"/>
      <c r="ALV18" s="169"/>
      <c r="ALW18" s="169"/>
      <c r="ALX18" s="169"/>
      <c r="ALY18" s="169"/>
      <c r="ALZ18" s="169"/>
      <c r="AMA18" s="169"/>
      <c r="AMB18" s="169"/>
    </row>
    <row r="19" spans="1:1017" s="156" customFormat="1" ht="12.75" x14ac:dyDescent="0.2">
      <c r="A19" s="518" t="s">
        <v>125</v>
      </c>
      <c r="B19" s="754">
        <f>'Resumo Proposta'!D21</f>
        <v>0</v>
      </c>
      <c r="C19" s="519">
        <v>182.51</v>
      </c>
      <c r="D19" s="519"/>
      <c r="E19" s="519"/>
      <c r="F19" s="519">
        <v>19.2</v>
      </c>
      <c r="G19" s="519"/>
      <c r="H19" s="519"/>
      <c r="I19" s="519"/>
      <c r="J19" s="566">
        <f t="shared" si="0"/>
        <v>0</v>
      </c>
      <c r="K19" s="519">
        <v>57.29</v>
      </c>
      <c r="L19" s="519">
        <v>57.29</v>
      </c>
      <c r="M19" s="552">
        <f t="shared" si="1"/>
        <v>0.29011893210457801</v>
      </c>
      <c r="N19" s="510">
        <v>1</v>
      </c>
      <c r="O19" s="510"/>
      <c r="P19" s="768"/>
      <c r="Q19" s="768"/>
      <c r="R19" s="533">
        <v>6</v>
      </c>
      <c r="S19" s="510">
        <v>6</v>
      </c>
      <c r="T19" s="511"/>
      <c r="U19" s="514"/>
      <c r="ALP19" s="169"/>
      <c r="ALQ19" s="169"/>
      <c r="ALR19" s="169"/>
      <c r="ALS19" s="169"/>
      <c r="ALT19" s="169"/>
      <c r="ALU19" s="169"/>
      <c r="ALV19" s="169"/>
      <c r="ALW19" s="169"/>
      <c r="ALX19" s="169"/>
      <c r="ALY19" s="169"/>
      <c r="ALZ19" s="169"/>
      <c r="AMA19" s="169"/>
      <c r="AMB19" s="169"/>
    </row>
    <row r="20" spans="1:1017" s="156" customFormat="1" ht="15" x14ac:dyDescent="0.25">
      <c r="A20" s="521" t="s">
        <v>126</v>
      </c>
      <c r="B20" s="755">
        <f>'Resumo Proposta'!D22</f>
        <v>0</v>
      </c>
      <c r="C20" s="522">
        <v>1068.8800000000001</v>
      </c>
      <c r="D20" s="523"/>
      <c r="E20" s="523">
        <v>753.45</v>
      </c>
      <c r="F20" s="523">
        <v>65.28</v>
      </c>
      <c r="G20" s="523"/>
      <c r="H20" s="523"/>
      <c r="I20" s="523"/>
      <c r="J20" s="563"/>
      <c r="K20" s="523">
        <v>137.63</v>
      </c>
      <c r="L20" s="523">
        <v>326.57</v>
      </c>
      <c r="M20" s="552">
        <f t="shared" si="1"/>
        <v>1.9980389838231944</v>
      </c>
      <c r="N20" s="510"/>
      <c r="O20" s="510">
        <v>2</v>
      </c>
      <c r="P20" s="768"/>
      <c r="Q20" s="769">
        <v>3</v>
      </c>
      <c r="R20" s="533">
        <v>6</v>
      </c>
      <c r="S20" s="510">
        <v>6</v>
      </c>
      <c r="T20" s="511"/>
      <c r="U20" s="514"/>
      <c r="V20" s="771"/>
      <c r="ALP20" s="169"/>
      <c r="ALQ20" s="169"/>
      <c r="ALR20" s="169"/>
      <c r="ALS20" s="169"/>
      <c r="ALT20" s="169"/>
      <c r="ALU20" s="169"/>
      <c r="ALV20" s="169"/>
      <c r="ALW20" s="169"/>
      <c r="ALX20" s="169"/>
      <c r="ALY20" s="169"/>
      <c r="ALZ20" s="169"/>
      <c r="AMA20" s="169"/>
      <c r="AMB20" s="169"/>
    </row>
    <row r="21" spans="1:1017" s="156" customFormat="1" ht="15" x14ac:dyDescent="0.25">
      <c r="A21" s="515" t="s">
        <v>127</v>
      </c>
      <c r="B21" s="753">
        <f>'Resumo Proposta'!D23</f>
        <v>0</v>
      </c>
      <c r="C21" s="524">
        <v>3867.48</v>
      </c>
      <c r="D21" s="525"/>
      <c r="E21" s="525">
        <v>177.16</v>
      </c>
      <c r="F21" s="525">
        <v>133.13</v>
      </c>
      <c r="G21" s="525">
        <v>312.32</v>
      </c>
      <c r="H21" s="525"/>
      <c r="I21" s="525">
        <v>300.82</v>
      </c>
      <c r="J21" s="564">
        <f>L21-K21</f>
        <v>553.68000000000006</v>
      </c>
      <c r="K21" s="525">
        <v>216.14</v>
      </c>
      <c r="L21" s="525">
        <v>769.82</v>
      </c>
      <c r="M21" s="552">
        <f t="shared" si="1"/>
        <v>5.180880501416004</v>
      </c>
      <c r="N21" s="510"/>
      <c r="O21" s="510">
        <v>4</v>
      </c>
      <c r="P21" s="770"/>
      <c r="Q21" s="770"/>
      <c r="R21" s="556">
        <v>6</v>
      </c>
      <c r="S21" s="557">
        <v>6</v>
      </c>
      <c r="T21" s="558"/>
      <c r="U21" s="559"/>
      <c r="ALS21" s="171"/>
      <c r="ALT21" s="171"/>
      <c r="ALU21" s="171"/>
      <c r="ALV21" s="171"/>
      <c r="ALW21" s="171"/>
      <c r="ALX21" s="171"/>
      <c r="ALY21" s="171"/>
      <c r="ALZ21" s="171"/>
      <c r="AMA21" s="171"/>
      <c r="AMB21" s="171"/>
    </row>
    <row r="22" spans="1:1017" s="156" customFormat="1" ht="15" x14ac:dyDescent="0.25">
      <c r="A22" s="526" t="s">
        <v>440</v>
      </c>
      <c r="B22" s="526"/>
      <c r="C22" s="527">
        <f>SUM(C4:C21)</f>
        <v>14340.399999999998</v>
      </c>
      <c r="D22" s="527">
        <f>SUM(D4:D21)</f>
        <v>4412.04</v>
      </c>
      <c r="E22" s="527">
        <f t="shared" ref="E22:L22" si="2">SUM(E4:E21)</f>
        <v>4153.08</v>
      </c>
      <c r="F22" s="527">
        <f t="shared" si="2"/>
        <v>1004.73</v>
      </c>
      <c r="G22" s="527">
        <f t="shared" si="2"/>
        <v>4636.4799999999996</v>
      </c>
      <c r="H22" s="527">
        <f t="shared" si="2"/>
        <v>5294.1900000000005</v>
      </c>
      <c r="I22" s="527">
        <f t="shared" si="2"/>
        <v>4281.1000000000004</v>
      </c>
      <c r="J22" s="527">
        <f t="shared" si="2"/>
        <v>1132.24</v>
      </c>
      <c r="K22" s="527">
        <f t="shared" si="2"/>
        <v>3134.8200000000006</v>
      </c>
      <c r="L22" s="527">
        <f t="shared" si="2"/>
        <v>4456</v>
      </c>
      <c r="M22" s="544">
        <f>SUM(M4:M21)</f>
        <v>27.580378520768562</v>
      </c>
      <c r="N22" s="545">
        <f>SUM(N4:N21)</f>
        <v>3</v>
      </c>
      <c r="O22" s="561">
        <f>SUM(O4:O21)</f>
        <v>25</v>
      </c>
      <c r="P22" s="546">
        <f t="shared" ref="P22:U22" si="3">SUM(P4:P21)</f>
        <v>3</v>
      </c>
      <c r="Q22" s="546">
        <f t="shared" si="3"/>
        <v>11</v>
      </c>
      <c r="R22" s="529">
        <f t="shared" si="3"/>
        <v>108</v>
      </c>
      <c r="S22" s="530">
        <f t="shared" si="3"/>
        <v>108</v>
      </c>
      <c r="T22" s="531">
        <f t="shared" si="3"/>
        <v>22</v>
      </c>
      <c r="U22" s="532">
        <f t="shared" si="3"/>
        <v>1</v>
      </c>
      <c r="ALS22" s="171"/>
      <c r="ALT22" s="171"/>
      <c r="ALU22" s="171"/>
      <c r="ALV22" s="171"/>
      <c r="ALW22" s="171"/>
      <c r="ALX22" s="171"/>
      <c r="ALY22" s="171"/>
      <c r="ALZ22" s="171"/>
      <c r="AMA22" s="171"/>
      <c r="AMB22" s="171"/>
    </row>
    <row r="23" spans="1:1017" s="156" customFormat="1" ht="15" x14ac:dyDescent="0.25">
      <c r="A23" s="513" t="s">
        <v>441</v>
      </c>
      <c r="B23" s="513"/>
      <c r="C23" s="513">
        <v>910</v>
      </c>
      <c r="D23" s="513">
        <v>2500</v>
      </c>
      <c r="E23" s="513">
        <v>1500</v>
      </c>
      <c r="F23" s="513">
        <v>300</v>
      </c>
      <c r="G23" s="513">
        <v>2700</v>
      </c>
      <c r="H23" s="513">
        <v>100000</v>
      </c>
      <c r="I23" s="513">
        <v>9000</v>
      </c>
      <c r="J23" s="513">
        <v>160</v>
      </c>
      <c r="K23" s="513">
        <v>380</v>
      </c>
      <c r="L23" s="513">
        <v>380</v>
      </c>
      <c r="M23" s="555" t="s">
        <v>426</v>
      </c>
      <c r="N23" s="547" t="s">
        <v>442</v>
      </c>
      <c r="O23" s="548">
        <f>N22+O22</f>
        <v>28</v>
      </c>
      <c r="P23" s="547" t="s">
        <v>442</v>
      </c>
      <c r="Q23" s="548">
        <f>P22+Q22</f>
        <v>14</v>
      </c>
      <c r="R23" s="170"/>
      <c r="S23" s="171"/>
      <c r="T23" s="171"/>
      <c r="U23" s="171"/>
      <c r="ALR23" s="171"/>
      <c r="ALS23" s="171"/>
      <c r="ALT23" s="171"/>
      <c r="ALU23" s="171"/>
      <c r="ALV23" s="171"/>
      <c r="ALW23" s="171"/>
      <c r="ALX23" s="171"/>
      <c r="ALY23" s="171"/>
      <c r="ALZ23" s="171"/>
      <c r="AMA23" s="171"/>
    </row>
    <row r="24" spans="1:1017" s="156" customFormat="1" ht="15" x14ac:dyDescent="0.25">
      <c r="A24" s="528" t="s">
        <v>443</v>
      </c>
      <c r="B24" s="528"/>
      <c r="C24" s="544">
        <f>C22/C23</f>
        <v>15.758681318681317</v>
      </c>
      <c r="D24" s="544">
        <f>D22/D23</f>
        <v>1.7648159999999999</v>
      </c>
      <c r="E24" s="544">
        <f t="shared" ref="E24:I24" si="4">E22/E23</f>
        <v>2.7687200000000001</v>
      </c>
      <c r="F24" s="544">
        <f t="shared" si="4"/>
        <v>3.3491</v>
      </c>
      <c r="G24" s="544">
        <f t="shared" si="4"/>
        <v>1.7172148148148147</v>
      </c>
      <c r="H24" s="544">
        <f t="shared" si="4"/>
        <v>5.2941900000000007E-2</v>
      </c>
      <c r="I24" s="544">
        <f t="shared" si="4"/>
        <v>0.47567777777777781</v>
      </c>
      <c r="J24" s="544">
        <f>1/J23*8*1/1132.6*J22</f>
        <v>4.9984107363588215E-2</v>
      </c>
      <c r="K24" s="544">
        <f>K22/((K23*188.76)/16)</f>
        <v>0.69926054806437588</v>
      </c>
      <c r="L24" s="544">
        <f>L22/((L23*188.76)/16)</f>
        <v>0.99396616143027627</v>
      </c>
      <c r="M24" s="560">
        <f>SUM(C24:L24)-J24</f>
        <v>27.580378520768562</v>
      </c>
      <c r="N24" s="549" t="s">
        <v>444</v>
      </c>
      <c r="O24" s="548">
        <f>O22+(N22*0.85)</f>
        <v>27.55</v>
      </c>
      <c r="P24" s="550"/>
      <c r="Q24" s="551"/>
      <c r="R24" s="171"/>
      <c r="S24" s="171"/>
      <c r="T24" s="171"/>
      <c r="U24" s="171"/>
      <c r="ALR24" s="171"/>
      <c r="ALS24" s="171"/>
      <c r="ALT24" s="171"/>
      <c r="ALU24" s="171"/>
      <c r="ALV24" s="171"/>
      <c r="ALW24" s="171"/>
      <c r="ALX24" s="171"/>
      <c r="ALY24" s="171"/>
      <c r="ALZ24" s="171"/>
      <c r="AMA24" s="171"/>
    </row>
    <row r="25" spans="1:1017" s="156" customFormat="1" ht="15" x14ac:dyDescent="0.25">
      <c r="A25" s="528" t="s">
        <v>445</v>
      </c>
      <c r="B25" s="528"/>
      <c r="C25" s="544">
        <f>C22/($M$22*C23)</f>
        <v>0.57137291668476275</v>
      </c>
      <c r="D25" s="544">
        <f t="shared" ref="D25:I25" si="5">D22/($M$22*D23)</f>
        <v>6.3988099317457123E-2</v>
      </c>
      <c r="E25" s="544">
        <f t="shared" si="5"/>
        <v>0.10038730969247213</v>
      </c>
      <c r="F25" s="544">
        <f t="shared" si="5"/>
        <v>0.12143053067520675</v>
      </c>
      <c r="G25" s="544">
        <f t="shared" si="5"/>
        <v>6.2262191707112308E-2</v>
      </c>
      <c r="H25" s="544">
        <f t="shared" si="5"/>
        <v>1.919549434759705E-3</v>
      </c>
      <c r="I25" s="544">
        <f t="shared" si="5"/>
        <v>1.724696335909905E-2</v>
      </c>
      <c r="J25" s="544">
        <f>J24/4</f>
        <v>1.2496026840897054E-2</v>
      </c>
      <c r="K25" s="544">
        <f>1/M22*1/K23*16*1/188.76*K22</f>
        <v>2.5353551530767397E-2</v>
      </c>
      <c r="L25" s="544">
        <f>1/M22*1/L23*16*1/188.76*L22</f>
        <v>3.6038887598362747E-2</v>
      </c>
      <c r="M25" s="560">
        <f>SUM(C25:L25)-J25</f>
        <v>0.99999999999999989</v>
      </c>
      <c r="N25" s="171"/>
      <c r="O25" s="171"/>
      <c r="P25" s="171"/>
      <c r="Q25" s="171"/>
      <c r="R25" s="171"/>
      <c r="S25" s="171"/>
      <c r="T25" s="171"/>
      <c r="U25" s="171"/>
      <c r="ALR25" s="171"/>
      <c r="ALS25" s="171"/>
      <c r="ALT25" s="171"/>
      <c r="ALU25" s="171"/>
      <c r="ALV25" s="171"/>
      <c r="ALW25" s="171"/>
      <c r="ALX25" s="171"/>
      <c r="ALY25" s="171"/>
      <c r="ALZ25" s="171"/>
      <c r="AMA25" s="171"/>
    </row>
    <row r="26" spans="1:1017" s="156" customFormat="1" ht="15" x14ac:dyDescent="0.25">
      <c r="A26" s="186"/>
      <c r="B26" s="186"/>
      <c r="C26" s="762" t="s">
        <v>446</v>
      </c>
      <c r="D26" s="763" t="s">
        <v>447</v>
      </c>
      <c r="E26" s="763" t="s">
        <v>448</v>
      </c>
      <c r="F26" s="763" t="s">
        <v>449</v>
      </c>
      <c r="G26" s="764" t="s">
        <v>450</v>
      </c>
      <c r="H26" s="765">
        <v>100000</v>
      </c>
      <c r="I26" s="764" t="s">
        <v>451</v>
      </c>
      <c r="J26" s="764" t="s">
        <v>452</v>
      </c>
      <c r="K26" s="766" t="s">
        <v>453</v>
      </c>
      <c r="L26" s="767" t="s">
        <v>453</v>
      </c>
      <c r="M26" s="171"/>
      <c r="N26" s="171"/>
      <c r="O26" s="171"/>
      <c r="P26" s="171"/>
      <c r="Q26" s="171"/>
      <c r="R26" s="171"/>
      <c r="S26" s="171"/>
      <c r="T26" s="171"/>
      <c r="U26" s="171"/>
      <c r="ALQ26" s="169"/>
      <c r="ALR26" s="169"/>
      <c r="ALS26" s="169"/>
      <c r="ALT26" s="169"/>
      <c r="ALU26" s="169"/>
      <c r="ALV26" s="169"/>
      <c r="ALW26" s="169"/>
      <c r="ALX26" s="169"/>
      <c r="ALY26" s="169"/>
      <c r="ALZ26" s="169"/>
      <c r="AMA26" s="169"/>
      <c r="AMB26" s="169"/>
      <c r="AMC26" s="169"/>
    </row>
    <row r="32" spans="1:1017" hidden="1" x14ac:dyDescent="0.2"/>
    <row r="33" hidden="1" x14ac:dyDescent="0.2"/>
    <row r="176" spans="3:3" x14ac:dyDescent="0.2">
      <c r="C176">
        <f>(1/'Prod. GEXFLO'!I21)*(1/('Prod. GEXFLO'!I22))*8</f>
        <v>6.211949373836357E-6</v>
      </c>
    </row>
  </sheetData>
  <mergeCells count="19">
    <mergeCell ref="R1:T1"/>
    <mergeCell ref="N2:O2"/>
    <mergeCell ref="P2:Q2"/>
    <mergeCell ref="C1:F1"/>
    <mergeCell ref="G1:I1"/>
    <mergeCell ref="J1:L1"/>
    <mergeCell ref="G2:G3"/>
    <mergeCell ref="H2:H3"/>
    <mergeCell ref="I2:I3"/>
    <mergeCell ref="J2:J3"/>
    <mergeCell ref="K2:K3"/>
    <mergeCell ref="L2:L3"/>
    <mergeCell ref="M2:M3"/>
    <mergeCell ref="A2:A3"/>
    <mergeCell ref="C2:C3"/>
    <mergeCell ref="D2:D3"/>
    <mergeCell ref="E2:E3"/>
    <mergeCell ref="F2:F3"/>
    <mergeCell ref="B2:B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  <ignoredErrors>
    <ignoredError sqref="M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G192"/>
  <sheetViews>
    <sheetView topLeftCell="A156" zoomScale="80" zoomScaleNormal="80" workbookViewId="0">
      <selection activeCell="M148" sqref="M148:T192"/>
    </sheetView>
  </sheetViews>
  <sheetFormatPr defaultRowHeight="14.25" x14ac:dyDescent="0.2"/>
  <cols>
    <col min="1" max="1" width="58.125" style="92"/>
    <col min="2" max="2" width="15.375" style="92"/>
    <col min="3" max="4" width="14.5" style="92"/>
    <col min="5" max="5" width="16.75" style="92" customWidth="1"/>
    <col min="6" max="6" width="15.75" style="92"/>
    <col min="7" max="7" width="13" style="92"/>
    <col min="8" max="8" width="15.625" style="92"/>
    <col min="9" max="9" width="10.5" style="92"/>
    <col min="10" max="10" width="15.125" style="92"/>
    <col min="11" max="11" width="10.5" style="92"/>
    <col min="12" max="12" width="14.25" style="92"/>
    <col min="13" max="1021" width="10.5" style="92"/>
    <col min="1022" max="1025" width="10.5"/>
  </cols>
  <sheetData>
    <row r="1" spans="1:6" ht="15.75" x14ac:dyDescent="0.2">
      <c r="A1" s="1042" t="s">
        <v>454</v>
      </c>
      <c r="B1" s="1042"/>
      <c r="C1" s="1042"/>
      <c r="D1" s="1042"/>
      <c r="E1" s="1042"/>
      <c r="F1" s="1042"/>
    </row>
    <row r="2" spans="1:6" ht="15.75" x14ac:dyDescent="0.2">
      <c r="A2" s="1043" t="s">
        <v>455</v>
      </c>
      <c r="B2" s="1043"/>
      <c r="C2" s="1043"/>
      <c r="D2" s="1043"/>
      <c r="E2" s="1043"/>
      <c r="F2" s="1043"/>
    </row>
    <row r="3" spans="1:6" ht="15.75" customHeight="1" x14ac:dyDescent="0.2">
      <c r="A3" s="1043" t="s">
        <v>456</v>
      </c>
      <c r="B3" s="1043"/>
      <c r="C3" s="1043"/>
      <c r="D3" s="1043"/>
      <c r="E3" s="1043"/>
      <c r="F3" s="1043"/>
    </row>
    <row r="4" spans="1:6" ht="15.75" x14ac:dyDescent="0.2">
      <c r="A4" s="93"/>
      <c r="B4" s="94"/>
      <c r="C4" s="467" t="s">
        <v>457</v>
      </c>
      <c r="D4" s="468" t="s">
        <v>458</v>
      </c>
      <c r="E4" s="468" t="s">
        <v>459</v>
      </c>
      <c r="F4" s="539" t="s">
        <v>460</v>
      </c>
    </row>
    <row r="5" spans="1:6" x14ac:dyDescent="0.2">
      <c r="A5" s="96"/>
      <c r="B5" s="97" t="s">
        <v>461</v>
      </c>
      <c r="C5" s="469">
        <f>MC!C11</f>
        <v>0</v>
      </c>
      <c r="D5" s="470">
        <f>MC!E11</f>
        <v>0</v>
      </c>
      <c r="E5" s="470">
        <f>MC!C14</f>
        <v>0</v>
      </c>
      <c r="F5" s="540">
        <f>MC!C12</f>
        <v>0</v>
      </c>
    </row>
    <row r="6" spans="1:6" x14ac:dyDescent="0.2">
      <c r="A6" s="96"/>
      <c r="B6" s="97" t="s">
        <v>462</v>
      </c>
      <c r="C6" s="471">
        <v>44562</v>
      </c>
      <c r="D6" s="472">
        <v>44562</v>
      </c>
      <c r="E6" s="472">
        <v>44562</v>
      </c>
      <c r="F6" s="541">
        <f>MC!D8</f>
        <v>0</v>
      </c>
    </row>
    <row r="7" spans="1:6" x14ac:dyDescent="0.2">
      <c r="A7" s="96"/>
      <c r="B7" s="97" t="s">
        <v>463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464</v>
      </c>
      <c r="C8" s="476" t="s">
        <v>10</v>
      </c>
      <c r="D8" s="477" t="s">
        <v>10</v>
      </c>
      <c r="E8" s="477" t="s">
        <v>10</v>
      </c>
      <c r="F8" s="542">
        <f>MC!E8</f>
        <v>0</v>
      </c>
    </row>
    <row r="9" spans="1:6" x14ac:dyDescent="0.2">
      <c r="A9" s="1044"/>
      <c r="B9" s="1044"/>
      <c r="C9" s="1044"/>
      <c r="D9" s="1044"/>
      <c r="E9" s="1044"/>
      <c r="F9" s="1044"/>
    </row>
    <row r="10" spans="1:6" ht="66.75" customHeight="1" x14ac:dyDescent="0.2">
      <c r="A10" s="187" t="s">
        <v>465</v>
      </c>
      <c r="B10" s="188" t="s">
        <v>466</v>
      </c>
      <c r="C10" s="188" t="s">
        <v>467</v>
      </c>
      <c r="D10" s="254" t="s">
        <v>458</v>
      </c>
      <c r="E10" s="188" t="s">
        <v>459</v>
      </c>
      <c r="F10" s="188" t="s">
        <v>468</v>
      </c>
    </row>
    <row r="11" spans="1:6" ht="14.25" customHeight="1" x14ac:dyDescent="0.2">
      <c r="A11" s="321" t="s">
        <v>469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470</v>
      </c>
      <c r="B12" s="102" t="s">
        <v>471</v>
      </c>
      <c r="C12" s="102" t="s">
        <v>472</v>
      </c>
      <c r="D12" s="102" t="s">
        <v>472</v>
      </c>
      <c r="E12" s="189"/>
      <c r="F12" s="103" t="s">
        <v>472</v>
      </c>
    </row>
    <row r="13" spans="1:6" ht="15.75" customHeight="1" x14ac:dyDescent="0.2">
      <c r="A13" s="104" t="s">
        <v>473</v>
      </c>
      <c r="B13" s="105"/>
      <c r="C13" s="106">
        <f>C5</f>
        <v>0</v>
      </c>
      <c r="D13" s="190">
        <f>D5</f>
        <v>0</v>
      </c>
      <c r="E13" s="190">
        <f>E5</f>
        <v>0</v>
      </c>
      <c r="F13" s="107">
        <f>F5</f>
        <v>0</v>
      </c>
    </row>
    <row r="14" spans="1:6" ht="15.75" customHeight="1" x14ac:dyDescent="0.2">
      <c r="A14" s="104" t="s">
        <v>474</v>
      </c>
      <c r="B14" s="108">
        <v>0.2</v>
      </c>
      <c r="C14" s="106">
        <f>C13*$B$14</f>
        <v>0</v>
      </c>
      <c r="D14" s="106">
        <f>D13*$B$14</f>
        <v>0</v>
      </c>
      <c r="E14" s="106"/>
      <c r="F14" s="107">
        <f>F13*$B$14</f>
        <v>0</v>
      </c>
    </row>
    <row r="15" spans="1:6" ht="15.75" customHeight="1" x14ac:dyDescent="0.2">
      <c r="A15" s="104" t="s">
        <v>475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476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477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478</v>
      </c>
      <c r="B18" s="108">
        <v>0.3</v>
      </c>
      <c r="C18" s="106"/>
      <c r="D18" s="106"/>
      <c r="E18" s="190">
        <f>E13*B18</f>
        <v>0</v>
      </c>
      <c r="F18" s="107"/>
    </row>
    <row r="19" spans="1:6" ht="15.75" customHeight="1" x14ac:dyDescent="0.2">
      <c r="A19" s="111" t="s">
        <v>479</v>
      </c>
      <c r="B19" s="112"/>
      <c r="C19" s="121">
        <f>SUM(C13:C18)</f>
        <v>0</v>
      </c>
      <c r="D19" s="191">
        <f>SUM(D13:D18)</f>
        <v>0</v>
      </c>
      <c r="E19" s="191">
        <f>SUM(E13:E18)</f>
        <v>0</v>
      </c>
      <c r="F19" s="122">
        <f>SUM(F13:F18)</f>
        <v>0</v>
      </c>
    </row>
    <row r="20" spans="1:6" ht="15.75" customHeight="1" x14ac:dyDescent="0.2">
      <c r="A20" s="1045"/>
      <c r="B20" s="1045"/>
      <c r="C20" s="114"/>
      <c r="D20" s="192"/>
      <c r="E20" s="192"/>
      <c r="F20" s="115"/>
    </row>
    <row r="21" spans="1:6" ht="14.25" customHeight="1" x14ac:dyDescent="0.2">
      <c r="A21" s="1046" t="s">
        <v>480</v>
      </c>
      <c r="B21" s="1046"/>
      <c r="C21" s="1046"/>
      <c r="D21" s="1046"/>
      <c r="E21" s="1046"/>
      <c r="F21" s="1046"/>
    </row>
    <row r="22" spans="1:6" ht="28.35" customHeight="1" x14ac:dyDescent="0.2">
      <c r="A22" s="116" t="s">
        <v>481</v>
      </c>
      <c r="B22" s="117" t="s">
        <v>471</v>
      </c>
      <c r="C22" s="117" t="s">
        <v>472</v>
      </c>
      <c r="D22" s="117" t="s">
        <v>472</v>
      </c>
      <c r="E22" s="117" t="s">
        <v>472</v>
      </c>
      <c r="F22" s="118" t="s">
        <v>472</v>
      </c>
    </row>
    <row r="23" spans="1:6" ht="15.75" customHeight="1" x14ac:dyDescent="0.2">
      <c r="A23" s="119" t="s">
        <v>482</v>
      </c>
      <c r="B23" s="108">
        <f>1/12</f>
        <v>8.3333333333333329E-2</v>
      </c>
      <c r="C23" s="106">
        <f>ROUND($B23*C$19,2)</f>
        <v>0</v>
      </c>
      <c r="D23" s="106">
        <f>ROUND($B23*D$19,2)</f>
        <v>0</v>
      </c>
      <c r="E23" s="106">
        <f>ROUND($B23*E$19,2)</f>
        <v>0</v>
      </c>
      <c r="F23" s="107">
        <f>ROUND($B23*F$19,2)</f>
        <v>0</v>
      </c>
    </row>
    <row r="24" spans="1:6" x14ac:dyDescent="0.2">
      <c r="A24" s="119" t="s">
        <v>483</v>
      </c>
      <c r="B24" s="108">
        <f>1/3*1/12</f>
        <v>2.7777777777777776E-2</v>
      </c>
      <c r="C24" s="106">
        <f>C$19*$B$24</f>
        <v>0</v>
      </c>
      <c r="D24" s="106">
        <f>D$19*$B$24</f>
        <v>0</v>
      </c>
      <c r="E24" s="106">
        <f>E$19*$B$24</f>
        <v>0</v>
      </c>
      <c r="F24" s="107">
        <f>F$19*$B$24</f>
        <v>0</v>
      </c>
    </row>
    <row r="25" spans="1:6" ht="14.25" customHeight="1" x14ac:dyDescent="0.2">
      <c r="A25" s="111" t="s">
        <v>479</v>
      </c>
      <c r="B25" s="120">
        <f>SUM(B23:B24)</f>
        <v>0.1111111111111111</v>
      </c>
      <c r="C25" s="121">
        <f>SUM(C23:C24)</f>
        <v>0</v>
      </c>
      <c r="D25" s="121">
        <f>SUM(D23:D24)</f>
        <v>0</v>
      </c>
      <c r="E25" s="121">
        <f>SUM(E23:E24)</f>
        <v>0</v>
      </c>
      <c r="F25" s="122">
        <f>SUM(F23:F24)</f>
        <v>0</v>
      </c>
    </row>
    <row r="26" spans="1:6" x14ac:dyDescent="0.2">
      <c r="A26" s="116" t="s">
        <v>484</v>
      </c>
      <c r="B26" s="117" t="s">
        <v>471</v>
      </c>
      <c r="C26" s="117" t="s">
        <v>472</v>
      </c>
      <c r="D26" s="117" t="s">
        <v>472</v>
      </c>
      <c r="E26" s="117" t="s">
        <v>472</v>
      </c>
      <c r="F26" s="118" t="s">
        <v>472</v>
      </c>
    </row>
    <row r="27" spans="1:6" ht="15.75" customHeight="1" x14ac:dyDescent="0.2">
      <c r="A27" s="116" t="s">
        <v>485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486</v>
      </c>
      <c r="B28" s="108">
        <v>0.2</v>
      </c>
      <c r="C28" s="125">
        <f t="shared" ref="C28:C35" si="0">ROUND(($C$19+$C$25)*B28,2)</f>
        <v>0</v>
      </c>
      <c r="D28" s="125">
        <f t="shared" ref="D28:D35" si="1">ROUND(($D$19+$D$25)*B28,2)</f>
        <v>0</v>
      </c>
      <c r="E28" s="125">
        <f t="shared" ref="E28:E35" si="2">ROUND(($E$19+$E$25)*B28,2)</f>
        <v>0</v>
      </c>
      <c r="F28" s="126">
        <f t="shared" ref="F28:F35" si="3">ROUND(($F$19+$F$25)*B28,2)</f>
        <v>0</v>
      </c>
    </row>
    <row r="29" spans="1:6" ht="15.75" customHeight="1" x14ac:dyDescent="0.2">
      <c r="A29" s="119" t="s">
        <v>487</v>
      </c>
      <c r="B29" s="108">
        <v>2.5000000000000001E-2</v>
      </c>
      <c r="C29" s="125">
        <f t="shared" si="0"/>
        <v>0</v>
      </c>
      <c r="D29" s="125">
        <f t="shared" si="1"/>
        <v>0</v>
      </c>
      <c r="E29" s="125">
        <f t="shared" si="2"/>
        <v>0</v>
      </c>
      <c r="F29" s="126">
        <f t="shared" si="3"/>
        <v>0</v>
      </c>
    </row>
    <row r="30" spans="1:6" ht="15.75" customHeight="1" x14ac:dyDescent="0.2">
      <c r="A30" s="119" t="s">
        <v>488</v>
      </c>
      <c r="B30" s="108">
        <v>0.03</v>
      </c>
      <c r="C30" s="125">
        <f t="shared" si="0"/>
        <v>0</v>
      </c>
      <c r="D30" s="125">
        <f t="shared" si="1"/>
        <v>0</v>
      </c>
      <c r="E30" s="125">
        <f t="shared" si="2"/>
        <v>0</v>
      </c>
      <c r="F30" s="126">
        <f t="shared" si="3"/>
        <v>0</v>
      </c>
    </row>
    <row r="31" spans="1:6" ht="15.75" customHeight="1" x14ac:dyDescent="0.2">
      <c r="A31" s="119" t="s">
        <v>489</v>
      </c>
      <c r="B31" s="108">
        <v>1.4999999999999999E-2</v>
      </c>
      <c r="C31" s="125">
        <f t="shared" si="0"/>
        <v>0</v>
      </c>
      <c r="D31" s="125">
        <f t="shared" si="1"/>
        <v>0</v>
      </c>
      <c r="E31" s="125">
        <f t="shared" si="2"/>
        <v>0</v>
      </c>
      <c r="F31" s="126">
        <f t="shared" si="3"/>
        <v>0</v>
      </c>
    </row>
    <row r="32" spans="1:6" ht="15.75" customHeight="1" x14ac:dyDescent="0.2">
      <c r="A32" s="119" t="s">
        <v>490</v>
      </c>
      <c r="B32" s="108">
        <v>0.01</v>
      </c>
      <c r="C32" s="125">
        <f t="shared" si="0"/>
        <v>0</v>
      </c>
      <c r="D32" s="125">
        <f t="shared" si="1"/>
        <v>0</v>
      </c>
      <c r="E32" s="125">
        <f t="shared" si="2"/>
        <v>0</v>
      </c>
      <c r="F32" s="126">
        <f t="shared" si="3"/>
        <v>0</v>
      </c>
    </row>
    <row r="33" spans="1:6" ht="15.75" customHeight="1" x14ac:dyDescent="0.2">
      <c r="A33" s="119" t="s">
        <v>491</v>
      </c>
      <c r="B33" s="108">
        <v>6.0000000000000001E-3</v>
      </c>
      <c r="C33" s="125">
        <f t="shared" si="0"/>
        <v>0</v>
      </c>
      <c r="D33" s="125">
        <f t="shared" si="1"/>
        <v>0</v>
      </c>
      <c r="E33" s="125">
        <f t="shared" si="2"/>
        <v>0</v>
      </c>
      <c r="F33" s="126">
        <f t="shared" si="3"/>
        <v>0</v>
      </c>
    </row>
    <row r="34" spans="1:6" ht="15.75" customHeight="1" x14ac:dyDescent="0.2">
      <c r="A34" s="119" t="s">
        <v>492</v>
      </c>
      <c r="B34" s="108">
        <v>2E-3</v>
      </c>
      <c r="C34" s="125">
        <f t="shared" si="0"/>
        <v>0</v>
      </c>
      <c r="D34" s="125">
        <f t="shared" si="1"/>
        <v>0</v>
      </c>
      <c r="E34" s="125">
        <f t="shared" si="2"/>
        <v>0</v>
      </c>
      <c r="F34" s="126">
        <f t="shared" si="3"/>
        <v>0</v>
      </c>
    </row>
    <row r="35" spans="1:6" ht="15.75" customHeight="1" x14ac:dyDescent="0.2">
      <c r="A35" s="119" t="s">
        <v>493</v>
      </c>
      <c r="B35" s="108">
        <v>0.08</v>
      </c>
      <c r="C35" s="125">
        <f t="shared" si="0"/>
        <v>0</v>
      </c>
      <c r="D35" s="125">
        <f t="shared" si="1"/>
        <v>0</v>
      </c>
      <c r="E35" s="125">
        <f t="shared" si="2"/>
        <v>0</v>
      </c>
      <c r="F35" s="126">
        <f t="shared" si="3"/>
        <v>0</v>
      </c>
    </row>
    <row r="36" spans="1:6" ht="15.75" customHeight="1" x14ac:dyDescent="0.2">
      <c r="A36" s="111" t="s">
        <v>479</v>
      </c>
      <c r="B36" s="120">
        <f>SUM(B28:B35)</f>
        <v>0.36800000000000005</v>
      </c>
      <c r="C36" s="121">
        <f>SUM(C27:C35)</f>
        <v>0</v>
      </c>
      <c r="D36" s="121">
        <f>SUM(D27:D35)</f>
        <v>0</v>
      </c>
      <c r="E36" s="191">
        <f>SUM(E28:E35)</f>
        <v>0</v>
      </c>
      <c r="F36" s="122">
        <f>SUM(F27:F35)</f>
        <v>0</v>
      </c>
    </row>
    <row r="37" spans="1:6" ht="15.75" customHeight="1" x14ac:dyDescent="0.2">
      <c r="A37" s="116" t="s">
        <v>494</v>
      </c>
      <c r="B37" s="117" t="s">
        <v>495</v>
      </c>
      <c r="C37" s="117" t="s">
        <v>472</v>
      </c>
      <c r="D37" s="117" t="s">
        <v>472</v>
      </c>
      <c r="E37" s="117" t="s">
        <v>472</v>
      </c>
      <c r="F37" s="118" t="s">
        <v>472</v>
      </c>
    </row>
    <row r="38" spans="1:6" ht="15.75" customHeight="1" x14ac:dyDescent="0.2">
      <c r="A38" s="119" t="s">
        <v>496</v>
      </c>
      <c r="B38" s="127">
        <f>MC!D92</f>
        <v>0</v>
      </c>
      <c r="C38" s="106">
        <f>ROUND(((2*22*$B$38)-0.06*C$13),2)</f>
        <v>0</v>
      </c>
      <c r="D38" s="106">
        <f>ROUND(((2*22*$B$38)-0.06*D$13),2)</f>
        <v>0</v>
      </c>
      <c r="E38" s="106">
        <f>ROUND(((2*22*$B$38)-0.06*E$13),2)</f>
        <v>0</v>
      </c>
      <c r="F38" s="106">
        <f>ROUND(((2*22*$B$38)-0.06*F$13),2)</f>
        <v>0</v>
      </c>
    </row>
    <row r="39" spans="1:6" ht="15.75" customHeight="1" x14ac:dyDescent="0.2">
      <c r="A39" s="478" t="s">
        <v>497</v>
      </c>
      <c r="B39" s="128"/>
      <c r="C39" s="125">
        <f>MC!E21</f>
        <v>0</v>
      </c>
      <c r="D39" s="125">
        <f>MC!E22</f>
        <v>0</v>
      </c>
      <c r="E39" s="125">
        <f>MC!E21</f>
        <v>0</v>
      </c>
      <c r="F39" s="125">
        <f>MC!E21</f>
        <v>0</v>
      </c>
    </row>
    <row r="40" spans="1:6" ht="15.75" customHeight="1" x14ac:dyDescent="0.2">
      <c r="A40" s="119" t="s">
        <v>498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499</v>
      </c>
      <c r="B41" s="129">
        <f>MC!E25</f>
        <v>0</v>
      </c>
      <c r="C41" s="125">
        <f>B41</f>
        <v>0</v>
      </c>
      <c r="D41" s="125">
        <f>B41</f>
        <v>0</v>
      </c>
      <c r="E41" s="194">
        <f>B41</f>
        <v>0</v>
      </c>
      <c r="F41" s="126">
        <f>B41</f>
        <v>0</v>
      </c>
    </row>
    <row r="42" spans="1:6" ht="15.7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 t="shared" ref="D42:F42" si="4">$B$42*D19</f>
        <v>0</v>
      </c>
      <c r="E42" s="125">
        <f t="shared" si="4"/>
        <v>0</v>
      </c>
      <c r="F42" s="125">
        <f t="shared" si="4"/>
        <v>0</v>
      </c>
    </row>
    <row r="43" spans="1:6" ht="15.75" customHeight="1" x14ac:dyDescent="0.2">
      <c r="A43" s="119" t="s">
        <v>501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479</v>
      </c>
      <c r="B44" s="112"/>
      <c r="C44" s="121">
        <f>SUM(C38:C43)</f>
        <v>0</v>
      </c>
      <c r="D44" s="121">
        <f>SUM(D38:D43)</f>
        <v>0</v>
      </c>
      <c r="E44" s="191">
        <f>SUM(E38:E43)</f>
        <v>0</v>
      </c>
      <c r="F44" s="122">
        <f>SUM(F38:F43)</f>
        <v>0</v>
      </c>
    </row>
    <row r="45" spans="1:6" x14ac:dyDescent="0.2">
      <c r="A45" s="101" t="s">
        <v>502</v>
      </c>
      <c r="B45" s="102" t="s">
        <v>471</v>
      </c>
      <c r="C45" s="102" t="s">
        <v>472</v>
      </c>
      <c r="D45" s="102" t="s">
        <v>472</v>
      </c>
      <c r="E45" s="102" t="s">
        <v>472</v>
      </c>
      <c r="F45" s="103" t="s">
        <v>472</v>
      </c>
    </row>
    <row r="46" spans="1:6" ht="15.75" customHeight="1" x14ac:dyDescent="0.2">
      <c r="A46" s="119" t="s">
        <v>481</v>
      </c>
      <c r="B46" s="130">
        <f>B25</f>
        <v>0.1111111111111111</v>
      </c>
      <c r="C46" s="131">
        <f>C25</f>
        <v>0</v>
      </c>
      <c r="D46" s="131">
        <f>D25</f>
        <v>0</v>
      </c>
      <c r="E46" s="131">
        <f>E25</f>
        <v>0</v>
      </c>
      <c r="F46" s="132">
        <f>F25</f>
        <v>0</v>
      </c>
    </row>
    <row r="47" spans="1:6" ht="15.75" customHeight="1" x14ac:dyDescent="0.2">
      <c r="A47" s="119" t="s">
        <v>503</v>
      </c>
      <c r="B47" s="130">
        <f>B36</f>
        <v>0.36800000000000005</v>
      </c>
      <c r="C47" s="131">
        <f>C36</f>
        <v>0</v>
      </c>
      <c r="D47" s="131">
        <f>D36</f>
        <v>0</v>
      </c>
      <c r="E47" s="131">
        <f>E36</f>
        <v>0</v>
      </c>
      <c r="F47" s="132">
        <f>F36</f>
        <v>0</v>
      </c>
    </row>
    <row r="48" spans="1:6" ht="15.75" customHeight="1" x14ac:dyDescent="0.2">
      <c r="A48" s="119" t="s">
        <v>494</v>
      </c>
      <c r="B48" s="130"/>
      <c r="C48" s="131">
        <f>C44</f>
        <v>0</v>
      </c>
      <c r="D48" s="131">
        <f>D44</f>
        <v>0</v>
      </c>
      <c r="E48" s="131">
        <f>E44</f>
        <v>0</v>
      </c>
      <c r="F48" s="132">
        <f>F44</f>
        <v>0</v>
      </c>
    </row>
    <row r="49" spans="1:6" ht="15.75" customHeight="1" x14ac:dyDescent="0.2">
      <c r="A49" s="111" t="s">
        <v>479</v>
      </c>
      <c r="B49" s="112"/>
      <c r="C49" s="121">
        <f>SUM(C46:C48)</f>
        <v>0</v>
      </c>
      <c r="D49" s="121">
        <f>SUM(D46:D48)</f>
        <v>0</v>
      </c>
      <c r="E49" s="191">
        <f>SUM(E46:E48)</f>
        <v>0</v>
      </c>
      <c r="F49" s="122">
        <f>SUM(F46:F48)</f>
        <v>0</v>
      </c>
    </row>
    <row r="50" spans="1:6" ht="14.25" customHeight="1" x14ac:dyDescent="0.2">
      <c r="A50" s="1045"/>
      <c r="B50" s="1045"/>
      <c r="C50" s="114"/>
      <c r="D50" s="115"/>
      <c r="E50" s="115"/>
      <c r="F50" s="115"/>
    </row>
    <row r="51" spans="1:6" s="133" customFormat="1" ht="12.75" customHeight="1" x14ac:dyDescent="0.2">
      <c r="A51" s="1046" t="s">
        <v>504</v>
      </c>
      <c r="B51" s="1046"/>
      <c r="C51" s="1046"/>
      <c r="D51" s="1046"/>
      <c r="E51" s="1046"/>
      <c r="F51" s="1046"/>
    </row>
    <row r="52" spans="1:6" ht="15.75" customHeight="1" x14ac:dyDescent="0.2">
      <c r="A52" s="101" t="s">
        <v>505</v>
      </c>
      <c r="B52" s="102" t="s">
        <v>471</v>
      </c>
      <c r="C52" s="102" t="s">
        <v>472</v>
      </c>
      <c r="D52" s="102" t="s">
        <v>472</v>
      </c>
      <c r="E52" s="102" t="s">
        <v>472</v>
      </c>
      <c r="F52" s="103" t="s">
        <v>472</v>
      </c>
    </row>
    <row r="53" spans="1:6" ht="15.75" customHeight="1" x14ac:dyDescent="0.2">
      <c r="A53" s="116" t="s">
        <v>506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507</v>
      </c>
      <c r="B54" s="130">
        <f>1/12*0.05</f>
        <v>4.1666666666666666E-3</v>
      </c>
      <c r="C54" s="136">
        <f>C19*$B54</f>
        <v>0</v>
      </c>
      <c r="D54" s="136">
        <f t="shared" ref="D54:F54" si="5">D19*$B54</f>
        <v>0</v>
      </c>
      <c r="E54" s="136">
        <f t="shared" si="5"/>
        <v>0</v>
      </c>
      <c r="F54" s="136">
        <f t="shared" si="5"/>
        <v>0</v>
      </c>
    </row>
    <row r="55" spans="1:6" x14ac:dyDescent="0.2">
      <c r="A55" s="119" t="s">
        <v>508</v>
      </c>
      <c r="B55" s="130">
        <f>B35*B54</f>
        <v>3.3333333333333332E-4</v>
      </c>
      <c r="C55" s="136">
        <f>$B$55*C19</f>
        <v>0</v>
      </c>
      <c r="D55" s="136">
        <f t="shared" ref="D55:F55" si="6">$B$55*D19</f>
        <v>0</v>
      </c>
      <c r="E55" s="136">
        <f t="shared" si="6"/>
        <v>0</v>
      </c>
      <c r="F55" s="136">
        <f t="shared" si="6"/>
        <v>0</v>
      </c>
    </row>
    <row r="56" spans="1:6" x14ac:dyDescent="0.2">
      <c r="A56" s="119" t="s">
        <v>509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510</v>
      </c>
      <c r="B57" s="130">
        <f>1/12*1/30*7</f>
        <v>1.9444444444444441E-2</v>
      </c>
      <c r="C57" s="131">
        <f>C19*$B57</f>
        <v>0</v>
      </c>
      <c r="D57" s="131">
        <f t="shared" ref="D57:F57" si="8">D19*$B57</f>
        <v>0</v>
      </c>
      <c r="E57" s="131">
        <f t="shared" si="8"/>
        <v>0</v>
      </c>
      <c r="F57" s="131">
        <f t="shared" si="8"/>
        <v>0</v>
      </c>
    </row>
    <row r="58" spans="1:6" x14ac:dyDescent="0.2">
      <c r="A58" s="119" t="s">
        <v>511</v>
      </c>
      <c r="B58" s="130">
        <f>B36*B57</f>
        <v>7.1555555555555556E-3</v>
      </c>
      <c r="C58" s="131">
        <f>$B58*C19</f>
        <v>0</v>
      </c>
      <c r="D58" s="131">
        <f t="shared" ref="D58:F58" si="9">$B58*D19</f>
        <v>0</v>
      </c>
      <c r="E58" s="131">
        <f t="shared" si="9"/>
        <v>0</v>
      </c>
      <c r="F58" s="131">
        <f t="shared" si="9"/>
        <v>0</v>
      </c>
    </row>
    <row r="59" spans="1:6" x14ac:dyDescent="0.2">
      <c r="A59" s="119" t="s">
        <v>512</v>
      </c>
      <c r="B59" s="130">
        <f>B35*40/100*90/100*(1+1/12+1/12+1/3*1/12)</f>
        <v>3.4399999999999993E-2</v>
      </c>
      <c r="C59" s="131">
        <f>C19*$B59</f>
        <v>0</v>
      </c>
      <c r="D59" s="131">
        <f t="shared" ref="D59:F59" si="10">D19*$B59</f>
        <v>0</v>
      </c>
      <c r="E59" s="131">
        <f t="shared" si="10"/>
        <v>0</v>
      </c>
      <c r="F59" s="131">
        <f t="shared" si="10"/>
        <v>0</v>
      </c>
    </row>
    <row r="60" spans="1:6" ht="14.25" customHeight="1" x14ac:dyDescent="0.2">
      <c r="A60" s="111" t="s">
        <v>479</v>
      </c>
      <c r="B60" s="120">
        <f>SUM(B54:B59)</f>
        <v>6.5499999999999989E-2</v>
      </c>
      <c r="C60" s="137">
        <f>SUM(C54:C59)</f>
        <v>0</v>
      </c>
      <c r="D60" s="137">
        <f>SUM(D54:D59)</f>
        <v>0</v>
      </c>
      <c r="E60" s="196">
        <f>SUM(E54:E59)</f>
        <v>0</v>
      </c>
      <c r="F60" s="138">
        <f>SUM(F54:F59)</f>
        <v>0</v>
      </c>
    </row>
    <row r="61" spans="1:6" ht="14.25" customHeight="1" x14ac:dyDescent="0.2">
      <c r="A61" s="1045"/>
      <c r="B61" s="1045"/>
      <c r="C61" s="322"/>
      <c r="D61" s="322"/>
      <c r="E61" s="323"/>
      <c r="F61" s="324"/>
    </row>
    <row r="62" spans="1:6" ht="15.75" customHeight="1" x14ac:dyDescent="0.2">
      <c r="A62" s="1046" t="s">
        <v>513</v>
      </c>
      <c r="B62" s="1046"/>
      <c r="C62" s="1046"/>
      <c r="D62" s="1046"/>
      <c r="E62" s="1046"/>
      <c r="F62" s="1046"/>
    </row>
    <row r="63" spans="1:6" ht="14.25" customHeight="1" x14ac:dyDescent="0.2">
      <c r="A63" s="116" t="s">
        <v>48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49</v>
      </c>
      <c r="B64" s="108">
        <f>1/12</f>
        <v>8.3333333333333329E-2</v>
      </c>
      <c r="C64" s="125">
        <f>B64*($C$19+$C$49+$C$60)</f>
        <v>0</v>
      </c>
      <c r="D64" s="125">
        <f>B64*($D$19+$D$49+$D$60)</f>
        <v>0</v>
      </c>
      <c r="E64" s="194">
        <f>B64*($E$19+$E$49+$E$60)</f>
        <v>0</v>
      </c>
      <c r="F64" s="126">
        <f>B64*($F$19+$F$49+$F$60)</f>
        <v>0</v>
      </c>
    </row>
    <row r="65" spans="1:6" x14ac:dyDescent="0.2">
      <c r="A65" s="119" t="s">
        <v>514</v>
      </c>
      <c r="B65" s="108">
        <f>MC!E56/30/12</f>
        <v>1.3538888888888885E-2</v>
      </c>
      <c r="C65" s="125">
        <f>B65*($C$19+$C$49+$C$60)</f>
        <v>0</v>
      </c>
      <c r="D65" s="125">
        <f>B65*($D$19+$D$49+$D$60)</f>
        <v>0</v>
      </c>
      <c r="E65" s="194">
        <f>B65*($E$19+$E$49+$E$60)</f>
        <v>0</v>
      </c>
      <c r="F65" s="126">
        <f>B65*($F$19+$F$49+$F$60)</f>
        <v>0</v>
      </c>
    </row>
    <row r="66" spans="1:6" x14ac:dyDescent="0.2">
      <c r="A66" s="119" t="s">
        <v>515</v>
      </c>
      <c r="B66" s="139">
        <f>(5/30)/12*MC!F58*MC!C59</f>
        <v>1.0764583333333333E-4</v>
      </c>
      <c r="C66" s="125">
        <f>B66*($C$19+$C$49+$C$60)</f>
        <v>0</v>
      </c>
      <c r="D66" s="125">
        <f>B66*($D$19+$D$49+$D$60)</f>
        <v>0</v>
      </c>
      <c r="E66" s="194">
        <f>B66*($E$19+$E$49+$E$60)</f>
        <v>0</v>
      </c>
      <c r="F66" s="126">
        <f>B66*($F$19+$F$49+$F$60)</f>
        <v>0</v>
      </c>
    </row>
    <row r="67" spans="1:6" ht="14.25" customHeight="1" x14ac:dyDescent="0.2">
      <c r="A67" s="119" t="s">
        <v>516</v>
      </c>
      <c r="B67" s="139">
        <f>MC!C61/30/12</f>
        <v>2.6830555555555553E-3</v>
      </c>
      <c r="C67" s="125">
        <f>B67*($C$19+$C$49+$C$60)</f>
        <v>0</v>
      </c>
      <c r="D67" s="125">
        <f>B67*($D$19+$D$49+$D$60)</f>
        <v>0</v>
      </c>
      <c r="E67" s="194">
        <f>B67*($E$19+$E$49+$E$60)</f>
        <v>0</v>
      </c>
      <c r="F67" s="126">
        <f>B67*($F$19+$F$49+$F$60)</f>
        <v>0</v>
      </c>
    </row>
    <row r="68" spans="1:6" ht="14.25" customHeight="1" x14ac:dyDescent="0.2">
      <c r="A68" s="119" t="s">
        <v>517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518</v>
      </c>
      <c r="B69" s="141">
        <f>SUM(B64:B68)</f>
        <v>9.9662923611111107E-2</v>
      </c>
      <c r="C69" s="142">
        <f>SUM(C64:C68)</f>
        <v>0</v>
      </c>
      <c r="D69" s="142">
        <f>SUM(D64:D68)</f>
        <v>0</v>
      </c>
      <c r="E69" s="198">
        <f>SUM(E64:E68)</f>
        <v>0</v>
      </c>
      <c r="F69" s="143">
        <f>SUM(F64:F68)</f>
        <v>0</v>
      </c>
    </row>
    <row r="70" spans="1:6" ht="14.25" customHeight="1" x14ac:dyDescent="0.2">
      <c r="A70" s="116" t="s">
        <v>519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520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518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70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71</v>
      </c>
      <c r="B74" s="108">
        <f>120/30*MC!C64*MC!C65</f>
        <v>6.18624E-3</v>
      </c>
      <c r="C74" s="125">
        <f>(((C19*2)+ (C19*1/3))+(C36)+(C44-C38-C39))*$B$74</f>
        <v>0</v>
      </c>
      <c r="D74" s="125">
        <f>(((D19*2)+ (D19*1/3))+(D36)+(D44-D38-D39))*$B$74</f>
        <v>0</v>
      </c>
      <c r="E74" s="125">
        <f>(((E19*2)+ (E19*1/3))+(E36)+(E44-E38-E39))*$B$74</f>
        <v>0</v>
      </c>
      <c r="F74" s="126">
        <f>(((F19*2)+ (F19*1/3))+(F36)+(F44-F38-F39))*$B$74</f>
        <v>0</v>
      </c>
    </row>
    <row r="75" spans="1:6" ht="15.75" customHeight="1" x14ac:dyDescent="0.2">
      <c r="A75" s="140" t="s">
        <v>479</v>
      </c>
      <c r="B75" s="141"/>
      <c r="C75" s="142"/>
      <c r="D75" s="142"/>
      <c r="E75" s="198"/>
      <c r="F75" s="143"/>
    </row>
    <row r="76" spans="1:6" x14ac:dyDescent="0.2">
      <c r="A76" s="101" t="s">
        <v>521</v>
      </c>
      <c r="B76" s="102"/>
      <c r="C76" s="102"/>
      <c r="D76" s="102"/>
      <c r="E76" s="189"/>
      <c r="F76" s="103"/>
    </row>
    <row r="77" spans="1:6" x14ac:dyDescent="0.2">
      <c r="A77" s="119" t="s">
        <v>48</v>
      </c>
      <c r="B77" s="130">
        <f>B69</f>
        <v>9.9662923611111107E-2</v>
      </c>
      <c r="C77" s="131">
        <f>C69</f>
        <v>0</v>
      </c>
      <c r="D77" s="131">
        <f>D69</f>
        <v>0</v>
      </c>
      <c r="E77" s="131">
        <f>E69</f>
        <v>0</v>
      </c>
      <c r="F77" s="132">
        <f>F69</f>
        <v>0</v>
      </c>
    </row>
    <row r="78" spans="1:6" ht="15.75" customHeight="1" x14ac:dyDescent="0.2">
      <c r="A78" s="119" t="s">
        <v>519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70</v>
      </c>
      <c r="B79" s="130">
        <f>B74</f>
        <v>6.18624E-3</v>
      </c>
      <c r="C79" s="131">
        <f>C74</f>
        <v>0</v>
      </c>
      <c r="D79" s="131">
        <f>D74</f>
        <v>0</v>
      </c>
      <c r="E79" s="131">
        <f>E74</f>
        <v>0</v>
      </c>
      <c r="F79" s="132">
        <f>F74</f>
        <v>0</v>
      </c>
    </row>
    <row r="80" spans="1:6" ht="15.75" customHeight="1" x14ac:dyDescent="0.2">
      <c r="A80" s="111" t="s">
        <v>479</v>
      </c>
      <c r="B80" s="112"/>
      <c r="C80" s="121">
        <f>SUM(C77:C79)</f>
        <v>0</v>
      </c>
      <c r="D80" s="121">
        <f>SUM(D77:D79)</f>
        <v>0</v>
      </c>
      <c r="E80" s="191">
        <f>SUM(E77:E79)</f>
        <v>0</v>
      </c>
      <c r="F80" s="122">
        <f>SUM(F77:F79)</f>
        <v>0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522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523</v>
      </c>
      <c r="B83" s="102" t="s">
        <v>495</v>
      </c>
      <c r="C83" s="102" t="s">
        <v>472</v>
      </c>
      <c r="D83" s="102" t="s">
        <v>472</v>
      </c>
      <c r="E83" s="102" t="s">
        <v>472</v>
      </c>
      <c r="F83" s="103" t="s">
        <v>472</v>
      </c>
    </row>
    <row r="84" spans="1:6" ht="15.75" customHeight="1" x14ac:dyDescent="0.2">
      <c r="A84" s="119" t="s">
        <v>524</v>
      </c>
      <c r="B84" s="145">
        <f>Insumos!G117</f>
        <v>0</v>
      </c>
      <c r="C84" s="106">
        <f>B84</f>
        <v>0</v>
      </c>
      <c r="D84" s="106">
        <f>B84</f>
        <v>0</v>
      </c>
      <c r="E84" s="190">
        <f>Insumos!G117</f>
        <v>0</v>
      </c>
      <c r="F84" s="107">
        <f>Insumos!G118</f>
        <v>0</v>
      </c>
    </row>
    <row r="85" spans="1:6" x14ac:dyDescent="0.2">
      <c r="A85" s="144" t="s">
        <v>525</v>
      </c>
      <c r="B85" s="145">
        <f>Insumos!G59</f>
        <v>0</v>
      </c>
      <c r="C85" s="106">
        <f>B85</f>
        <v>0</v>
      </c>
      <c r="D85" s="106">
        <f>B85</f>
        <v>0</v>
      </c>
      <c r="E85" s="190"/>
      <c r="F85" s="107"/>
    </row>
    <row r="86" spans="1:6" x14ac:dyDescent="0.2">
      <c r="A86" s="144" t="s">
        <v>526</v>
      </c>
      <c r="B86" s="146">
        <f>Insumos!I99</f>
        <v>0</v>
      </c>
      <c r="C86" s="106">
        <f>B86</f>
        <v>0</v>
      </c>
      <c r="D86" s="106">
        <f>B86</f>
        <v>0</v>
      </c>
      <c r="E86" s="190"/>
      <c r="F86" s="107"/>
    </row>
    <row r="87" spans="1:6" ht="15.75" customHeight="1" x14ac:dyDescent="0.2">
      <c r="A87" s="144" t="s">
        <v>527</v>
      </c>
      <c r="B87" s="145"/>
      <c r="C87" s="106">
        <f>Insumos!I129</f>
        <v>0</v>
      </c>
      <c r="D87" s="106">
        <f>Insumos!H129</f>
        <v>0</v>
      </c>
      <c r="E87" s="190"/>
      <c r="F87" s="107"/>
    </row>
    <row r="88" spans="1:6" ht="15.75" customHeight="1" x14ac:dyDescent="0.2">
      <c r="A88" s="144" t="s">
        <v>528</v>
      </c>
      <c r="B88" s="108">
        <v>0.12</v>
      </c>
      <c r="C88" s="106"/>
      <c r="D88" s="106"/>
      <c r="E88" s="190">
        <f>B88*(E123+E124+E84)</f>
        <v>0</v>
      </c>
      <c r="F88" s="107"/>
    </row>
    <row r="89" spans="1:6" ht="15.75" customHeight="1" x14ac:dyDescent="0.2">
      <c r="A89" s="144" t="s">
        <v>529</v>
      </c>
      <c r="B89" s="145">
        <f>Insumos!H145</f>
        <v>0</v>
      </c>
      <c r="C89" s="106"/>
      <c r="D89" s="106"/>
      <c r="E89" s="190"/>
      <c r="F89" s="107">
        <f>B89</f>
        <v>0</v>
      </c>
    </row>
    <row r="90" spans="1:6" ht="15.75" customHeight="1" x14ac:dyDescent="0.2">
      <c r="A90" s="144" t="s">
        <v>530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479</v>
      </c>
      <c r="B91" s="147"/>
      <c r="C91" s="142">
        <f>SUM(C84:C90)</f>
        <v>0</v>
      </c>
      <c r="D91" s="142">
        <f t="shared" ref="D91:F91" si="11">SUM(D84:D90)</f>
        <v>0</v>
      </c>
      <c r="E91" s="142">
        <f t="shared" si="11"/>
        <v>0</v>
      </c>
      <c r="F91" s="142">
        <f t="shared" si="11"/>
        <v>0</v>
      </c>
    </row>
    <row r="92" spans="1:6" ht="15.75" customHeight="1" x14ac:dyDescent="0.2">
      <c r="A92" s="1045"/>
      <c r="B92" s="1045"/>
      <c r="C92" s="148"/>
      <c r="D92" s="148"/>
      <c r="E92" s="202"/>
      <c r="F92" s="149"/>
    </row>
    <row r="93" spans="1:6" ht="15.75" customHeight="1" x14ac:dyDescent="0.2">
      <c r="A93" s="199" t="s">
        <v>531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532</v>
      </c>
      <c r="B94" s="102" t="s">
        <v>471</v>
      </c>
      <c r="C94" s="102" t="s">
        <v>472</v>
      </c>
      <c r="D94" s="102" t="s">
        <v>472</v>
      </c>
      <c r="E94" s="102" t="s">
        <v>472</v>
      </c>
      <c r="F94" s="103"/>
    </row>
    <row r="95" spans="1:6" ht="15.75" customHeight="1" x14ac:dyDescent="0.2">
      <c r="A95" s="104" t="s">
        <v>76</v>
      </c>
      <c r="B95" s="108">
        <f>MC!C68</f>
        <v>0</v>
      </c>
      <c r="C95" s="125">
        <f>($C$19+$C$49+$C$60+$C$80+$C$91)*$B$95</f>
        <v>0</v>
      </c>
      <c r="D95" s="125">
        <f>($D$19+$D$49+$D$60+$D$80+$D$91)*$B$95</f>
        <v>0</v>
      </c>
      <c r="E95" s="194">
        <f>($E$19+$E$49+$E$60+$E$80+$E$91)*$B$95</f>
        <v>0</v>
      </c>
      <c r="F95" s="126">
        <f>($F$19+$F$49+$F$60+$F$80+$F$91)*$B$95</f>
        <v>0</v>
      </c>
    </row>
    <row r="96" spans="1:6" x14ac:dyDescent="0.2">
      <c r="A96" s="104" t="s">
        <v>77</v>
      </c>
      <c r="B96" s="108">
        <f>MC!C69</f>
        <v>0</v>
      </c>
      <c r="C96" s="125">
        <f>($C$19+$C$49+$C$60+$C$80+$C$91+C95)*B96</f>
        <v>0</v>
      </c>
      <c r="D96" s="125">
        <f>($D$19+$D$49+$D$60+$D$80+$D$91+$D$95)*$B$96</f>
        <v>0</v>
      </c>
      <c r="E96" s="125">
        <f>($E$19+$E$49+$E$60+$E$80+$E$91+$E$95)*$B$96</f>
        <v>0</v>
      </c>
      <c r="F96" s="126">
        <f>($F$19+$F$49+$F$60+$F$80+$F$91+F95)*$B$96</f>
        <v>0</v>
      </c>
    </row>
    <row r="97" spans="1:7" x14ac:dyDescent="0.2">
      <c r="A97" s="203" t="s">
        <v>533</v>
      </c>
      <c r="B97" s="204">
        <f>B98+B99</f>
        <v>0.1125</v>
      </c>
      <c r="C97" s="205">
        <f>((C19+C49+C60+C80+C91+C95+C96)/(1-($B$97)))*$B$97</f>
        <v>0</v>
      </c>
      <c r="D97" s="205">
        <f>((D19+D49+D60+D80+D91+D95+D96)/(1-($B$97)))*$B$97</f>
        <v>0</v>
      </c>
      <c r="E97" s="205">
        <f>((E19+E49+E60+E80+E91+E95+E96)/(1-($B$97)))*$B$97</f>
        <v>0</v>
      </c>
      <c r="F97" s="205">
        <f>((F19+F49+F60+F80+F91+F95+F96)/(1-($B$97)))*$B$97</f>
        <v>0</v>
      </c>
    </row>
    <row r="98" spans="1:7" x14ac:dyDescent="0.2">
      <c r="A98" s="104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206">
        <f t="shared" ref="D98:F98" si="12">((D$19+D$49+D$60+D$80+D$91+D$95+D$96)/(1-($B$97)))*$B$98</f>
        <v>0</v>
      </c>
      <c r="E98" s="206">
        <f t="shared" si="12"/>
        <v>0</v>
      </c>
      <c r="F98" s="206">
        <f t="shared" si="12"/>
        <v>0</v>
      </c>
    </row>
    <row r="99" spans="1:7" x14ac:dyDescent="0.2">
      <c r="A99" s="104" t="s">
        <v>535</v>
      </c>
      <c r="B99" s="108">
        <v>0.02</v>
      </c>
      <c r="C99" s="207">
        <f>((C$19+C$49+C$60+C$80+C$91+C$95+C$96)/(1-($B$97)))*$B$99</f>
        <v>0</v>
      </c>
      <c r="D99" s="207">
        <f t="shared" ref="D99:F99" si="13">((D$19+D$49+D$60+D$80+D$91+D$95+D$96)/(1-($B$97)))*$B$99</f>
        <v>0</v>
      </c>
      <c r="E99" s="207">
        <f t="shared" si="13"/>
        <v>0</v>
      </c>
      <c r="F99" s="207">
        <f t="shared" si="13"/>
        <v>0</v>
      </c>
    </row>
    <row r="100" spans="1:7" x14ac:dyDescent="0.2">
      <c r="A100" s="203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205">
        <f t="shared" ref="D100:F100" si="14">((D19+D49+D60+D80+D91+D95+D96)/(1-($B$100)))*$B$100</f>
        <v>0</v>
      </c>
      <c r="E100" s="205">
        <f t="shared" si="14"/>
        <v>0</v>
      </c>
      <c r="F100" s="205">
        <f t="shared" si="14"/>
        <v>0</v>
      </c>
    </row>
    <row r="101" spans="1:7" x14ac:dyDescent="0.2">
      <c r="A101" s="104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206">
        <f t="shared" ref="D101:F101" si="15">((D19+D49+D60+D80+D91+D95+D96)/(1-($B$100)))*$B$101</f>
        <v>0</v>
      </c>
      <c r="E101" s="206">
        <f t="shared" si="15"/>
        <v>0</v>
      </c>
      <c r="F101" s="206">
        <f t="shared" si="15"/>
        <v>0</v>
      </c>
    </row>
    <row r="102" spans="1:7" x14ac:dyDescent="0.2">
      <c r="A102" s="104" t="s">
        <v>535</v>
      </c>
      <c r="B102" s="108">
        <v>2.5000000000000001E-2</v>
      </c>
      <c r="C102" s="207">
        <f>((C$19+C$49+C$60+C$80+C$91+C$95+C$96)/(1-($B$100)))*$B$102</f>
        <v>0</v>
      </c>
      <c r="D102" s="207">
        <f t="shared" ref="D102:F102" si="16">((D$19+D$49+D$60+D$80+D$91+D$95+D$96)/(1-($B$100)))*$B$102</f>
        <v>0</v>
      </c>
      <c r="E102" s="207">
        <f t="shared" si="16"/>
        <v>0</v>
      </c>
      <c r="F102" s="207">
        <f t="shared" si="16"/>
        <v>0</v>
      </c>
    </row>
    <row r="103" spans="1:7" x14ac:dyDescent="0.2">
      <c r="A103" s="203" t="s">
        <v>537</v>
      </c>
      <c r="B103" s="204">
        <f>B104+B105</f>
        <v>0.1225</v>
      </c>
      <c r="C103" s="205">
        <f>((C19+C49+C60+C80+C91+C95+C96)/(1-($B$103)))*$B$103</f>
        <v>0</v>
      </c>
      <c r="D103" s="205">
        <f t="shared" ref="D103:F103" si="17">((D19+D49+D60+D80+D91+D95+D96)/(1-($B$103)))*$B$103</f>
        <v>0</v>
      </c>
      <c r="E103" s="205">
        <f t="shared" si="17"/>
        <v>0</v>
      </c>
      <c r="F103" s="205">
        <f t="shared" si="17"/>
        <v>0</v>
      </c>
    </row>
    <row r="104" spans="1:7" x14ac:dyDescent="0.2">
      <c r="A104" s="104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206">
        <f t="shared" ref="D104:F104" si="18">((D19+D49+D60+D80+D91+D95+D96)/(1-($B$103)))*$B$104</f>
        <v>0</v>
      </c>
      <c r="E104" s="206">
        <f t="shared" si="18"/>
        <v>0</v>
      </c>
      <c r="F104" s="206">
        <f t="shared" si="18"/>
        <v>0</v>
      </c>
    </row>
    <row r="105" spans="1:7" x14ac:dyDescent="0.2">
      <c r="A105" s="104" t="s">
        <v>535</v>
      </c>
      <c r="B105" s="108">
        <v>0.03</v>
      </c>
      <c r="C105" s="207">
        <f>((C19+C49+C60+C80+C91+C95+C96)/(1-($B$103)))*$B$105</f>
        <v>0</v>
      </c>
      <c r="D105" s="207">
        <f t="shared" ref="D105:F105" si="19">((D19+D49+D60+D80+D91+D95+D96)/(1-($B$103)))*$B$105</f>
        <v>0</v>
      </c>
      <c r="E105" s="207">
        <f t="shared" si="19"/>
        <v>0</v>
      </c>
      <c r="F105" s="207">
        <f t="shared" si="19"/>
        <v>0</v>
      </c>
      <c r="G105" s="208"/>
    </row>
    <row r="106" spans="1:7" x14ac:dyDescent="0.2">
      <c r="A106" s="203" t="s">
        <v>538</v>
      </c>
      <c r="B106" s="204">
        <f>B107+B108</f>
        <v>0.13250000000000001</v>
      </c>
      <c r="C106" s="205">
        <f>((C19+C49+C60+C80+C91+C95+C96)/(1-($B$106)))*$B$106</f>
        <v>0</v>
      </c>
      <c r="D106" s="205">
        <f t="shared" ref="D106:F106" si="20">((D19+D49+D60+D80+D91+D95+D96)/(1-($B$106)))*$B$106</f>
        <v>0</v>
      </c>
      <c r="E106" s="205">
        <f t="shared" si="20"/>
        <v>0</v>
      </c>
      <c r="F106" s="205">
        <f t="shared" si="20"/>
        <v>0</v>
      </c>
    </row>
    <row r="107" spans="1:7" x14ac:dyDescent="0.2">
      <c r="A107" s="104" t="s">
        <v>534</v>
      </c>
      <c r="B107" s="108">
        <f>0.0165+0.076</f>
        <v>9.2499999999999999E-2</v>
      </c>
      <c r="C107" s="206">
        <f>((C19+C49+C60+C80+C91+C95+C96)/(1-($B$106)))*$B$107</f>
        <v>0</v>
      </c>
      <c r="D107" s="206">
        <f t="shared" ref="D107:F107" si="21">((D19+D49+D60+D80+D91+D95+D96)/(1-($B$106)))*$B$107</f>
        <v>0</v>
      </c>
      <c r="E107" s="206">
        <f t="shared" si="21"/>
        <v>0</v>
      </c>
      <c r="F107" s="206">
        <f t="shared" si="21"/>
        <v>0</v>
      </c>
    </row>
    <row r="108" spans="1:7" x14ac:dyDescent="0.2">
      <c r="A108" s="104" t="s">
        <v>535</v>
      </c>
      <c r="B108" s="108">
        <v>0.04</v>
      </c>
      <c r="C108" s="207">
        <f>((C19+C49+C60+C80+C91+C95+C96)/(1-($B$106)))*$B$108</f>
        <v>0</v>
      </c>
      <c r="D108" s="207">
        <f t="shared" ref="D108:F108" si="22">((D19+D49+D60+D80+D91+D95+D96)/(1-($B$106)))*$B$108</f>
        <v>0</v>
      </c>
      <c r="E108" s="207">
        <f t="shared" si="22"/>
        <v>0</v>
      </c>
      <c r="F108" s="207">
        <f t="shared" si="22"/>
        <v>0</v>
      </c>
    </row>
    <row r="109" spans="1:7" x14ac:dyDescent="0.2">
      <c r="A109" s="203" t="s">
        <v>539</v>
      </c>
      <c r="B109" s="204">
        <f>B110+B111</f>
        <v>0.14250000000000002</v>
      </c>
      <c r="C109" s="205">
        <f>((C19+C49+C60+C80+C91+C95+C96)/(1-($B$109)))*$B$109</f>
        <v>0</v>
      </c>
      <c r="D109" s="205">
        <f t="shared" ref="D109:F109" si="23">((D19+D49+D60+D80+D91+D95+D96)/(1-($B$109)))*$B$109</f>
        <v>0</v>
      </c>
      <c r="E109" s="205">
        <f t="shared" si="23"/>
        <v>0</v>
      </c>
      <c r="F109" s="205">
        <f t="shared" si="23"/>
        <v>0</v>
      </c>
    </row>
    <row r="110" spans="1:7" x14ac:dyDescent="0.2">
      <c r="A110" s="104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206">
        <f t="shared" ref="D110:F110" si="24">((D19+D49+D60+D80+D91+D95+D96)/(1-($B$109)))*$B$110</f>
        <v>0</v>
      </c>
      <c r="E110" s="206">
        <f t="shared" si="24"/>
        <v>0</v>
      </c>
      <c r="F110" s="206">
        <f t="shared" si="24"/>
        <v>0</v>
      </c>
    </row>
    <row r="111" spans="1:7" x14ac:dyDescent="0.2">
      <c r="A111" s="104" t="s">
        <v>535</v>
      </c>
      <c r="B111" s="209">
        <v>0.05</v>
      </c>
      <c r="C111" s="207">
        <f>((C19+C49+C60+C80+C91+C95+C96)/(1-($B$109)))*$B$111</f>
        <v>0</v>
      </c>
      <c r="D111" s="207">
        <f t="shared" ref="D111:F111" si="25">((D19+D49+D60+D80+D91+D95+D96)/(1-($B$109)))*$B$111</f>
        <v>0</v>
      </c>
      <c r="E111" s="207">
        <f t="shared" si="25"/>
        <v>0</v>
      </c>
      <c r="F111" s="207">
        <f t="shared" si="25"/>
        <v>0</v>
      </c>
    </row>
    <row r="112" spans="1:7" x14ac:dyDescent="0.2">
      <c r="A112" s="1047" t="s">
        <v>540</v>
      </c>
      <c r="B112" s="210">
        <v>0.02</v>
      </c>
      <c r="C112" s="211">
        <f>C95+C96+C97</f>
        <v>0</v>
      </c>
      <c r="D112" s="211">
        <f>D95+D96+D97</f>
        <v>0</v>
      </c>
      <c r="E112" s="211">
        <f>E95+E96+E97</f>
        <v>0</v>
      </c>
      <c r="F112" s="211">
        <f>F95+F96+F97</f>
        <v>0</v>
      </c>
    </row>
    <row r="113" spans="1:7" x14ac:dyDescent="0.2">
      <c r="A113" s="1047"/>
      <c r="B113" s="212">
        <v>2.5000000000000001E-2</v>
      </c>
      <c r="C113" s="213">
        <f>C95+C96+C100</f>
        <v>0</v>
      </c>
      <c r="D113" s="213">
        <f>D95+D96+D100</f>
        <v>0</v>
      </c>
      <c r="E113" s="213">
        <f>E95+E96+E100</f>
        <v>0</v>
      </c>
      <c r="F113" s="213">
        <f>F95+F96+F100</f>
        <v>0</v>
      </c>
    </row>
    <row r="114" spans="1:7" ht="15.75" customHeight="1" x14ac:dyDescent="0.2">
      <c r="A114" s="1047"/>
      <c r="B114" s="212">
        <v>0.03</v>
      </c>
      <c r="C114" s="213">
        <f>C95+C96+C103</f>
        <v>0</v>
      </c>
      <c r="D114" s="213">
        <f>D95+D96+D103</f>
        <v>0</v>
      </c>
      <c r="E114" s="213">
        <f>E95+E96+E103</f>
        <v>0</v>
      </c>
      <c r="F114" s="213">
        <f>F95+F96+F103</f>
        <v>0</v>
      </c>
      <c r="G114" s="208"/>
    </row>
    <row r="115" spans="1:7" ht="15.75" customHeight="1" x14ac:dyDescent="0.2">
      <c r="A115" s="1047"/>
      <c r="B115" s="212">
        <v>0.04</v>
      </c>
      <c r="C115" s="213">
        <f>C95+C96+C106</f>
        <v>0</v>
      </c>
      <c r="D115" s="213">
        <f>D95+D96+D106</f>
        <v>0</v>
      </c>
      <c r="E115" s="213">
        <f>E95+E96+E106</f>
        <v>0</v>
      </c>
      <c r="F115" s="213">
        <f>F95+F96+F106</f>
        <v>0</v>
      </c>
    </row>
    <row r="116" spans="1:7" ht="15.75" customHeight="1" x14ac:dyDescent="0.2">
      <c r="A116" s="1047"/>
      <c r="B116" s="214">
        <v>0.05</v>
      </c>
      <c r="C116" s="215">
        <f>C95+C96+C109</f>
        <v>0</v>
      </c>
      <c r="D116" s="215">
        <f>D95+D96+D109</f>
        <v>0</v>
      </c>
      <c r="E116" s="215">
        <f>E95+E96+E109</f>
        <v>0</v>
      </c>
      <c r="F116" s="215">
        <f>F95+F96+F109</f>
        <v>0</v>
      </c>
    </row>
    <row r="117" spans="1:7" ht="15.75" customHeight="1" x14ac:dyDescent="0.2">
      <c r="A117" s="104" t="s">
        <v>541</v>
      </c>
      <c r="B117" s="216"/>
      <c r="C117" s="217"/>
      <c r="D117" s="217"/>
      <c r="E117" s="218"/>
      <c r="F117" s="219"/>
    </row>
    <row r="118" spans="1:7" ht="24.75" customHeight="1" x14ac:dyDescent="0.2">
      <c r="A118" s="154"/>
      <c r="B118" s="220"/>
      <c r="C118" s="221"/>
      <c r="D118" s="221"/>
      <c r="E118" s="222"/>
      <c r="F118" s="223"/>
    </row>
    <row r="119" spans="1:7" ht="15.75" customHeight="1" x14ac:dyDescent="0.2">
      <c r="A119" s="1048"/>
      <c r="B119" s="1048"/>
      <c r="C119" s="1048"/>
      <c r="D119" s="1048"/>
      <c r="E119" s="1048"/>
      <c r="F119" s="1048"/>
    </row>
    <row r="120" spans="1:7" ht="15.75" customHeight="1" x14ac:dyDescent="0.2">
      <c r="A120" s="1049"/>
      <c r="B120" s="1049"/>
      <c r="C120" s="1049"/>
      <c r="D120" s="1049"/>
      <c r="E120" s="1049"/>
      <c r="F120" s="1049"/>
    </row>
    <row r="121" spans="1:7" ht="54.75" customHeight="1" x14ac:dyDescent="0.2">
      <c r="A121" s="1050" t="s">
        <v>542</v>
      </c>
      <c r="B121" s="1050"/>
      <c r="C121" s="224" t="str">
        <f>C10</f>
        <v xml:space="preserve">Servente 44h </v>
      </c>
      <c r="D121" s="224" t="str">
        <f>D10</f>
        <v>Servente 30h</v>
      </c>
      <c r="E121" s="225" t="str">
        <f>E10</f>
        <v>Servente 44h limpeza de esquadrias com risco</v>
      </c>
      <c r="F121" s="226" t="str">
        <f>F10</f>
        <v>Encarregada 44h</v>
      </c>
    </row>
    <row r="122" spans="1:7" ht="15.75" customHeight="1" x14ac:dyDescent="0.2">
      <c r="A122" s="1051" t="s">
        <v>543</v>
      </c>
      <c r="B122" s="1051"/>
      <c r="C122" s="227" t="s">
        <v>472</v>
      </c>
      <c r="D122" s="227" t="s">
        <v>472</v>
      </c>
      <c r="E122" s="227" t="s">
        <v>472</v>
      </c>
      <c r="F122" s="228" t="s">
        <v>472</v>
      </c>
    </row>
    <row r="123" spans="1:7" ht="14.25" customHeight="1" x14ac:dyDescent="0.2">
      <c r="A123" s="1052" t="s">
        <v>544</v>
      </c>
      <c r="B123" s="1052"/>
      <c r="C123" s="229">
        <f>C19</f>
        <v>0</v>
      </c>
      <c r="D123" s="229">
        <f>D19</f>
        <v>0</v>
      </c>
      <c r="E123" s="229">
        <f>E19</f>
        <v>0</v>
      </c>
      <c r="F123" s="230">
        <f>F19</f>
        <v>0</v>
      </c>
    </row>
    <row r="124" spans="1:7" ht="14.25" customHeight="1" x14ac:dyDescent="0.2">
      <c r="A124" s="1053" t="s">
        <v>545</v>
      </c>
      <c r="B124" s="1053"/>
      <c r="C124" s="150">
        <f>C49</f>
        <v>0</v>
      </c>
      <c r="D124" s="150">
        <f>D49</f>
        <v>0</v>
      </c>
      <c r="E124" s="150">
        <f>E49</f>
        <v>0</v>
      </c>
      <c r="F124" s="151">
        <f>F49</f>
        <v>0</v>
      </c>
    </row>
    <row r="125" spans="1:7" ht="14.25" customHeight="1" x14ac:dyDescent="0.2">
      <c r="A125" s="1053" t="s">
        <v>546</v>
      </c>
      <c r="B125" s="1053"/>
      <c r="C125" s="150">
        <f>C60</f>
        <v>0</v>
      </c>
      <c r="D125" s="150">
        <f>D60</f>
        <v>0</v>
      </c>
      <c r="E125" s="150">
        <f>E60</f>
        <v>0</v>
      </c>
      <c r="F125" s="151">
        <f>F60</f>
        <v>0</v>
      </c>
    </row>
    <row r="126" spans="1:7" ht="14.25" customHeight="1" x14ac:dyDescent="0.2">
      <c r="A126" s="1053" t="s">
        <v>547</v>
      </c>
      <c r="B126" s="1053"/>
      <c r="C126" s="150">
        <f>C80</f>
        <v>0</v>
      </c>
      <c r="D126" s="150">
        <f>D80</f>
        <v>0</v>
      </c>
      <c r="E126" s="150">
        <f>E80</f>
        <v>0</v>
      </c>
      <c r="F126" s="151">
        <f>F69</f>
        <v>0</v>
      </c>
    </row>
    <row r="127" spans="1:7" ht="15.75" customHeight="1" x14ac:dyDescent="0.2">
      <c r="A127" s="1053" t="s">
        <v>548</v>
      </c>
      <c r="B127" s="1053"/>
      <c r="C127" s="150">
        <f>C91</f>
        <v>0</v>
      </c>
      <c r="D127" s="150">
        <f>D91</f>
        <v>0</v>
      </c>
      <c r="E127" s="150">
        <f>E91</f>
        <v>0</v>
      </c>
      <c r="F127" s="151">
        <f>F91</f>
        <v>0</v>
      </c>
    </row>
    <row r="128" spans="1:7" ht="15.75" customHeight="1" x14ac:dyDescent="0.2">
      <c r="A128" s="1056" t="s">
        <v>549</v>
      </c>
      <c r="B128" s="1056"/>
      <c r="C128" s="152">
        <f>SUM(C123:C127)</f>
        <v>0</v>
      </c>
      <c r="D128" s="152">
        <f>SUM(D123:D127)</f>
        <v>0</v>
      </c>
      <c r="E128" s="231">
        <f>SUM(E123:E127)</f>
        <v>0</v>
      </c>
      <c r="F128" s="153">
        <f>SUM(F123:F127)</f>
        <v>0</v>
      </c>
    </row>
    <row r="129" spans="1:12" ht="15.75" customHeight="1" x14ac:dyDescent="0.2">
      <c r="A129" s="1054" t="s">
        <v>550</v>
      </c>
      <c r="B129" s="1054"/>
      <c r="C129" s="232">
        <f t="shared" ref="C129:F133" si="26">C112</f>
        <v>0</v>
      </c>
      <c r="D129" s="232">
        <f t="shared" si="26"/>
        <v>0</v>
      </c>
      <c r="E129" s="232">
        <f t="shared" si="26"/>
        <v>0</v>
      </c>
      <c r="F129" s="233">
        <f t="shared" si="26"/>
        <v>0</v>
      </c>
    </row>
    <row r="130" spans="1:12" ht="15.75" customHeight="1" x14ac:dyDescent="0.2">
      <c r="A130" s="1053" t="s">
        <v>551</v>
      </c>
      <c r="B130" s="1053"/>
      <c r="C130" s="234">
        <f t="shared" si="26"/>
        <v>0</v>
      </c>
      <c r="D130" s="234">
        <f t="shared" si="26"/>
        <v>0</v>
      </c>
      <c r="E130" s="234">
        <f t="shared" si="26"/>
        <v>0</v>
      </c>
      <c r="F130" s="235">
        <f t="shared" si="26"/>
        <v>0</v>
      </c>
    </row>
    <row r="131" spans="1:12" ht="15.75" customHeight="1" x14ac:dyDescent="0.2">
      <c r="A131" s="1053" t="s">
        <v>552</v>
      </c>
      <c r="B131" s="1053"/>
      <c r="C131" s="234">
        <f t="shared" si="26"/>
        <v>0</v>
      </c>
      <c r="D131" s="234">
        <f t="shared" si="26"/>
        <v>0</v>
      </c>
      <c r="E131" s="234">
        <f t="shared" si="26"/>
        <v>0</v>
      </c>
      <c r="F131" s="235">
        <f t="shared" si="26"/>
        <v>0</v>
      </c>
    </row>
    <row r="132" spans="1:12" ht="15.75" customHeight="1" x14ac:dyDescent="0.2">
      <c r="A132" s="1053" t="s">
        <v>553</v>
      </c>
      <c r="B132" s="1053"/>
      <c r="C132" s="234">
        <f t="shared" si="26"/>
        <v>0</v>
      </c>
      <c r="D132" s="234">
        <f t="shared" si="26"/>
        <v>0</v>
      </c>
      <c r="E132" s="234">
        <f t="shared" si="26"/>
        <v>0</v>
      </c>
      <c r="F132" s="235">
        <f t="shared" si="26"/>
        <v>0</v>
      </c>
    </row>
    <row r="133" spans="1:12" ht="15.75" customHeight="1" x14ac:dyDescent="0.2">
      <c r="A133" s="1054" t="s">
        <v>554</v>
      </c>
      <c r="B133" s="1054"/>
      <c r="C133" s="234">
        <f t="shared" si="26"/>
        <v>0</v>
      </c>
      <c r="D133" s="234">
        <f t="shared" si="26"/>
        <v>0</v>
      </c>
      <c r="E133" s="234">
        <f t="shared" si="26"/>
        <v>0</v>
      </c>
      <c r="F133" s="235">
        <f t="shared" si="26"/>
        <v>0</v>
      </c>
    </row>
    <row r="134" spans="1:12" ht="15.75" customHeight="1" x14ac:dyDescent="0.2">
      <c r="A134" s="236" t="s">
        <v>555</v>
      </c>
      <c r="B134" s="237"/>
      <c r="C134" s="238">
        <f>C128+C129</f>
        <v>0</v>
      </c>
      <c r="D134" s="238">
        <f>D128+D129</f>
        <v>0</v>
      </c>
      <c r="E134" s="238">
        <f>E128+E129</f>
        <v>0</v>
      </c>
      <c r="F134" s="239">
        <f>F128+F129</f>
        <v>0</v>
      </c>
    </row>
    <row r="135" spans="1:12" ht="15.75" customHeight="1" x14ac:dyDescent="0.2">
      <c r="A135" s="240" t="s">
        <v>556</v>
      </c>
      <c r="B135" s="241"/>
      <c r="C135" s="242">
        <f>C128+C130</f>
        <v>0</v>
      </c>
      <c r="D135" s="242">
        <f>D128+D130</f>
        <v>0</v>
      </c>
      <c r="E135" s="242">
        <f>E128+E130</f>
        <v>0</v>
      </c>
      <c r="F135" s="243">
        <f>F128+F130</f>
        <v>0</v>
      </c>
    </row>
    <row r="136" spans="1:12" ht="15.75" customHeight="1" x14ac:dyDescent="0.2">
      <c r="A136" s="240" t="s">
        <v>557</v>
      </c>
      <c r="B136" s="241"/>
      <c r="C136" s="242">
        <f>C128+C131</f>
        <v>0</v>
      </c>
      <c r="D136" s="242">
        <f>D128+D131</f>
        <v>0</v>
      </c>
      <c r="E136" s="242">
        <f>E128+E131</f>
        <v>0</v>
      </c>
      <c r="F136" s="243">
        <f>F128+F131</f>
        <v>0</v>
      </c>
    </row>
    <row r="137" spans="1:12" ht="15.75" customHeight="1" x14ac:dyDescent="0.2">
      <c r="A137" s="240" t="s">
        <v>558</v>
      </c>
      <c r="B137" s="241"/>
      <c r="C137" s="242">
        <f>C128+C132</f>
        <v>0</v>
      </c>
      <c r="D137" s="242">
        <f>D128+D132</f>
        <v>0</v>
      </c>
      <c r="E137" s="242">
        <f>E128+E132</f>
        <v>0</v>
      </c>
      <c r="F137" s="243">
        <f>F128+F132</f>
        <v>0</v>
      </c>
    </row>
    <row r="138" spans="1:12" ht="15.75" customHeight="1" x14ac:dyDescent="0.2">
      <c r="A138" s="240" t="s">
        <v>559</v>
      </c>
      <c r="B138" s="241"/>
      <c r="C138" s="242">
        <f>C128+C133</f>
        <v>0</v>
      </c>
      <c r="D138" s="242">
        <f>D128+D133</f>
        <v>0</v>
      </c>
      <c r="E138" s="242">
        <f>E128+E133</f>
        <v>0</v>
      </c>
      <c r="F138" s="243">
        <f>F128+F133</f>
        <v>0</v>
      </c>
    </row>
    <row r="139" spans="1:12" ht="15.75" customHeight="1" x14ac:dyDescent="0.2">
      <c r="A139" s="736" t="s">
        <v>560</v>
      </c>
      <c r="B139" s="737"/>
      <c r="C139" s="738">
        <f>C134/220</f>
        <v>0</v>
      </c>
      <c r="D139" s="738"/>
      <c r="E139" s="751"/>
      <c r="F139" s="739"/>
    </row>
    <row r="140" spans="1:12" ht="15.75" customHeight="1" x14ac:dyDescent="0.2">
      <c r="A140" s="408" t="s">
        <v>561</v>
      </c>
      <c r="B140" s="246"/>
      <c r="C140" s="247">
        <f t="shared" ref="C140:C143" si="27">C135/220</f>
        <v>0</v>
      </c>
      <c r="D140" s="247"/>
      <c r="E140" s="735"/>
      <c r="F140" s="740"/>
    </row>
    <row r="141" spans="1:12" ht="15.75" customHeight="1" x14ac:dyDescent="0.2">
      <c r="A141" s="408" t="s">
        <v>562</v>
      </c>
      <c r="B141" s="246"/>
      <c r="C141" s="247">
        <f t="shared" si="27"/>
        <v>0</v>
      </c>
      <c r="D141" s="247"/>
      <c r="E141" s="735"/>
      <c r="F141" s="740"/>
    </row>
    <row r="142" spans="1:12" ht="15.75" customHeight="1" x14ac:dyDescent="0.2">
      <c r="A142" s="408" t="s">
        <v>563</v>
      </c>
      <c r="B142" s="246"/>
      <c r="C142" s="247">
        <f t="shared" si="27"/>
        <v>0</v>
      </c>
      <c r="D142" s="247"/>
      <c r="E142" s="735"/>
      <c r="F142" s="740"/>
    </row>
    <row r="143" spans="1:12" ht="15.75" customHeight="1" x14ac:dyDescent="0.2">
      <c r="A143" s="410" t="s">
        <v>564</v>
      </c>
      <c r="B143" s="411"/>
      <c r="C143" s="412">
        <f t="shared" si="27"/>
        <v>0</v>
      </c>
      <c r="D143" s="412"/>
      <c r="E143" s="752"/>
      <c r="F143" s="741"/>
    </row>
    <row r="144" spans="1:12" x14ac:dyDescent="0.2">
      <c r="A144" s="248"/>
      <c r="B144"/>
      <c r="C144"/>
      <c r="D144"/>
      <c r="E144"/>
      <c r="F144"/>
      <c r="G144"/>
      <c r="H144"/>
      <c r="I144"/>
      <c r="J144"/>
      <c r="K144"/>
      <c r="L144"/>
    </row>
    <row r="145" spans="1:15" ht="14.25" customHeight="1" x14ac:dyDescent="0.2">
      <c r="A145" s="1055" t="s">
        <v>565</v>
      </c>
      <c r="B145" s="1055"/>
      <c r="C145" s="1055" t="s">
        <v>566</v>
      </c>
      <c r="D145" s="1055"/>
      <c r="E145" s="1061" t="s">
        <v>567</v>
      </c>
      <c r="F145" s="1062"/>
      <c r="G145" s="1057" t="s">
        <v>568</v>
      </c>
      <c r="H145" s="1057"/>
      <c r="I145" s="1057" t="s">
        <v>569</v>
      </c>
      <c r="J145" s="1057"/>
      <c r="K145" s="1057" t="s">
        <v>570</v>
      </c>
      <c r="L145" s="1057"/>
    </row>
    <row r="146" spans="1:15" ht="38.25" x14ac:dyDescent="0.2">
      <c r="A146" s="271" t="s">
        <v>571</v>
      </c>
      <c r="B146" s="272" t="s">
        <v>572</v>
      </c>
      <c r="C146" s="272" t="s">
        <v>573</v>
      </c>
      <c r="D146" s="272" t="s">
        <v>574</v>
      </c>
      <c r="E146" s="272" t="s">
        <v>573</v>
      </c>
      <c r="F146" s="272" t="s">
        <v>574</v>
      </c>
      <c r="G146" s="272" t="s">
        <v>573</v>
      </c>
      <c r="H146" s="272" t="s">
        <v>574</v>
      </c>
      <c r="I146" s="272" t="s">
        <v>573</v>
      </c>
      <c r="J146" s="272" t="s">
        <v>574</v>
      </c>
      <c r="K146" s="272" t="s">
        <v>573</v>
      </c>
      <c r="L146" s="272" t="s">
        <v>574</v>
      </c>
    </row>
    <row r="147" spans="1:15" x14ac:dyDescent="0.2">
      <c r="A147" s="273" t="s">
        <v>575</v>
      </c>
      <c r="B147" s="274">
        <f>1/'Prod. GEXFLO'!C23</f>
        <v>1.0989010989010989E-3</v>
      </c>
      <c r="C147" s="275">
        <f>C134</f>
        <v>0</v>
      </c>
      <c r="D147" s="275">
        <f>B147*C147</f>
        <v>0</v>
      </c>
      <c r="E147" s="275">
        <f>C135</f>
        <v>0</v>
      </c>
      <c r="F147" s="275">
        <f>B147*E147</f>
        <v>0</v>
      </c>
      <c r="G147" s="275">
        <f>C136</f>
        <v>0</v>
      </c>
      <c r="H147" s="275">
        <f>B147*G147</f>
        <v>0</v>
      </c>
      <c r="I147" s="275">
        <f>C137</f>
        <v>0</v>
      </c>
      <c r="J147" s="275">
        <f>B147*I147</f>
        <v>0</v>
      </c>
      <c r="K147" s="275">
        <f>C138</f>
        <v>0</v>
      </c>
      <c r="L147" s="275">
        <f>B147*K147</f>
        <v>0</v>
      </c>
    </row>
    <row r="148" spans="1:15" x14ac:dyDescent="0.2">
      <c r="A148" s="276" t="s">
        <v>576</v>
      </c>
      <c r="B148" s="274">
        <f>B147/'Prod. GEXFLO'!O23</f>
        <v>3.924646781789639E-5</v>
      </c>
      <c r="C148" s="275">
        <f>F135</f>
        <v>0</v>
      </c>
      <c r="D148" s="275">
        <f>C148*B148</f>
        <v>0</v>
      </c>
      <c r="E148" s="275">
        <f>F135</f>
        <v>0</v>
      </c>
      <c r="F148" s="275">
        <f>B148*E148</f>
        <v>0</v>
      </c>
      <c r="G148" s="275">
        <f>F135</f>
        <v>0</v>
      </c>
      <c r="H148" s="275">
        <f>B148*G148</f>
        <v>0</v>
      </c>
      <c r="I148" s="275">
        <f>F135</f>
        <v>0</v>
      </c>
      <c r="J148" s="275">
        <f>B148*I148</f>
        <v>0</v>
      </c>
      <c r="K148" s="275">
        <f>F135</f>
        <v>0</v>
      </c>
      <c r="L148" s="275">
        <f>B148*K148</f>
        <v>0</v>
      </c>
      <c r="M148" s="1068"/>
      <c r="N148" s="1069"/>
      <c r="O148" s="429"/>
    </row>
    <row r="149" spans="1:15" x14ac:dyDescent="0.2">
      <c r="A149" s="277" t="s">
        <v>577</v>
      </c>
      <c r="B149" s="278"/>
      <c r="C149" s="279"/>
      <c r="D149" s="279">
        <f>SUM(D147:D148)</f>
        <v>0</v>
      </c>
      <c r="E149" s="279"/>
      <c r="F149" s="279">
        <f>SUM(F147:F148)</f>
        <v>0</v>
      </c>
      <c r="G149" s="279"/>
      <c r="H149" s="279">
        <f>SUM(H147:H148)</f>
        <v>0</v>
      </c>
      <c r="I149" s="279"/>
      <c r="J149" s="279">
        <f>SUM(J147:J148)</f>
        <v>0</v>
      </c>
      <c r="K149" s="279"/>
      <c r="L149" s="279">
        <f>SUM(L147:L148)</f>
        <v>0</v>
      </c>
      <c r="M149" s="427"/>
      <c r="N149" s="428"/>
    </row>
    <row r="150" spans="1:15" x14ac:dyDescent="0.2">
      <c r="A150" s="249"/>
      <c r="B150" s="250"/>
      <c r="C150" s="250"/>
      <c r="D150" s="251"/>
      <c r="E150" s="251"/>
      <c r="F150"/>
      <c r="G150"/>
      <c r="H150"/>
      <c r="I150"/>
      <c r="J150"/>
      <c r="K150"/>
      <c r="L150"/>
    </row>
    <row r="151" spans="1:15" ht="14.25" customHeight="1" x14ac:dyDescent="0.2">
      <c r="A151" s="1058" t="s">
        <v>578</v>
      </c>
      <c r="B151" s="1058"/>
      <c r="C151" s="1058" t="s">
        <v>566</v>
      </c>
      <c r="D151" s="1058"/>
      <c r="E151" s="1059" t="s">
        <v>567</v>
      </c>
      <c r="F151" s="1060"/>
      <c r="G151" s="1058" t="s">
        <v>568</v>
      </c>
      <c r="H151" s="1058"/>
      <c r="I151" s="1058" t="s">
        <v>569</v>
      </c>
      <c r="J151" s="1058"/>
      <c r="K151" s="1058" t="s">
        <v>570</v>
      </c>
      <c r="L151" s="1058"/>
    </row>
    <row r="152" spans="1:15" ht="38.25" x14ac:dyDescent="0.2">
      <c r="A152" s="271" t="s">
        <v>571</v>
      </c>
      <c r="B152" s="272" t="s">
        <v>579</v>
      </c>
      <c r="C152" s="272" t="s">
        <v>573</v>
      </c>
      <c r="D152" s="272" t="s">
        <v>574</v>
      </c>
      <c r="E152" s="272" t="s">
        <v>573</v>
      </c>
      <c r="F152" s="272" t="s">
        <v>574</v>
      </c>
      <c r="G152" s="272" t="s">
        <v>573</v>
      </c>
      <c r="H152" s="272" t="s">
        <v>574</v>
      </c>
      <c r="I152" s="272" t="s">
        <v>573</v>
      </c>
      <c r="J152" s="272" t="s">
        <v>574</v>
      </c>
      <c r="K152" s="272" t="s">
        <v>573</v>
      </c>
      <c r="L152" s="272" t="s">
        <v>574</v>
      </c>
    </row>
    <row r="153" spans="1:15" x14ac:dyDescent="0.2">
      <c r="A153" s="273" t="s">
        <v>575</v>
      </c>
      <c r="B153" s="280">
        <f>1/'Prod. GEXFLO'!D23</f>
        <v>4.0000000000000002E-4</v>
      </c>
      <c r="C153" s="281">
        <f>C134</f>
        <v>0</v>
      </c>
      <c r="D153" s="275">
        <f>B153*C153</f>
        <v>0</v>
      </c>
      <c r="E153" s="275">
        <f>C135</f>
        <v>0</v>
      </c>
      <c r="F153" s="275">
        <f>B153*E153</f>
        <v>0</v>
      </c>
      <c r="G153" s="275">
        <f>C136</f>
        <v>0</v>
      </c>
      <c r="H153" s="275">
        <f>B153*G153</f>
        <v>0</v>
      </c>
      <c r="I153" s="275">
        <f>C137</f>
        <v>0</v>
      </c>
      <c r="J153" s="275">
        <f>B153*I153</f>
        <v>0</v>
      </c>
      <c r="K153" s="275">
        <f>C138</f>
        <v>0</v>
      </c>
      <c r="L153" s="275">
        <f>B153*K153</f>
        <v>0</v>
      </c>
    </row>
    <row r="154" spans="1:15" x14ac:dyDescent="0.2">
      <c r="A154" s="276" t="s">
        <v>576</v>
      </c>
      <c r="B154" s="274">
        <f>B153/'Prod. GEXFLO'!O23</f>
        <v>1.4285714285714287E-5</v>
      </c>
      <c r="C154" s="275">
        <f>F135</f>
        <v>0</v>
      </c>
      <c r="D154" s="275">
        <f>B154*C154</f>
        <v>0</v>
      </c>
      <c r="E154" s="275">
        <f>F135</f>
        <v>0</v>
      </c>
      <c r="F154" s="275">
        <f>B154*E154</f>
        <v>0</v>
      </c>
      <c r="G154" s="275">
        <f>F135</f>
        <v>0</v>
      </c>
      <c r="H154" s="275">
        <f>B154*G154</f>
        <v>0</v>
      </c>
      <c r="I154" s="275">
        <f>F135</f>
        <v>0</v>
      </c>
      <c r="J154" s="275">
        <f>B154*I154</f>
        <v>0</v>
      </c>
      <c r="K154" s="275">
        <f>F135</f>
        <v>0</v>
      </c>
      <c r="L154" s="275">
        <f>B154*K154</f>
        <v>0</v>
      </c>
    </row>
    <row r="155" spans="1:15" x14ac:dyDescent="0.2">
      <c r="A155" s="277" t="s">
        <v>580</v>
      </c>
      <c r="B155" s="278"/>
      <c r="C155" s="279"/>
      <c r="D155" s="279">
        <f>SUM(D153:D154)</f>
        <v>0</v>
      </c>
      <c r="E155" s="279"/>
      <c r="F155" s="279">
        <f>SUM(F153:F154)</f>
        <v>0</v>
      </c>
      <c r="G155" s="279"/>
      <c r="H155" s="279">
        <f>SUM(H153:H154)</f>
        <v>0</v>
      </c>
      <c r="I155" s="279"/>
      <c r="J155" s="279">
        <f>SUM(J153:J154)</f>
        <v>0</v>
      </c>
      <c r="K155" s="279"/>
      <c r="L155" s="279">
        <f>SUM(L153:L154)</f>
        <v>0</v>
      </c>
    </row>
    <row r="156" spans="1:15" x14ac:dyDescent="0.2">
      <c r="A156" s="249"/>
      <c r="B156" s="252"/>
      <c r="C156" s="252"/>
      <c r="D156" s="252"/>
      <c r="E156" s="252"/>
      <c r="F156"/>
      <c r="G156"/>
      <c r="H156"/>
      <c r="I156"/>
      <c r="J156"/>
      <c r="K156"/>
      <c r="L156"/>
    </row>
    <row r="157" spans="1:15" ht="14.25" customHeight="1" x14ac:dyDescent="0.2">
      <c r="A157" s="1058" t="s">
        <v>581</v>
      </c>
      <c r="B157" s="1058"/>
      <c r="C157" s="1058" t="s">
        <v>566</v>
      </c>
      <c r="D157" s="1058"/>
      <c r="E157" s="1059" t="s">
        <v>567</v>
      </c>
      <c r="F157" s="1060"/>
      <c r="G157" s="1058" t="s">
        <v>568</v>
      </c>
      <c r="H157" s="1058"/>
      <c r="I157" s="1058" t="s">
        <v>569</v>
      </c>
      <c r="J157" s="1058"/>
      <c r="K157" s="1058" t="s">
        <v>570</v>
      </c>
      <c r="L157" s="1058"/>
    </row>
    <row r="158" spans="1:15" ht="38.25" x14ac:dyDescent="0.2">
      <c r="A158" s="271" t="s">
        <v>571</v>
      </c>
      <c r="B158" s="272" t="s">
        <v>579</v>
      </c>
      <c r="C158" s="272" t="s">
        <v>573</v>
      </c>
      <c r="D158" s="272" t="s">
        <v>574</v>
      </c>
      <c r="E158" s="272" t="s">
        <v>573</v>
      </c>
      <c r="F158" s="272" t="s">
        <v>574</v>
      </c>
      <c r="G158" s="272" t="s">
        <v>573</v>
      </c>
      <c r="H158" s="272" t="s">
        <v>574</v>
      </c>
      <c r="I158" s="272" t="s">
        <v>573</v>
      </c>
      <c r="J158" s="272" t="s">
        <v>574</v>
      </c>
      <c r="K158" s="272" t="s">
        <v>573</v>
      </c>
      <c r="L158" s="272" t="s">
        <v>574</v>
      </c>
    </row>
    <row r="159" spans="1:15" x14ac:dyDescent="0.2">
      <c r="A159" s="273" t="s">
        <v>575</v>
      </c>
      <c r="B159" s="280">
        <f>1/'Prod. GEXFLO'!E23</f>
        <v>6.6666666666666664E-4</v>
      </c>
      <c r="C159" s="281">
        <f>C134</f>
        <v>0</v>
      </c>
      <c r="D159" s="275">
        <f>B159*C159</f>
        <v>0</v>
      </c>
      <c r="E159" s="275">
        <f>C135</f>
        <v>0</v>
      </c>
      <c r="F159" s="275">
        <f>B159*E159</f>
        <v>0</v>
      </c>
      <c r="G159" s="275">
        <f>C136</f>
        <v>0</v>
      </c>
      <c r="H159" s="275">
        <f>B159*G159</f>
        <v>0</v>
      </c>
      <c r="I159" s="275">
        <f>C137</f>
        <v>0</v>
      </c>
      <c r="J159" s="275">
        <f>B159*I159</f>
        <v>0</v>
      </c>
      <c r="K159" s="275">
        <f>C138</f>
        <v>0</v>
      </c>
      <c r="L159" s="275">
        <f>B159*K159</f>
        <v>0</v>
      </c>
    </row>
    <row r="160" spans="1:15" x14ac:dyDescent="0.2">
      <c r="A160" s="276" t="s">
        <v>576</v>
      </c>
      <c r="B160" s="274">
        <f>B159/'Prod. GEXFLO'!O23</f>
        <v>2.380952380952381E-5</v>
      </c>
      <c r="C160" s="275">
        <f>F135</f>
        <v>0</v>
      </c>
      <c r="D160" s="275">
        <f>B160*C160</f>
        <v>0</v>
      </c>
      <c r="E160" s="275">
        <f>F135</f>
        <v>0</v>
      </c>
      <c r="F160" s="275">
        <f>B160*E160</f>
        <v>0</v>
      </c>
      <c r="G160" s="275">
        <f>F135</f>
        <v>0</v>
      </c>
      <c r="H160" s="275">
        <f>B160*G160</f>
        <v>0</v>
      </c>
      <c r="I160" s="275">
        <f>F135</f>
        <v>0</v>
      </c>
      <c r="J160" s="275">
        <f>B160*I160</f>
        <v>0</v>
      </c>
      <c r="K160" s="275">
        <f>F135</f>
        <v>0</v>
      </c>
      <c r="L160" s="275">
        <f>B160*K160</f>
        <v>0</v>
      </c>
    </row>
    <row r="161" spans="1:14" x14ac:dyDescent="0.2">
      <c r="A161" s="277" t="s">
        <v>580</v>
      </c>
      <c r="B161" s="278"/>
      <c r="C161" s="279"/>
      <c r="D161" s="279">
        <f>SUM(D159:D160)</f>
        <v>0</v>
      </c>
      <c r="E161" s="279"/>
      <c r="F161" s="279">
        <f>SUM(F159:F160)</f>
        <v>0</v>
      </c>
      <c r="G161" s="279"/>
      <c r="H161" s="279">
        <f>SUM(H159:H160)</f>
        <v>0</v>
      </c>
      <c r="I161" s="279"/>
      <c r="J161" s="279">
        <f>SUM(J159:J160)</f>
        <v>0</v>
      </c>
      <c r="K161" s="279"/>
      <c r="L161" s="279">
        <f>SUM(L159:L160)</f>
        <v>0</v>
      </c>
    </row>
    <row r="162" spans="1:14" x14ac:dyDescent="0.2">
      <c r="A162" s="249"/>
      <c r="B162" s="252"/>
      <c r="C162" s="252"/>
      <c r="D162" s="252"/>
      <c r="E162" s="252"/>
      <c r="F162"/>
      <c r="G162"/>
      <c r="H162"/>
      <c r="I162"/>
      <c r="J162"/>
      <c r="K162"/>
      <c r="L162"/>
    </row>
    <row r="163" spans="1:14" ht="14.25" customHeight="1" x14ac:dyDescent="0.2">
      <c r="A163" s="1058" t="s">
        <v>582</v>
      </c>
      <c r="B163" s="1058"/>
      <c r="C163" s="1058" t="s">
        <v>566</v>
      </c>
      <c r="D163" s="1058"/>
      <c r="E163" s="1059" t="s">
        <v>567</v>
      </c>
      <c r="F163" s="1060"/>
      <c r="G163" s="1058" t="s">
        <v>568</v>
      </c>
      <c r="H163" s="1058"/>
      <c r="I163" s="1058" t="s">
        <v>569</v>
      </c>
      <c r="J163" s="1058"/>
      <c r="K163" s="1058" t="s">
        <v>570</v>
      </c>
      <c r="L163" s="1058"/>
    </row>
    <row r="164" spans="1:14" ht="38.25" x14ac:dyDescent="0.2">
      <c r="A164" s="271" t="s">
        <v>571</v>
      </c>
      <c r="B164" s="272" t="s">
        <v>579</v>
      </c>
      <c r="C164" s="272" t="s">
        <v>573</v>
      </c>
      <c r="D164" s="272" t="s">
        <v>574</v>
      </c>
      <c r="E164" s="272" t="s">
        <v>573</v>
      </c>
      <c r="F164" s="272" t="s">
        <v>574</v>
      </c>
      <c r="G164" s="272" t="s">
        <v>573</v>
      </c>
      <c r="H164" s="272" t="s">
        <v>574</v>
      </c>
      <c r="I164" s="272" t="s">
        <v>573</v>
      </c>
      <c r="J164" s="272" t="s">
        <v>574</v>
      </c>
      <c r="K164" s="272" t="s">
        <v>573</v>
      </c>
      <c r="L164" s="272" t="s">
        <v>574</v>
      </c>
    </row>
    <row r="165" spans="1:14" x14ac:dyDescent="0.2">
      <c r="A165" s="273" t="s">
        <v>575</v>
      </c>
      <c r="B165" s="280">
        <f>1/'Prod. GEXFLO'!F23</f>
        <v>3.3333333333333335E-3</v>
      </c>
      <c r="C165" s="275">
        <f>C134</f>
        <v>0</v>
      </c>
      <c r="D165" s="275">
        <f>B165*C165</f>
        <v>0</v>
      </c>
      <c r="E165" s="275">
        <f>C135</f>
        <v>0</v>
      </c>
      <c r="F165" s="275">
        <f>B165*E165</f>
        <v>0</v>
      </c>
      <c r="G165" s="275">
        <f>C136</f>
        <v>0</v>
      </c>
      <c r="H165" s="275">
        <f>B165*G165</f>
        <v>0</v>
      </c>
      <c r="I165" s="275">
        <f>C137</f>
        <v>0</v>
      </c>
      <c r="J165" s="275">
        <f>B165*I165</f>
        <v>0</v>
      </c>
      <c r="K165" s="275">
        <f>C138</f>
        <v>0</v>
      </c>
      <c r="L165" s="275">
        <f>B165*K165</f>
        <v>0</v>
      </c>
    </row>
    <row r="166" spans="1:14" x14ac:dyDescent="0.2">
      <c r="A166" s="276" t="s">
        <v>576</v>
      </c>
      <c r="B166" s="274">
        <f>B165/'Prod. GEXFLO'!O23</f>
        <v>1.1904761904761906E-4</v>
      </c>
      <c r="C166" s="275">
        <f>F135</f>
        <v>0</v>
      </c>
      <c r="D166" s="275">
        <f>C166*B166</f>
        <v>0</v>
      </c>
      <c r="E166" s="275">
        <f>F135</f>
        <v>0</v>
      </c>
      <c r="F166" s="275">
        <f>B166*E166</f>
        <v>0</v>
      </c>
      <c r="G166" s="275">
        <f>F135</f>
        <v>0</v>
      </c>
      <c r="H166" s="275">
        <f>B166*G166</f>
        <v>0</v>
      </c>
      <c r="I166" s="275">
        <f>F135</f>
        <v>0</v>
      </c>
      <c r="J166" s="275">
        <f>B166*I166</f>
        <v>0</v>
      </c>
      <c r="K166" s="275">
        <f>F135</f>
        <v>0</v>
      </c>
      <c r="L166" s="275">
        <f>B166*K166</f>
        <v>0</v>
      </c>
    </row>
    <row r="167" spans="1:14" x14ac:dyDescent="0.2">
      <c r="A167" s="277" t="s">
        <v>580</v>
      </c>
      <c r="B167" s="278"/>
      <c r="C167" s="279"/>
      <c r="D167" s="279">
        <f>SUM(D165:D166)</f>
        <v>0</v>
      </c>
      <c r="E167" s="279"/>
      <c r="F167" s="279">
        <f>SUM(F165:F166)</f>
        <v>0</v>
      </c>
      <c r="G167" s="279"/>
      <c r="H167" s="279">
        <f>SUM(H165:H166)</f>
        <v>0</v>
      </c>
      <c r="I167" s="279"/>
      <c r="J167" s="279">
        <f>SUM(J165:J166)</f>
        <v>0</v>
      </c>
      <c r="K167" s="279"/>
      <c r="L167" s="279">
        <f>SUM(L165:L166)</f>
        <v>0</v>
      </c>
    </row>
    <row r="168" spans="1:14" x14ac:dyDescent="0.2">
      <c r="A168" s="249"/>
      <c r="B168" s="253"/>
      <c r="C168" s="253"/>
      <c r="D168" s="253"/>
      <c r="E168" s="253"/>
    </row>
    <row r="169" spans="1:14" ht="14.25" customHeight="1" x14ac:dyDescent="0.2">
      <c r="A169" s="1063" t="s">
        <v>583</v>
      </c>
      <c r="B169" s="1063"/>
      <c r="C169" s="1063" t="s">
        <v>566</v>
      </c>
      <c r="D169" s="1063"/>
      <c r="E169" s="1066" t="s">
        <v>567</v>
      </c>
      <c r="F169" s="1067"/>
      <c r="G169" s="1063" t="s">
        <v>568</v>
      </c>
      <c r="H169" s="1063"/>
      <c r="I169" s="1063" t="s">
        <v>569</v>
      </c>
      <c r="J169" s="1063"/>
      <c r="K169" s="1063" t="s">
        <v>570</v>
      </c>
      <c r="L169" s="1063"/>
    </row>
    <row r="170" spans="1:14" ht="38.25" x14ac:dyDescent="0.2">
      <c r="A170" s="271" t="s">
        <v>571</v>
      </c>
      <c r="B170" s="272" t="s">
        <v>579</v>
      </c>
      <c r="C170" s="272" t="s">
        <v>573</v>
      </c>
      <c r="D170" s="272" t="s">
        <v>574</v>
      </c>
      <c r="E170" s="272" t="s">
        <v>573</v>
      </c>
      <c r="F170" s="272" t="s">
        <v>574</v>
      </c>
      <c r="G170" s="272" t="s">
        <v>573</v>
      </c>
      <c r="H170" s="272" t="s">
        <v>574</v>
      </c>
      <c r="I170" s="272" t="s">
        <v>573</v>
      </c>
      <c r="J170" s="272" t="s">
        <v>574</v>
      </c>
      <c r="K170" s="272" t="s">
        <v>573</v>
      </c>
      <c r="L170" s="272" t="s">
        <v>574</v>
      </c>
    </row>
    <row r="171" spans="1:14" x14ac:dyDescent="0.2">
      <c r="A171" s="273" t="s">
        <v>584</v>
      </c>
      <c r="B171" s="280">
        <f>1/'Prod. GEXFLO'!G23</f>
        <v>3.7037037037037035E-4</v>
      </c>
      <c r="C171" s="275">
        <f>C134</f>
        <v>0</v>
      </c>
      <c r="D171" s="275">
        <f>B171*C171</f>
        <v>0</v>
      </c>
      <c r="E171" s="275">
        <f>C135</f>
        <v>0</v>
      </c>
      <c r="F171" s="275">
        <f>B171*E171</f>
        <v>0</v>
      </c>
      <c r="G171" s="275">
        <f>C136</f>
        <v>0</v>
      </c>
      <c r="H171" s="275">
        <f>B171*G171</f>
        <v>0</v>
      </c>
      <c r="I171" s="275">
        <f>C137</f>
        <v>0</v>
      </c>
      <c r="J171" s="275">
        <f>B171*I171</f>
        <v>0</v>
      </c>
      <c r="K171" s="275">
        <f>C138</f>
        <v>0</v>
      </c>
      <c r="L171" s="275">
        <f>B171*K171</f>
        <v>0</v>
      </c>
    </row>
    <row r="172" spans="1:14" x14ac:dyDescent="0.2">
      <c r="A172" s="276" t="s">
        <v>576</v>
      </c>
      <c r="B172" s="274">
        <f>B171/'Prod. GEXFLO'!O23</f>
        <v>1.3227513227513226E-5</v>
      </c>
      <c r="C172" s="275">
        <f>F135</f>
        <v>0</v>
      </c>
      <c r="D172" s="275">
        <f>B172*C172</f>
        <v>0</v>
      </c>
      <c r="E172" s="275">
        <f>F135</f>
        <v>0</v>
      </c>
      <c r="F172" s="275">
        <f>B172*E172</f>
        <v>0</v>
      </c>
      <c r="G172" s="275">
        <f>F135</f>
        <v>0</v>
      </c>
      <c r="H172" s="275">
        <f>B172*G172</f>
        <v>0</v>
      </c>
      <c r="I172" s="275">
        <f>F135</f>
        <v>0</v>
      </c>
      <c r="J172" s="275">
        <f>B172*I172</f>
        <v>0</v>
      </c>
      <c r="K172" s="275">
        <f>F135</f>
        <v>0</v>
      </c>
      <c r="L172" s="275">
        <f>B172*K172</f>
        <v>0</v>
      </c>
      <c r="M172" s="1068"/>
      <c r="N172" s="1069"/>
    </row>
    <row r="173" spans="1:14" x14ac:dyDescent="0.2">
      <c r="A173" s="282" t="s">
        <v>585</v>
      </c>
      <c r="B173" s="283"/>
      <c r="C173" s="284"/>
      <c r="D173" s="285">
        <f>SUM(D171:D172)</f>
        <v>0</v>
      </c>
      <c r="E173" s="284"/>
      <c r="F173" s="285">
        <f>SUM(F171:F172)</f>
        <v>0</v>
      </c>
      <c r="G173" s="284"/>
      <c r="H173" s="285">
        <f>SUM(H171:H172)</f>
        <v>0</v>
      </c>
      <c r="I173" s="284"/>
      <c r="J173" s="285">
        <f>SUM(J171:J172)</f>
        <v>0</v>
      </c>
      <c r="K173" s="284"/>
      <c r="L173" s="285">
        <f>SUM(L171:L172)</f>
        <v>0</v>
      </c>
      <c r="M173" s="427"/>
      <c r="N173" s="428"/>
    </row>
    <row r="174" spans="1:14" x14ac:dyDescent="0.2">
      <c r="A174" s="273" t="s">
        <v>586</v>
      </c>
      <c r="B174" s="280">
        <f>1/'Prod. GEXFLO'!H23</f>
        <v>1.0000000000000001E-5</v>
      </c>
      <c r="C174" s="275">
        <f>C134</f>
        <v>0</v>
      </c>
      <c r="D174" s="275">
        <f>B174*C174</f>
        <v>0</v>
      </c>
      <c r="E174" s="275">
        <f>C135</f>
        <v>0</v>
      </c>
      <c r="F174" s="275">
        <f>B174*E174</f>
        <v>0</v>
      </c>
      <c r="G174" s="275">
        <f>C136</f>
        <v>0</v>
      </c>
      <c r="H174" s="275">
        <f>B174*G174</f>
        <v>0</v>
      </c>
      <c r="I174" s="275">
        <f>C137</f>
        <v>0</v>
      </c>
      <c r="J174" s="275">
        <f>B174*I174</f>
        <v>0</v>
      </c>
      <c r="K174" s="275">
        <f>C138</f>
        <v>0</v>
      </c>
      <c r="L174" s="275">
        <f>B174*K174</f>
        <v>0</v>
      </c>
    </row>
    <row r="175" spans="1:14" x14ac:dyDescent="0.2">
      <c r="A175" s="276" t="s">
        <v>576</v>
      </c>
      <c r="B175" s="274">
        <f>B174/'Prod. GEXFLO'!O23</f>
        <v>3.5714285714285716E-7</v>
      </c>
      <c r="C175" s="275">
        <f>F135</f>
        <v>0</v>
      </c>
      <c r="D175" s="275">
        <f>B175*C175</f>
        <v>0</v>
      </c>
      <c r="E175" s="275">
        <f>F135</f>
        <v>0</v>
      </c>
      <c r="F175" s="275">
        <f>B175*E175</f>
        <v>0</v>
      </c>
      <c r="G175" s="275">
        <f>F135</f>
        <v>0</v>
      </c>
      <c r="H175" s="275">
        <f>B175*G175</f>
        <v>0</v>
      </c>
      <c r="I175" s="275">
        <f>F135</f>
        <v>0</v>
      </c>
      <c r="J175" s="275">
        <f>B175*I175</f>
        <v>0</v>
      </c>
      <c r="K175" s="275">
        <f>F135</f>
        <v>0</v>
      </c>
      <c r="L175" s="275">
        <f>B175*K175</f>
        <v>0</v>
      </c>
    </row>
    <row r="176" spans="1:14" x14ac:dyDescent="0.2">
      <c r="A176" s="282" t="s">
        <v>587</v>
      </c>
      <c r="B176" s="286"/>
      <c r="C176" s="284"/>
      <c r="D176" s="285">
        <f>SUM(D174:D175)</f>
        <v>0</v>
      </c>
      <c r="E176" s="284"/>
      <c r="F176" s="285">
        <f>SUM(F174:F175)</f>
        <v>0</v>
      </c>
      <c r="G176" s="284"/>
      <c r="H176" s="285">
        <f>SUM(H174:H175)</f>
        <v>0</v>
      </c>
      <c r="I176" s="284"/>
      <c r="J176" s="285">
        <f>SUM(J174:J175)</f>
        <v>0</v>
      </c>
      <c r="K176" s="284"/>
      <c r="L176" s="285">
        <f>SUM(L174:L175)</f>
        <v>0</v>
      </c>
    </row>
    <row r="177" spans="1:14" x14ac:dyDescent="0.2">
      <c r="A177" s="273" t="s">
        <v>588</v>
      </c>
      <c r="B177" s="280">
        <f>1/'Prod. GEXFLO'!I23</f>
        <v>1.1111111111111112E-4</v>
      </c>
      <c r="C177" s="275">
        <f>C134</f>
        <v>0</v>
      </c>
      <c r="D177" s="275">
        <f>B177*C177</f>
        <v>0</v>
      </c>
      <c r="E177" s="275">
        <f>C135</f>
        <v>0</v>
      </c>
      <c r="F177" s="275">
        <f>B177*E177</f>
        <v>0</v>
      </c>
      <c r="G177" s="275">
        <f>C136</f>
        <v>0</v>
      </c>
      <c r="H177" s="275">
        <f>B177*G177</f>
        <v>0</v>
      </c>
      <c r="I177" s="275">
        <f>C137</f>
        <v>0</v>
      </c>
      <c r="J177" s="275">
        <f>B177*I177</f>
        <v>0</v>
      </c>
      <c r="K177" s="275">
        <f>C138</f>
        <v>0</v>
      </c>
      <c r="L177" s="275">
        <f>B177*K177</f>
        <v>0</v>
      </c>
    </row>
    <row r="178" spans="1:14" x14ac:dyDescent="0.2">
      <c r="A178" s="276" t="s">
        <v>576</v>
      </c>
      <c r="B178" s="274">
        <f>B177/'Prod. GEXFLO'!O23</f>
        <v>3.9682539682539681E-6</v>
      </c>
      <c r="C178" s="275">
        <f>F135</f>
        <v>0</v>
      </c>
      <c r="D178" s="275">
        <f>B178*C178</f>
        <v>0</v>
      </c>
      <c r="E178" s="275">
        <f>F135</f>
        <v>0</v>
      </c>
      <c r="F178" s="275">
        <f>B178*E178</f>
        <v>0</v>
      </c>
      <c r="G178" s="275">
        <f>F135</f>
        <v>0</v>
      </c>
      <c r="H178" s="275">
        <f>B178*G178</f>
        <v>0</v>
      </c>
      <c r="I178" s="275">
        <f>F135</f>
        <v>0</v>
      </c>
      <c r="J178" s="275">
        <f>B178*I178</f>
        <v>0</v>
      </c>
      <c r="K178" s="275">
        <f>F135</f>
        <v>0</v>
      </c>
      <c r="L178" s="275">
        <f>B178*K178</f>
        <v>0</v>
      </c>
    </row>
    <row r="179" spans="1:14" x14ac:dyDescent="0.2">
      <c r="A179" s="282" t="s">
        <v>589</v>
      </c>
      <c r="B179" s="286"/>
      <c r="C179" s="284"/>
      <c r="D179" s="285">
        <f>SUM(D177:D178)</f>
        <v>0</v>
      </c>
      <c r="E179" s="284"/>
      <c r="F179" s="285">
        <f>SUM(F177:F178)</f>
        <v>0</v>
      </c>
      <c r="G179" s="284"/>
      <c r="H179" s="285">
        <f>SUM(H177:H178)</f>
        <v>0</v>
      </c>
      <c r="I179" s="284"/>
      <c r="J179" s="285">
        <f>SUM(J177:J178)</f>
        <v>0</v>
      </c>
      <c r="K179" s="284"/>
      <c r="L179" s="285">
        <f>SUM(L177:L178)</f>
        <v>0</v>
      </c>
    </row>
    <row r="180" spans="1:14" x14ac:dyDescent="0.2">
      <c r="A180" s="249"/>
      <c r="B180" s="252"/>
      <c r="C180" s="252"/>
      <c r="D180" s="252"/>
      <c r="E180" s="252"/>
    </row>
    <row r="181" spans="1:14" ht="14.25" customHeight="1" x14ac:dyDescent="0.2">
      <c r="A181" s="1040" t="s">
        <v>590</v>
      </c>
      <c r="B181" s="1040"/>
      <c r="C181" s="1040" t="s">
        <v>566</v>
      </c>
      <c r="D181" s="1040"/>
      <c r="E181" s="1064" t="s">
        <v>567</v>
      </c>
      <c r="F181" s="1065"/>
      <c r="G181" s="1040" t="s">
        <v>568</v>
      </c>
      <c r="H181" s="1040"/>
      <c r="I181" s="1040" t="s">
        <v>569</v>
      </c>
      <c r="J181" s="1040"/>
      <c r="K181" s="1040" t="s">
        <v>570</v>
      </c>
      <c r="L181" s="1040"/>
    </row>
    <row r="182" spans="1:14" ht="38.25" x14ac:dyDescent="0.2">
      <c r="A182" s="271" t="s">
        <v>571</v>
      </c>
      <c r="B182" s="272" t="s">
        <v>579</v>
      </c>
      <c r="C182" s="272" t="s">
        <v>573</v>
      </c>
      <c r="D182" s="272" t="s">
        <v>574</v>
      </c>
      <c r="E182" s="272" t="s">
        <v>573</v>
      </c>
      <c r="F182" s="272" t="s">
        <v>574</v>
      </c>
      <c r="G182" s="272" t="s">
        <v>573</v>
      </c>
      <c r="H182" s="272" t="s">
        <v>574</v>
      </c>
      <c r="I182" s="272" t="s">
        <v>573</v>
      </c>
      <c r="J182" s="272" t="s">
        <v>574</v>
      </c>
      <c r="K182" s="272" t="s">
        <v>573</v>
      </c>
      <c r="L182" s="272" t="s">
        <v>574</v>
      </c>
    </row>
    <row r="183" spans="1:14" x14ac:dyDescent="0.2">
      <c r="A183" s="287" t="s">
        <v>591</v>
      </c>
      <c r="B183" s="280">
        <f>(1/'Prod. GEXFLO'!J23)*(1/(30/7*44*6))*8</f>
        <v>4.4191919191919199E-5</v>
      </c>
      <c r="C183" s="275">
        <f>E134</f>
        <v>0</v>
      </c>
      <c r="D183" s="275">
        <f>B183*C183</f>
        <v>0</v>
      </c>
      <c r="E183" s="275">
        <f>E135</f>
        <v>0</v>
      </c>
      <c r="F183" s="275">
        <f>B183*E183</f>
        <v>0</v>
      </c>
      <c r="G183" s="275">
        <f>E136</f>
        <v>0</v>
      </c>
      <c r="H183" s="275">
        <f>B183*G183</f>
        <v>0</v>
      </c>
      <c r="I183" s="275">
        <f>E137</f>
        <v>0</v>
      </c>
      <c r="J183" s="275">
        <f>B183*I183</f>
        <v>0</v>
      </c>
      <c r="K183" s="275">
        <f>E138</f>
        <v>0</v>
      </c>
      <c r="L183" s="275">
        <f>B183*K183</f>
        <v>0</v>
      </c>
    </row>
    <row r="184" spans="1:14" x14ac:dyDescent="0.2">
      <c r="A184" s="276" t="s">
        <v>576</v>
      </c>
      <c r="B184" s="280">
        <f>B183/4</f>
        <v>1.10479797979798E-5</v>
      </c>
      <c r="C184" s="275">
        <f>F135</f>
        <v>0</v>
      </c>
      <c r="D184" s="275">
        <f>B184*C184</f>
        <v>0</v>
      </c>
      <c r="E184" s="275">
        <f>F135</f>
        <v>0</v>
      </c>
      <c r="F184" s="275">
        <f>B184*E184</f>
        <v>0</v>
      </c>
      <c r="G184" s="275">
        <f>F135</f>
        <v>0</v>
      </c>
      <c r="H184" s="275">
        <f>B184*G184</f>
        <v>0</v>
      </c>
      <c r="I184" s="275">
        <f>F135</f>
        <v>0</v>
      </c>
      <c r="J184" s="275">
        <f>B184*I184</f>
        <v>0</v>
      </c>
      <c r="K184" s="275">
        <f>F135</f>
        <v>0</v>
      </c>
      <c r="L184" s="275">
        <f>B184*K184</f>
        <v>0</v>
      </c>
      <c r="M184" s="1068"/>
      <c r="N184" s="1069"/>
    </row>
    <row r="185" spans="1:14" x14ac:dyDescent="0.2">
      <c r="A185" s="288" t="s">
        <v>592</v>
      </c>
      <c r="B185" s="289"/>
      <c r="C185" s="290"/>
      <c r="D185" s="291">
        <f>SUM(D183:D184)</f>
        <v>0</v>
      </c>
      <c r="E185" s="290"/>
      <c r="F185" s="291">
        <f>SUM(F183:F184)</f>
        <v>0</v>
      </c>
      <c r="G185" s="290"/>
      <c r="H185" s="291">
        <f>SUM(H183:H184)</f>
        <v>0</v>
      </c>
      <c r="I185" s="290"/>
      <c r="J185" s="291">
        <f>SUM(J183:J184)</f>
        <v>0</v>
      </c>
      <c r="K185" s="290"/>
      <c r="L185" s="291">
        <f>SUM(L183:L184)</f>
        <v>0</v>
      </c>
      <c r="M185" s="427"/>
      <c r="N185" s="428"/>
    </row>
    <row r="186" spans="1:14" x14ac:dyDescent="0.2">
      <c r="A186" s="287" t="s">
        <v>593</v>
      </c>
      <c r="B186" s="280">
        <f>1/'Prod. GEXFLO'!K23*16*(1/188.76)</f>
        <v>2.2306242401936183E-4</v>
      </c>
      <c r="C186" s="275">
        <f>C134</f>
        <v>0</v>
      </c>
      <c r="D186" s="275">
        <f>B186*C186</f>
        <v>0</v>
      </c>
      <c r="E186" s="275">
        <f>C135</f>
        <v>0</v>
      </c>
      <c r="F186" s="275">
        <f>B186*E186</f>
        <v>0</v>
      </c>
      <c r="G186" s="275">
        <f>C136</f>
        <v>0</v>
      </c>
      <c r="H186" s="275">
        <f>B186*G186</f>
        <v>0</v>
      </c>
      <c r="I186" s="275">
        <f>C137</f>
        <v>0</v>
      </c>
      <c r="J186" s="275">
        <f>B186*I186</f>
        <v>0</v>
      </c>
      <c r="K186" s="275">
        <f>C138</f>
        <v>0</v>
      </c>
      <c r="L186" s="275">
        <f>B186*K186</f>
        <v>0</v>
      </c>
    </row>
    <row r="187" spans="1:14" x14ac:dyDescent="0.2">
      <c r="A187" s="276" t="s">
        <v>576</v>
      </c>
      <c r="B187" s="280">
        <f>1/('Prod. GEXFLO'!O23*'Prod. GEXFLO'!K23)*16*(1/188.76)</f>
        <v>7.9665151435486371E-6</v>
      </c>
      <c r="C187" s="275">
        <f>F135</f>
        <v>0</v>
      </c>
      <c r="D187" s="275">
        <f>B187*C187</f>
        <v>0</v>
      </c>
      <c r="E187" s="275">
        <f>F135</f>
        <v>0</v>
      </c>
      <c r="F187" s="275">
        <f>B187*E187</f>
        <v>0</v>
      </c>
      <c r="G187" s="275">
        <f>F135</f>
        <v>0</v>
      </c>
      <c r="H187" s="275">
        <f>B187*G187</f>
        <v>0</v>
      </c>
      <c r="I187" s="275">
        <f>F135</f>
        <v>0</v>
      </c>
      <c r="J187" s="275">
        <f>B187*I187</f>
        <v>0</v>
      </c>
      <c r="K187" s="275">
        <f>F135</f>
        <v>0</v>
      </c>
      <c r="L187" s="275">
        <f>B187*K187</f>
        <v>0</v>
      </c>
      <c r="M187" s="1068"/>
      <c r="N187" s="1069"/>
    </row>
    <row r="188" spans="1:14" x14ac:dyDescent="0.2">
      <c r="A188" s="288" t="s">
        <v>594</v>
      </c>
      <c r="B188" s="289"/>
      <c r="C188" s="290"/>
      <c r="D188" s="291">
        <f>SUM(D186:D187)</f>
        <v>0</v>
      </c>
      <c r="E188" s="290"/>
      <c r="F188" s="291">
        <f>SUM(F186:F187)</f>
        <v>0</v>
      </c>
      <c r="G188" s="290"/>
      <c r="H188" s="291">
        <f>SUM(H186:H187)</f>
        <v>0</v>
      </c>
      <c r="I188" s="290"/>
      <c r="J188" s="291">
        <f>SUM(J186:J187)</f>
        <v>0</v>
      </c>
      <c r="K188" s="290"/>
      <c r="L188" s="291">
        <f>SUM(L186:L187)</f>
        <v>0</v>
      </c>
      <c r="M188" s="427"/>
      <c r="N188" s="428"/>
    </row>
    <row r="189" spans="1:14" x14ac:dyDescent="0.2">
      <c r="A189" s="273" t="s">
        <v>595</v>
      </c>
      <c r="B189" s="280">
        <f>1/'Prod. GEXFLO'!K23*16*(1/188.76)</f>
        <v>2.2306242401936183E-4</v>
      </c>
      <c r="C189" s="275">
        <f>C134</f>
        <v>0</v>
      </c>
      <c r="D189" s="275">
        <f>B189*C189</f>
        <v>0</v>
      </c>
      <c r="E189" s="275">
        <f>C135</f>
        <v>0</v>
      </c>
      <c r="F189" s="275">
        <f>B189*E189</f>
        <v>0</v>
      </c>
      <c r="G189" s="275">
        <f>C136</f>
        <v>0</v>
      </c>
      <c r="H189" s="275">
        <f>B189*G189</f>
        <v>0</v>
      </c>
      <c r="I189" s="275">
        <f>C137</f>
        <v>0</v>
      </c>
      <c r="J189" s="275">
        <f>B189*I189</f>
        <v>0</v>
      </c>
      <c r="K189" s="275">
        <f>C138</f>
        <v>0</v>
      </c>
      <c r="L189" s="275">
        <f>B189*K189</f>
        <v>0</v>
      </c>
    </row>
    <row r="190" spans="1:14" x14ac:dyDescent="0.2">
      <c r="A190" s="276" t="s">
        <v>576</v>
      </c>
      <c r="B190" s="280">
        <f>1/('Prod. GEXFLO'!O23*'Prod. GEXFLO'!K23)*16*(1/188.76)</f>
        <v>7.9665151435486371E-6</v>
      </c>
      <c r="C190" s="275">
        <f>F135</f>
        <v>0</v>
      </c>
      <c r="D190" s="275">
        <f>B190*C190</f>
        <v>0</v>
      </c>
      <c r="E190" s="275">
        <f>F135</f>
        <v>0</v>
      </c>
      <c r="F190" s="275">
        <f>B190*E190</f>
        <v>0</v>
      </c>
      <c r="G190" s="275">
        <f>F136</f>
        <v>0</v>
      </c>
      <c r="H190" s="275">
        <f>B190*G190</f>
        <v>0</v>
      </c>
      <c r="I190" s="275">
        <f>F137</f>
        <v>0</v>
      </c>
      <c r="J190" s="275">
        <f>B190*I190</f>
        <v>0</v>
      </c>
      <c r="K190" s="275">
        <f>F135</f>
        <v>0</v>
      </c>
      <c r="L190" s="275">
        <f>B190*K190</f>
        <v>0</v>
      </c>
      <c r="M190" s="1068"/>
      <c r="N190" s="1069"/>
    </row>
    <row r="191" spans="1:14" x14ac:dyDescent="0.2">
      <c r="A191" s="288" t="s">
        <v>596</v>
      </c>
      <c r="B191" s="289"/>
      <c r="C191" s="290"/>
      <c r="D191" s="291">
        <f>SUM(D189:D190)</f>
        <v>0</v>
      </c>
      <c r="E191" s="290"/>
      <c r="F191" s="291">
        <f>SUM(F189:F190)</f>
        <v>0</v>
      </c>
      <c r="G191" s="290"/>
      <c r="H191" s="291">
        <f>SUM(H189:H190)</f>
        <v>0</v>
      </c>
      <c r="I191" s="290"/>
      <c r="J191" s="291">
        <f>SUM(J189:J190)</f>
        <v>0</v>
      </c>
      <c r="K191" s="290"/>
      <c r="L191" s="291">
        <f>SUM(L189:L190)</f>
        <v>0</v>
      </c>
      <c r="M191" s="427"/>
      <c r="N191" s="428"/>
    </row>
    <row r="192" spans="1:14" x14ac:dyDescent="0.2">
      <c r="A192" s="248"/>
    </row>
  </sheetData>
  <mergeCells count="68">
    <mergeCell ref="M187:N187"/>
    <mergeCell ref="M184:N184"/>
    <mergeCell ref="M190:N190"/>
    <mergeCell ref="M148:N148"/>
    <mergeCell ref="M172:N172"/>
    <mergeCell ref="I169:J169"/>
    <mergeCell ref="K169:L169"/>
    <mergeCell ref="A169:B169"/>
    <mergeCell ref="C169:D169"/>
    <mergeCell ref="E181:F181"/>
    <mergeCell ref="G181:H181"/>
    <mergeCell ref="I181:J181"/>
    <mergeCell ref="K181:L181"/>
    <mergeCell ref="A181:B181"/>
    <mergeCell ref="C181:D181"/>
    <mergeCell ref="E169:F169"/>
    <mergeCell ref="G169:H169"/>
    <mergeCell ref="K157:L157"/>
    <mergeCell ref="A163:B163"/>
    <mergeCell ref="C163:D163"/>
    <mergeCell ref="E163:F163"/>
    <mergeCell ref="G163:H163"/>
    <mergeCell ref="I163:J163"/>
    <mergeCell ref="K163:L163"/>
    <mergeCell ref="A157:B157"/>
    <mergeCell ref="C157:D157"/>
    <mergeCell ref="E157:F157"/>
    <mergeCell ref="G157:H157"/>
    <mergeCell ref="I157:J157"/>
    <mergeCell ref="G145:H145"/>
    <mergeCell ref="I145:J145"/>
    <mergeCell ref="K145:L145"/>
    <mergeCell ref="A151:B151"/>
    <mergeCell ref="C151:D151"/>
    <mergeCell ref="E151:F151"/>
    <mergeCell ref="G151:H151"/>
    <mergeCell ref="I151:J151"/>
    <mergeCell ref="K151:L151"/>
    <mergeCell ref="E145:F145"/>
    <mergeCell ref="A132:B132"/>
    <mergeCell ref="A133:B133"/>
    <mergeCell ref="A145:B145"/>
    <mergeCell ref="C145:D14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92:B92"/>
    <mergeCell ref="A112:A116"/>
    <mergeCell ref="A119:F119"/>
    <mergeCell ref="A120:F120"/>
    <mergeCell ref="A121:B121"/>
    <mergeCell ref="A21:F21"/>
    <mergeCell ref="A50:B50"/>
    <mergeCell ref="A51:F51"/>
    <mergeCell ref="A61:B61"/>
    <mergeCell ref="A62:F62"/>
    <mergeCell ref="A1:F1"/>
    <mergeCell ref="A2:F2"/>
    <mergeCell ref="A3:F3"/>
    <mergeCell ref="A9:F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9D18E"/>
  </sheetPr>
  <dimension ref="A1:AME144"/>
  <sheetViews>
    <sheetView topLeftCell="A65" zoomScale="80" zoomScaleNormal="80" workbookViewId="0">
      <selection activeCell="D85" sqref="D85"/>
    </sheetView>
  </sheetViews>
  <sheetFormatPr defaultRowHeight="14.25" x14ac:dyDescent="0.2"/>
  <cols>
    <col min="1" max="1" width="55.5" style="92" customWidth="1"/>
    <col min="2" max="2" width="17" style="92" customWidth="1"/>
    <col min="3" max="3" width="15.25" style="92" customWidth="1"/>
    <col min="4" max="4" width="16.25" style="92" customWidth="1"/>
    <col min="5" max="1019" width="9" style="92"/>
  </cols>
  <sheetData>
    <row r="1" spans="1:4" ht="15.75" x14ac:dyDescent="0.2">
      <c r="A1" s="1072" t="s">
        <v>454</v>
      </c>
      <c r="B1" s="1073"/>
      <c r="C1" s="1073"/>
      <c r="D1" s="1074"/>
    </row>
    <row r="2" spans="1:4" ht="15.75" x14ac:dyDescent="0.2">
      <c r="A2" s="1075" t="s">
        <v>455</v>
      </c>
      <c r="B2" s="1043"/>
      <c r="C2" s="1043"/>
      <c r="D2" s="1076"/>
    </row>
    <row r="3" spans="1:4" ht="15.75" customHeight="1" x14ac:dyDescent="0.2">
      <c r="A3" s="1075" t="s">
        <v>456</v>
      </c>
      <c r="B3" s="1043"/>
      <c r="C3" s="1043"/>
      <c r="D3" s="1076"/>
    </row>
    <row r="4" spans="1:4" ht="15.75" x14ac:dyDescent="0.2">
      <c r="A4" s="351"/>
      <c r="B4" s="94"/>
      <c r="C4" s="95" t="s">
        <v>457</v>
      </c>
      <c r="D4" s="352" t="s">
        <v>458</v>
      </c>
    </row>
    <row r="5" spans="1:4" x14ac:dyDescent="0.2">
      <c r="A5" s="353"/>
      <c r="B5" s="97" t="s">
        <v>461</v>
      </c>
      <c r="C5" s="98">
        <f>MC!C11</f>
        <v>0</v>
      </c>
      <c r="D5" s="354">
        <f>MC!E11</f>
        <v>0</v>
      </c>
    </row>
    <row r="6" spans="1:4" x14ac:dyDescent="0.2">
      <c r="A6" s="353"/>
      <c r="B6" s="97" t="s">
        <v>462</v>
      </c>
      <c r="C6" s="99">
        <f>MC!D8</f>
        <v>0</v>
      </c>
      <c r="D6" s="355">
        <f>MC!D8</f>
        <v>0</v>
      </c>
    </row>
    <row r="7" spans="1:4" x14ac:dyDescent="0.2">
      <c r="A7" s="353"/>
      <c r="B7" s="97" t="s">
        <v>463</v>
      </c>
      <c r="C7" s="99">
        <f>MC!C8</f>
        <v>0</v>
      </c>
      <c r="D7" s="355">
        <f>MC!C8</f>
        <v>0</v>
      </c>
    </row>
    <row r="8" spans="1:4" x14ac:dyDescent="0.2">
      <c r="A8" s="353"/>
      <c r="B8" s="97" t="s">
        <v>464</v>
      </c>
      <c r="C8" s="100">
        <f>MC!E8</f>
        <v>0</v>
      </c>
      <c r="D8" s="356">
        <f>MC!E8</f>
        <v>0</v>
      </c>
    </row>
    <row r="9" spans="1:4" x14ac:dyDescent="0.2">
      <c r="A9" s="1077"/>
      <c r="B9" s="1044"/>
      <c r="C9" s="1044"/>
      <c r="D9" s="1078"/>
    </row>
    <row r="10" spans="1:4" ht="66.75" customHeight="1" x14ac:dyDescent="0.2">
      <c r="A10" s="357" t="s">
        <v>465</v>
      </c>
      <c r="B10" s="188" t="s">
        <v>466</v>
      </c>
      <c r="C10" s="188" t="s">
        <v>597</v>
      </c>
      <c r="D10" s="358" t="s">
        <v>598</v>
      </c>
    </row>
    <row r="11" spans="1:4" ht="14.25" customHeight="1" x14ac:dyDescent="0.2">
      <c r="A11" s="359" t="s">
        <v>469</v>
      </c>
      <c r="B11" s="321"/>
      <c r="C11" s="321"/>
      <c r="D11" s="360"/>
    </row>
    <row r="12" spans="1:4" ht="14.25" customHeight="1" x14ac:dyDescent="0.2">
      <c r="A12" s="361" t="s">
        <v>470</v>
      </c>
      <c r="B12" s="102" t="s">
        <v>471</v>
      </c>
      <c r="C12" s="102" t="s">
        <v>472</v>
      </c>
      <c r="D12" s="362" t="s">
        <v>472</v>
      </c>
    </row>
    <row r="13" spans="1:4" ht="14.25" customHeight="1" x14ac:dyDescent="0.2">
      <c r="A13" s="363" t="s">
        <v>473</v>
      </c>
      <c r="B13" s="105"/>
      <c r="C13" s="106">
        <f>C5</f>
        <v>0</v>
      </c>
      <c r="D13" s="364">
        <f>D5</f>
        <v>0</v>
      </c>
    </row>
    <row r="14" spans="1:4" ht="14.25" customHeight="1" x14ac:dyDescent="0.2">
      <c r="A14" s="363" t="s">
        <v>474</v>
      </c>
      <c r="B14" s="417">
        <v>0.2</v>
      </c>
      <c r="C14" s="106">
        <f>C13*$B$14</f>
        <v>0</v>
      </c>
      <c r="D14" s="364">
        <f>D13*$B$14</f>
        <v>0</v>
      </c>
    </row>
    <row r="15" spans="1:4" ht="14.25" customHeight="1" x14ac:dyDescent="0.2">
      <c r="A15" s="363" t="s">
        <v>475</v>
      </c>
      <c r="B15" s="109"/>
      <c r="C15" s="106"/>
      <c r="D15" s="364"/>
    </row>
    <row r="16" spans="1:4" ht="14.25" customHeight="1" x14ac:dyDescent="0.2">
      <c r="A16" s="363" t="s">
        <v>476</v>
      </c>
      <c r="B16" s="109"/>
      <c r="C16" s="106"/>
      <c r="D16" s="364"/>
    </row>
    <row r="17" spans="1:4" ht="14.25" customHeight="1" x14ac:dyDescent="0.2">
      <c r="A17" s="363" t="s">
        <v>477</v>
      </c>
      <c r="B17" s="109"/>
      <c r="C17" s="106"/>
      <c r="D17" s="364"/>
    </row>
    <row r="18" spans="1:4" ht="14.25" customHeight="1" x14ac:dyDescent="0.2">
      <c r="A18" s="363" t="s">
        <v>599</v>
      </c>
      <c r="B18" s="110"/>
      <c r="C18" s="106"/>
      <c r="D18" s="364"/>
    </row>
    <row r="19" spans="1:4" ht="14.25" customHeight="1" x14ac:dyDescent="0.2">
      <c r="A19" s="365" t="s">
        <v>479</v>
      </c>
      <c r="B19" s="112"/>
      <c r="C19" s="121">
        <f>SUM(C13:C18)</f>
        <v>0</v>
      </c>
      <c r="D19" s="366">
        <f>SUM(D13:D18)</f>
        <v>0</v>
      </c>
    </row>
    <row r="20" spans="1:4" ht="14.25" customHeight="1" x14ac:dyDescent="0.2">
      <c r="A20" s="1079"/>
      <c r="B20" s="1045"/>
      <c r="C20" s="114"/>
      <c r="D20" s="368"/>
    </row>
    <row r="21" spans="1:4" ht="14.25" customHeight="1" x14ac:dyDescent="0.2">
      <c r="A21" s="1070" t="s">
        <v>480</v>
      </c>
      <c r="B21" s="1046"/>
      <c r="C21" s="1046"/>
      <c r="D21" s="1071"/>
    </row>
    <row r="22" spans="1:4" ht="14.25" customHeight="1" x14ac:dyDescent="0.2">
      <c r="A22" s="369" t="s">
        <v>481</v>
      </c>
      <c r="B22" s="117" t="s">
        <v>471</v>
      </c>
      <c r="C22" s="117" t="s">
        <v>472</v>
      </c>
      <c r="D22" s="370" t="s">
        <v>472</v>
      </c>
    </row>
    <row r="23" spans="1:4" ht="14.25" customHeight="1" x14ac:dyDescent="0.2">
      <c r="A23" s="371" t="s">
        <v>482</v>
      </c>
      <c r="B23" s="108">
        <f>1/12</f>
        <v>8.3333333333333329E-2</v>
      </c>
      <c r="C23" s="106">
        <f>ROUND($B23*C$19,2)</f>
        <v>0</v>
      </c>
      <c r="D23" s="364">
        <f>ROUND($B23*D$19,2)</f>
        <v>0</v>
      </c>
    </row>
    <row r="24" spans="1:4" ht="14.25" customHeight="1" x14ac:dyDescent="0.2">
      <c r="A24" s="371" t="s">
        <v>483</v>
      </c>
      <c r="B24" s="108">
        <f>1/3*1/12</f>
        <v>2.7777777777777776E-2</v>
      </c>
      <c r="C24" s="106">
        <f>C$19*$B$24</f>
        <v>0</v>
      </c>
      <c r="D24" s="364">
        <f>D$19*$B$24</f>
        <v>0</v>
      </c>
    </row>
    <row r="25" spans="1:4" ht="14.25" customHeight="1" x14ac:dyDescent="0.2">
      <c r="A25" s="365" t="s">
        <v>479</v>
      </c>
      <c r="B25" s="120">
        <f>SUM(B23:B24)</f>
        <v>0.1111111111111111</v>
      </c>
      <c r="C25" s="121">
        <f>SUM(C23:C24)</f>
        <v>0</v>
      </c>
      <c r="D25" s="366">
        <f>SUM(D23:D24)</f>
        <v>0</v>
      </c>
    </row>
    <row r="26" spans="1:4" ht="14.25" customHeight="1" x14ac:dyDescent="0.2">
      <c r="A26" s="369" t="s">
        <v>484</v>
      </c>
      <c r="B26" s="117" t="s">
        <v>471</v>
      </c>
      <c r="C26" s="117" t="s">
        <v>472</v>
      </c>
      <c r="D26" s="370" t="s">
        <v>472</v>
      </c>
    </row>
    <row r="27" spans="1:4" ht="14.25" customHeight="1" x14ac:dyDescent="0.2">
      <c r="A27" s="369" t="s">
        <v>485</v>
      </c>
      <c r="B27" s="123"/>
      <c r="C27" s="123"/>
      <c r="D27" s="372"/>
    </row>
    <row r="28" spans="1:4" ht="14.25" customHeight="1" x14ac:dyDescent="0.2">
      <c r="A28" s="371" t="s">
        <v>486</v>
      </c>
      <c r="B28" s="108">
        <v>0.2</v>
      </c>
      <c r="C28" s="125">
        <f t="shared" ref="C28:C35" si="0">ROUND(($C$19+$C$25)*B28,2)</f>
        <v>0</v>
      </c>
      <c r="D28" s="373">
        <f t="shared" ref="D28:D35" si="1">ROUND(($D$19+$D$25)*B28,2)</f>
        <v>0</v>
      </c>
    </row>
    <row r="29" spans="1:4" ht="14.25" customHeight="1" x14ac:dyDescent="0.2">
      <c r="A29" s="371" t="s">
        <v>487</v>
      </c>
      <c r="B29" s="108">
        <v>2.5000000000000001E-2</v>
      </c>
      <c r="C29" s="125">
        <f t="shared" si="0"/>
        <v>0</v>
      </c>
      <c r="D29" s="373">
        <f t="shared" si="1"/>
        <v>0</v>
      </c>
    </row>
    <row r="30" spans="1:4" ht="14.25" customHeight="1" x14ac:dyDescent="0.2">
      <c r="A30" s="371" t="s">
        <v>488</v>
      </c>
      <c r="B30" s="108">
        <v>0.03</v>
      </c>
      <c r="C30" s="125">
        <f t="shared" si="0"/>
        <v>0</v>
      </c>
      <c r="D30" s="373">
        <f t="shared" si="1"/>
        <v>0</v>
      </c>
    </row>
    <row r="31" spans="1:4" ht="14.25" customHeight="1" x14ac:dyDescent="0.2">
      <c r="A31" s="371" t="s">
        <v>489</v>
      </c>
      <c r="B31" s="108">
        <v>1.4999999999999999E-2</v>
      </c>
      <c r="C31" s="125">
        <f t="shared" si="0"/>
        <v>0</v>
      </c>
      <c r="D31" s="373">
        <f t="shared" si="1"/>
        <v>0</v>
      </c>
    </row>
    <row r="32" spans="1:4" ht="14.25" customHeight="1" x14ac:dyDescent="0.2">
      <c r="A32" s="371" t="s">
        <v>490</v>
      </c>
      <c r="B32" s="108">
        <v>0.01</v>
      </c>
      <c r="C32" s="125">
        <f t="shared" si="0"/>
        <v>0</v>
      </c>
      <c r="D32" s="373">
        <f t="shared" si="1"/>
        <v>0</v>
      </c>
    </row>
    <row r="33" spans="1:4" ht="14.25" customHeight="1" x14ac:dyDescent="0.2">
      <c r="A33" s="371" t="s">
        <v>491</v>
      </c>
      <c r="B33" s="108">
        <v>6.0000000000000001E-3</v>
      </c>
      <c r="C33" s="125">
        <f t="shared" si="0"/>
        <v>0</v>
      </c>
      <c r="D33" s="373">
        <f t="shared" si="1"/>
        <v>0</v>
      </c>
    </row>
    <row r="34" spans="1:4" ht="14.25" customHeight="1" x14ac:dyDescent="0.2">
      <c r="A34" s="371" t="s">
        <v>492</v>
      </c>
      <c r="B34" s="108">
        <v>2E-3</v>
      </c>
      <c r="C34" s="125">
        <f t="shared" si="0"/>
        <v>0</v>
      </c>
      <c r="D34" s="373">
        <f t="shared" si="1"/>
        <v>0</v>
      </c>
    </row>
    <row r="35" spans="1:4" ht="14.25" customHeight="1" x14ac:dyDescent="0.2">
      <c r="A35" s="371" t="s">
        <v>493</v>
      </c>
      <c r="B35" s="108">
        <v>0.08</v>
      </c>
      <c r="C35" s="125">
        <f t="shared" si="0"/>
        <v>0</v>
      </c>
      <c r="D35" s="373">
        <f t="shared" si="1"/>
        <v>0</v>
      </c>
    </row>
    <row r="36" spans="1:4" ht="14.25" customHeight="1" x14ac:dyDescent="0.2">
      <c r="A36" s="365" t="s">
        <v>479</v>
      </c>
      <c r="B36" s="120">
        <f>SUM(B28:B35)</f>
        <v>0.36800000000000005</v>
      </c>
      <c r="C36" s="121">
        <f>SUM(C27:C35)</f>
        <v>0</v>
      </c>
      <c r="D36" s="366">
        <f>SUM(D27:D35)</f>
        <v>0</v>
      </c>
    </row>
    <row r="37" spans="1:4" ht="14.25" customHeight="1" x14ac:dyDescent="0.2">
      <c r="A37" s="369" t="s">
        <v>494</v>
      </c>
      <c r="B37" s="117" t="s">
        <v>495</v>
      </c>
      <c r="C37" s="117" t="s">
        <v>472</v>
      </c>
      <c r="D37" s="370" t="s">
        <v>472</v>
      </c>
    </row>
    <row r="38" spans="1:4" ht="14.25" customHeight="1" x14ac:dyDescent="0.2">
      <c r="A38" s="119" t="s">
        <v>496</v>
      </c>
      <c r="B38" s="127">
        <f>MC!D92</f>
        <v>0</v>
      </c>
      <c r="C38" s="106">
        <f>ROUND(((2*22*$B$38)-0.06*C$13),2)</f>
        <v>0</v>
      </c>
      <c r="D38" s="364">
        <f>ROUND(((2*22*$B$38)-0.06*D$13),2)</f>
        <v>0</v>
      </c>
    </row>
    <row r="39" spans="1:4" ht="14.25" customHeight="1" x14ac:dyDescent="0.2">
      <c r="A39" s="478" t="s">
        <v>497</v>
      </c>
      <c r="B39" s="128"/>
      <c r="C39" s="125">
        <f>MC!E21</f>
        <v>0</v>
      </c>
      <c r="D39" s="373">
        <f>MC!E22</f>
        <v>0</v>
      </c>
    </row>
    <row r="40" spans="1:4" ht="14.25" customHeight="1" x14ac:dyDescent="0.2">
      <c r="A40" s="119" t="s">
        <v>498</v>
      </c>
      <c r="B40" s="108">
        <f>MC!C26</f>
        <v>0</v>
      </c>
      <c r="C40" s="125"/>
      <c r="D40" s="373"/>
    </row>
    <row r="41" spans="1:4" ht="14.25" customHeight="1" x14ac:dyDescent="0.2">
      <c r="A41" s="119" t="s">
        <v>499</v>
      </c>
      <c r="B41" s="129">
        <f>MC!E25</f>
        <v>0</v>
      </c>
      <c r="C41" s="125">
        <f>B41</f>
        <v>0</v>
      </c>
      <c r="D41" s="373">
        <f>B41</f>
        <v>0</v>
      </c>
    </row>
    <row r="42" spans="1:4" ht="14.2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>$B$42*D19</f>
        <v>0</v>
      </c>
    </row>
    <row r="43" spans="1:4" ht="14.25" customHeight="1" x14ac:dyDescent="0.2">
      <c r="A43" s="119" t="s">
        <v>501</v>
      </c>
      <c r="B43" s="108"/>
      <c r="C43" s="125"/>
      <c r="D43" s="373"/>
    </row>
    <row r="44" spans="1:4" ht="14.25" customHeight="1" x14ac:dyDescent="0.2">
      <c r="A44" s="365" t="s">
        <v>479</v>
      </c>
      <c r="B44" s="112"/>
      <c r="C44" s="121">
        <f>SUM(C38:C43)</f>
        <v>0</v>
      </c>
      <c r="D44" s="366">
        <f>SUM(D38:D43)</f>
        <v>0</v>
      </c>
    </row>
    <row r="45" spans="1:4" ht="14.25" customHeight="1" x14ac:dyDescent="0.2">
      <c r="A45" s="361" t="s">
        <v>502</v>
      </c>
      <c r="B45" s="102" t="s">
        <v>471</v>
      </c>
      <c r="C45" s="102" t="s">
        <v>472</v>
      </c>
      <c r="D45" s="362" t="s">
        <v>472</v>
      </c>
    </row>
    <row r="46" spans="1:4" ht="14.25" customHeight="1" x14ac:dyDescent="0.2">
      <c r="A46" s="371" t="s">
        <v>481</v>
      </c>
      <c r="B46" s="130">
        <f>B25</f>
        <v>0.1111111111111111</v>
      </c>
      <c r="C46" s="131">
        <f>C25</f>
        <v>0</v>
      </c>
      <c r="D46" s="374">
        <f>D25</f>
        <v>0</v>
      </c>
    </row>
    <row r="47" spans="1:4" ht="14.25" customHeight="1" x14ac:dyDescent="0.2">
      <c r="A47" s="371" t="s">
        <v>503</v>
      </c>
      <c r="B47" s="130">
        <f>B36</f>
        <v>0.36800000000000005</v>
      </c>
      <c r="C47" s="131">
        <f>C36</f>
        <v>0</v>
      </c>
      <c r="D47" s="374">
        <f>D36</f>
        <v>0</v>
      </c>
    </row>
    <row r="48" spans="1:4" ht="14.25" customHeight="1" x14ac:dyDescent="0.2">
      <c r="A48" s="371" t="s">
        <v>494</v>
      </c>
      <c r="B48" s="130"/>
      <c r="C48" s="131">
        <f>C44</f>
        <v>0</v>
      </c>
      <c r="D48" s="374">
        <f>D44</f>
        <v>0</v>
      </c>
    </row>
    <row r="49" spans="1:4" ht="14.25" customHeight="1" x14ac:dyDescent="0.2">
      <c r="A49" s="365" t="s">
        <v>479</v>
      </c>
      <c r="B49" s="112"/>
      <c r="C49" s="121">
        <f>SUM(C46:C48)</f>
        <v>0</v>
      </c>
      <c r="D49" s="366">
        <f>SUM(D46:D48)</f>
        <v>0</v>
      </c>
    </row>
    <row r="50" spans="1:4" ht="14.25" customHeight="1" x14ac:dyDescent="0.2">
      <c r="A50" s="1079"/>
      <c r="B50" s="1045"/>
      <c r="C50" s="114"/>
      <c r="D50" s="368"/>
    </row>
    <row r="51" spans="1:4" s="133" customFormat="1" ht="14.25" customHeight="1" x14ac:dyDescent="0.2">
      <c r="A51" s="1070" t="s">
        <v>504</v>
      </c>
      <c r="B51" s="1046"/>
      <c r="C51" s="1046"/>
      <c r="D51" s="1071"/>
    </row>
    <row r="52" spans="1:4" ht="14.25" customHeight="1" x14ac:dyDescent="0.2">
      <c r="A52" s="361" t="s">
        <v>505</v>
      </c>
      <c r="B52" s="102" t="s">
        <v>471</v>
      </c>
      <c r="C52" s="102" t="s">
        <v>472</v>
      </c>
      <c r="D52" s="362" t="s">
        <v>472</v>
      </c>
    </row>
    <row r="53" spans="1:4" ht="14.25" customHeight="1" x14ac:dyDescent="0.2">
      <c r="A53" s="369" t="s">
        <v>506</v>
      </c>
      <c r="B53" s="134"/>
      <c r="C53" s="134"/>
      <c r="D53" s="375"/>
    </row>
    <row r="54" spans="1:4" ht="14.25" customHeight="1" x14ac:dyDescent="0.2">
      <c r="A54" s="371" t="s">
        <v>507</v>
      </c>
      <c r="B54" s="130">
        <f>1/12*0.05</f>
        <v>4.1666666666666666E-3</v>
      </c>
      <c r="C54" s="136">
        <f>C19*$B54</f>
        <v>0</v>
      </c>
      <c r="D54" s="376">
        <f t="shared" ref="D54" si="2">D19*$B54</f>
        <v>0</v>
      </c>
    </row>
    <row r="55" spans="1:4" ht="14.25" customHeight="1" x14ac:dyDescent="0.2">
      <c r="A55" s="371" t="s">
        <v>508</v>
      </c>
      <c r="B55" s="130">
        <f>B35*B54</f>
        <v>3.3333333333333332E-4</v>
      </c>
      <c r="C55" s="136">
        <f>$B$55*C19</f>
        <v>0</v>
      </c>
      <c r="D55" s="376">
        <f t="shared" ref="D55" si="3">$B$55*D19</f>
        <v>0</v>
      </c>
    </row>
    <row r="56" spans="1:4" ht="14.25" customHeight="1" x14ac:dyDescent="0.2">
      <c r="A56" s="371" t="s">
        <v>509</v>
      </c>
      <c r="B56" s="130">
        <v>0</v>
      </c>
      <c r="C56" s="136">
        <f>C35*$B56</f>
        <v>0</v>
      </c>
      <c r="D56" s="376">
        <f t="shared" ref="D56" si="4">D35*$B56</f>
        <v>0</v>
      </c>
    </row>
    <row r="57" spans="1:4" ht="14.25" customHeight="1" x14ac:dyDescent="0.2">
      <c r="A57" s="371" t="s">
        <v>510</v>
      </c>
      <c r="B57" s="130">
        <f>1/12*1/30*7</f>
        <v>1.9444444444444441E-2</v>
      </c>
      <c r="C57" s="131">
        <f>C19*$B57</f>
        <v>0</v>
      </c>
      <c r="D57" s="374">
        <f t="shared" ref="D57" si="5">D19*$B57</f>
        <v>0</v>
      </c>
    </row>
    <row r="58" spans="1:4" ht="14.25" customHeight="1" x14ac:dyDescent="0.2">
      <c r="A58" s="371" t="s">
        <v>511</v>
      </c>
      <c r="B58" s="130">
        <f>B36*B57</f>
        <v>7.1555555555555556E-3</v>
      </c>
      <c r="C58" s="131">
        <f>$B58*C19</f>
        <v>0</v>
      </c>
      <c r="D58" s="374">
        <f t="shared" ref="D58" si="6">$B58*D19</f>
        <v>0</v>
      </c>
    </row>
    <row r="59" spans="1:4" ht="14.25" customHeight="1" x14ac:dyDescent="0.2">
      <c r="A59" s="371" t="s">
        <v>512</v>
      </c>
      <c r="B59" s="130">
        <f>B35*40/100*90/100*(1+1/12+1/12+1/3*1/12)</f>
        <v>3.4399999999999993E-2</v>
      </c>
      <c r="C59" s="131">
        <f>C19*$B59</f>
        <v>0</v>
      </c>
      <c r="D59" s="374">
        <f t="shared" ref="D59" si="7">D19*$B59</f>
        <v>0</v>
      </c>
    </row>
    <row r="60" spans="1:4" ht="14.25" customHeight="1" x14ac:dyDescent="0.2">
      <c r="A60" s="365" t="s">
        <v>479</v>
      </c>
      <c r="B60" s="120">
        <f>SUM(B54:B59)</f>
        <v>6.5499999999999989E-2</v>
      </c>
      <c r="C60" s="137">
        <f>SUM(C54:C59)</f>
        <v>0</v>
      </c>
      <c r="D60" s="377">
        <f>SUM(D54:D59)</f>
        <v>0</v>
      </c>
    </row>
    <row r="61" spans="1:4" ht="14.25" customHeight="1" x14ac:dyDescent="0.2">
      <c r="A61" s="1079"/>
      <c r="B61" s="1045"/>
      <c r="C61" s="322"/>
      <c r="D61" s="378"/>
    </row>
    <row r="62" spans="1:4" ht="14.25" customHeight="1" x14ac:dyDescent="0.2">
      <c r="A62" s="1070" t="s">
        <v>513</v>
      </c>
      <c r="B62" s="1046"/>
      <c r="C62" s="1046"/>
      <c r="D62" s="1071"/>
    </row>
    <row r="63" spans="1:4" ht="14.25" customHeight="1" x14ac:dyDescent="0.2">
      <c r="A63" s="369" t="s">
        <v>48</v>
      </c>
      <c r="B63" s="117"/>
      <c r="C63" s="117"/>
      <c r="D63" s="370"/>
    </row>
    <row r="64" spans="1:4" ht="14.25" customHeight="1" x14ac:dyDescent="0.2">
      <c r="A64" s="371" t="s">
        <v>49</v>
      </c>
      <c r="B64" s="108">
        <f>1/12</f>
        <v>8.3333333333333329E-2</v>
      </c>
      <c r="C64" s="125">
        <f>B64*($C$19+$C$49+$C$60)</f>
        <v>0</v>
      </c>
      <c r="D64" s="373">
        <f>B64*($D$19+$D$49+$D$60)</f>
        <v>0</v>
      </c>
    </row>
    <row r="65" spans="1:4" ht="14.25" customHeight="1" x14ac:dyDescent="0.2">
      <c r="A65" s="371" t="s">
        <v>514</v>
      </c>
      <c r="B65" s="108">
        <f>MC!E56/30/12</f>
        <v>1.3538888888888885E-2</v>
      </c>
      <c r="C65" s="125">
        <f>B65*($C$19+$C$49+$C$60)</f>
        <v>0</v>
      </c>
      <c r="D65" s="373">
        <f>B65*($D$19+$D$49+$D$60)</f>
        <v>0</v>
      </c>
    </row>
    <row r="66" spans="1:4" ht="14.25" customHeight="1" x14ac:dyDescent="0.2">
      <c r="A66" s="371" t="s">
        <v>515</v>
      </c>
      <c r="B66" s="139">
        <f>(5/30)/12*MC!F58*MC!C59</f>
        <v>1.0764583333333333E-4</v>
      </c>
      <c r="C66" s="125">
        <f>B66*($C$19+$C$49+$C$60)</f>
        <v>0</v>
      </c>
      <c r="D66" s="373">
        <f>B66*($D$19+$D$49+$D$60)</f>
        <v>0</v>
      </c>
    </row>
    <row r="67" spans="1:4" ht="14.25" customHeight="1" x14ac:dyDescent="0.2">
      <c r="A67" s="371" t="s">
        <v>516</v>
      </c>
      <c r="B67" s="139">
        <f>MC!C61/30/12</f>
        <v>2.6830555555555553E-3</v>
      </c>
      <c r="C67" s="125">
        <f>B67*($C$19+$C$49+$C$60)</f>
        <v>0</v>
      </c>
      <c r="D67" s="373">
        <f>B67*($D$19+$D$49+$D$60)</f>
        <v>0</v>
      </c>
    </row>
    <row r="68" spans="1:4" ht="14.25" customHeight="1" x14ac:dyDescent="0.2">
      <c r="A68" s="371" t="s">
        <v>517</v>
      </c>
      <c r="B68" s="108"/>
      <c r="C68" s="125"/>
      <c r="D68" s="373"/>
    </row>
    <row r="69" spans="1:4" ht="14.25" customHeight="1" x14ac:dyDescent="0.2">
      <c r="A69" s="379" t="s">
        <v>518</v>
      </c>
      <c r="B69" s="141">
        <f>SUM(B64:B68)</f>
        <v>9.9662923611111107E-2</v>
      </c>
      <c r="C69" s="142">
        <f>SUM(C64:C68)</f>
        <v>0</v>
      </c>
      <c r="D69" s="380">
        <f>SUM(D64:D68)</f>
        <v>0</v>
      </c>
    </row>
    <row r="70" spans="1:4" ht="14.25" customHeight="1" x14ac:dyDescent="0.2">
      <c r="A70" s="369" t="s">
        <v>519</v>
      </c>
      <c r="B70" s="117"/>
      <c r="C70" s="117"/>
      <c r="D70" s="370"/>
    </row>
    <row r="71" spans="1:4" ht="14.25" customHeight="1" x14ac:dyDescent="0.2">
      <c r="A71" s="371" t="s">
        <v>520</v>
      </c>
      <c r="B71" s="108"/>
      <c r="C71" s="125"/>
      <c r="D71" s="373"/>
    </row>
    <row r="72" spans="1:4" ht="14.25" customHeight="1" x14ac:dyDescent="0.2">
      <c r="A72" s="379" t="s">
        <v>518</v>
      </c>
      <c r="B72" s="141"/>
      <c r="C72" s="142">
        <f>C71</f>
        <v>0</v>
      </c>
      <c r="D72" s="380"/>
    </row>
    <row r="73" spans="1:4" ht="14.25" customHeight="1" x14ac:dyDescent="0.2">
      <c r="A73" s="369" t="s">
        <v>70</v>
      </c>
      <c r="B73" s="117"/>
      <c r="C73" s="117"/>
      <c r="D73" s="370"/>
    </row>
    <row r="74" spans="1:4" ht="14.25" customHeight="1" x14ac:dyDescent="0.2">
      <c r="A74" s="371" t="s">
        <v>71</v>
      </c>
      <c r="B74" s="108">
        <f>120/30*MC!C64*MC!C65</f>
        <v>6.18624E-3</v>
      </c>
      <c r="C74" s="125">
        <f>(((C19*2)+ (C19*1/3))+(C36)+(C44-C38-C39))*$B$74</f>
        <v>0</v>
      </c>
      <c r="D74" s="373">
        <f>(((D19*2)+ (D19*1/3))+(D36)+(D44-D38-D39))*$B$74</f>
        <v>0</v>
      </c>
    </row>
    <row r="75" spans="1:4" ht="14.25" customHeight="1" x14ac:dyDescent="0.2">
      <c r="A75" s="379" t="s">
        <v>479</v>
      </c>
      <c r="B75" s="141"/>
      <c r="C75" s="142"/>
      <c r="D75" s="380"/>
    </row>
    <row r="76" spans="1:4" ht="14.25" customHeight="1" x14ac:dyDescent="0.2">
      <c r="A76" s="361" t="s">
        <v>521</v>
      </c>
      <c r="B76" s="102"/>
      <c r="C76" s="102"/>
      <c r="D76" s="362"/>
    </row>
    <row r="77" spans="1:4" ht="14.25" customHeight="1" x14ac:dyDescent="0.2">
      <c r="A77" s="371" t="s">
        <v>48</v>
      </c>
      <c r="B77" s="130">
        <f>B69</f>
        <v>9.9662923611111107E-2</v>
      </c>
      <c r="C77" s="131">
        <f>C69</f>
        <v>0</v>
      </c>
      <c r="D77" s="374">
        <f>D69</f>
        <v>0</v>
      </c>
    </row>
    <row r="78" spans="1:4" ht="14.25" customHeight="1" x14ac:dyDescent="0.2">
      <c r="A78" s="371" t="s">
        <v>519</v>
      </c>
      <c r="B78" s="130">
        <f>B72</f>
        <v>0</v>
      </c>
      <c r="C78" s="131">
        <f>C72</f>
        <v>0</v>
      </c>
      <c r="D78" s="374">
        <f>D72</f>
        <v>0</v>
      </c>
    </row>
    <row r="79" spans="1:4" ht="14.25" customHeight="1" x14ac:dyDescent="0.2">
      <c r="A79" s="371" t="s">
        <v>70</v>
      </c>
      <c r="B79" s="130">
        <f>B74</f>
        <v>6.18624E-3</v>
      </c>
      <c r="C79" s="131">
        <f>C74</f>
        <v>0</v>
      </c>
      <c r="D79" s="374">
        <f>D74</f>
        <v>0</v>
      </c>
    </row>
    <row r="80" spans="1:4" ht="14.25" customHeight="1" x14ac:dyDescent="0.2">
      <c r="A80" s="365" t="s">
        <v>479</v>
      </c>
      <c r="B80" s="112"/>
      <c r="C80" s="121">
        <f>SUM(C77:C79)</f>
        <v>0</v>
      </c>
      <c r="D80" s="366">
        <f>SUM(D77:D79)</f>
        <v>0</v>
      </c>
    </row>
    <row r="81" spans="1:4" ht="14.25" customHeight="1" x14ac:dyDescent="0.2">
      <c r="A81" s="367"/>
      <c r="B81" s="114"/>
      <c r="C81" s="114"/>
      <c r="D81" s="368"/>
    </row>
    <row r="82" spans="1:4" ht="14.25" customHeight="1" x14ac:dyDescent="0.2">
      <c r="A82" s="381" t="s">
        <v>522</v>
      </c>
      <c r="B82" s="200"/>
      <c r="C82" s="200"/>
      <c r="D82" s="382"/>
    </row>
    <row r="83" spans="1:4" ht="14.25" customHeight="1" x14ac:dyDescent="0.2">
      <c r="A83" s="361" t="s">
        <v>523</v>
      </c>
      <c r="B83" s="102" t="s">
        <v>495</v>
      </c>
      <c r="C83" s="102" t="s">
        <v>472</v>
      </c>
      <c r="D83" s="362" t="s">
        <v>472</v>
      </c>
    </row>
    <row r="84" spans="1:4" ht="14.25" customHeight="1" x14ac:dyDescent="0.2">
      <c r="A84" s="371" t="s">
        <v>524</v>
      </c>
      <c r="B84" s="414">
        <f>Insumos!G117</f>
        <v>0</v>
      </c>
      <c r="C84" s="106">
        <f>B84</f>
        <v>0</v>
      </c>
      <c r="D84" s="364">
        <f>B84</f>
        <v>0</v>
      </c>
    </row>
    <row r="85" spans="1:4" ht="14.25" customHeight="1" x14ac:dyDescent="0.2">
      <c r="A85" s="383" t="s">
        <v>525</v>
      </c>
      <c r="B85" s="414">
        <f>Insumos!G69</f>
        <v>0</v>
      </c>
      <c r="C85" s="106">
        <f>B85</f>
        <v>0</v>
      </c>
      <c r="D85" s="364">
        <f>B85</f>
        <v>0</v>
      </c>
    </row>
    <row r="86" spans="1:4" ht="14.25" customHeight="1" x14ac:dyDescent="0.2">
      <c r="A86" s="383" t="s">
        <v>526</v>
      </c>
      <c r="B86" s="415">
        <v>0</v>
      </c>
      <c r="C86" s="106"/>
      <c r="D86" s="364"/>
    </row>
    <row r="87" spans="1:4" ht="14.25" customHeight="1" x14ac:dyDescent="0.2">
      <c r="A87" s="383" t="s">
        <v>527</v>
      </c>
      <c r="B87" s="416"/>
      <c r="C87" s="106">
        <f>Insumos!I122</f>
        <v>0</v>
      </c>
      <c r="D87" s="364">
        <f>Insumos!H122</f>
        <v>0</v>
      </c>
    </row>
    <row r="88" spans="1:4" ht="14.25" customHeight="1" x14ac:dyDescent="0.2">
      <c r="A88" s="383" t="s">
        <v>528</v>
      </c>
      <c r="B88" s="417">
        <v>0</v>
      </c>
      <c r="C88" s="106"/>
      <c r="D88" s="364"/>
    </row>
    <row r="89" spans="1:4" ht="14.25" customHeight="1" x14ac:dyDescent="0.2">
      <c r="A89" s="383" t="s">
        <v>600</v>
      </c>
      <c r="B89" s="414">
        <v>0</v>
      </c>
      <c r="C89" s="106"/>
      <c r="D89" s="364"/>
    </row>
    <row r="90" spans="1:4" ht="14.25" customHeight="1" x14ac:dyDescent="0.2">
      <c r="A90" s="383" t="s">
        <v>601</v>
      </c>
      <c r="B90" s="414">
        <v>0</v>
      </c>
      <c r="C90" s="106"/>
      <c r="D90" s="364"/>
    </row>
    <row r="91" spans="1:4" ht="14.25" customHeight="1" x14ac:dyDescent="0.2">
      <c r="A91" s="379" t="s">
        <v>479</v>
      </c>
      <c r="B91" s="147"/>
      <c r="C91" s="142">
        <f>SUM(C84:C90)</f>
        <v>0</v>
      </c>
      <c r="D91" s="380">
        <f t="shared" ref="D91" si="8">SUM(D84:D90)</f>
        <v>0</v>
      </c>
    </row>
    <row r="92" spans="1:4" ht="14.25" customHeight="1" x14ac:dyDescent="0.2">
      <c r="A92" s="1079"/>
      <c r="B92" s="1045"/>
      <c r="C92" s="148"/>
      <c r="D92" s="384"/>
    </row>
    <row r="93" spans="1:4" ht="14.25" customHeight="1" x14ac:dyDescent="0.2">
      <c r="A93" s="381" t="s">
        <v>531</v>
      </c>
      <c r="B93" s="200"/>
      <c r="C93" s="200"/>
      <c r="D93" s="382"/>
    </row>
    <row r="94" spans="1:4" ht="14.25" customHeight="1" x14ac:dyDescent="0.2">
      <c r="A94" s="361" t="s">
        <v>532</v>
      </c>
      <c r="B94" s="102" t="s">
        <v>471</v>
      </c>
      <c r="C94" s="102" t="s">
        <v>472</v>
      </c>
      <c r="D94" s="362" t="s">
        <v>472</v>
      </c>
    </row>
    <row r="95" spans="1:4" ht="14.25" customHeight="1" x14ac:dyDescent="0.2">
      <c r="A95" s="363" t="s">
        <v>76</v>
      </c>
      <c r="B95" s="108">
        <v>0.03</v>
      </c>
      <c r="C95" s="125">
        <f>($C$19+$C$49+$C$60+$C$80+$C$91)*$B$95</f>
        <v>0</v>
      </c>
      <c r="D95" s="373">
        <f>($D$19+$D$49+$D$60+$D$80+$D$91)*$B$95</f>
        <v>0</v>
      </c>
    </row>
    <row r="96" spans="1:4" ht="14.25" customHeight="1" x14ac:dyDescent="0.2">
      <c r="A96" s="363" t="s">
        <v>77</v>
      </c>
      <c r="B96" s="108">
        <v>6.7900000000000002E-2</v>
      </c>
      <c r="C96" s="125">
        <f>($C$19+$C$49+$C$60+$C$80+$C$91+C95)*B96</f>
        <v>0</v>
      </c>
      <c r="D96" s="373">
        <f>($D$19+$D$49+$D$60+$D$80+$D$91+$D$95)*$B$96</f>
        <v>0</v>
      </c>
    </row>
    <row r="97" spans="1:5" ht="14.25" customHeight="1" x14ac:dyDescent="0.2">
      <c r="A97" s="385" t="s">
        <v>533</v>
      </c>
      <c r="B97" s="204">
        <f>B98+B99</f>
        <v>0.1125</v>
      </c>
      <c r="C97" s="205">
        <f>((C19+C49+C60+C80+C91+C95+C96)/(1-($B$97)))*$B$97</f>
        <v>0</v>
      </c>
      <c r="D97" s="386">
        <f>((D19+D49+D60+D80+D91+D95+D96)/(1-($B$97)))*$B$97</f>
        <v>0</v>
      </c>
    </row>
    <row r="98" spans="1:5" ht="14.25" customHeight="1" x14ac:dyDescent="0.2">
      <c r="A98" s="363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387">
        <f t="shared" ref="D98" si="9">((D$19+D$49+D$60+D$80+D$91+D$95+D$96)/(1-($B$97)))*$B$98</f>
        <v>0</v>
      </c>
    </row>
    <row r="99" spans="1:5" ht="14.25" customHeight="1" x14ac:dyDescent="0.2">
      <c r="A99" s="363" t="s">
        <v>535</v>
      </c>
      <c r="B99" s="108">
        <v>0.02</v>
      </c>
      <c r="C99" s="207">
        <f>((C$19+C$49+C$60+C$80+C$91+C$95+C$96)/(1-($B$97)))*$B$99</f>
        <v>0</v>
      </c>
      <c r="D99" s="388">
        <f t="shared" ref="D99" si="10">((D$19+D$49+D$60+D$80+D$91+D$95+D$96)/(1-($B$97)))*$B$99</f>
        <v>0</v>
      </c>
    </row>
    <row r="100" spans="1:5" ht="14.25" customHeight="1" x14ac:dyDescent="0.2">
      <c r="A100" s="385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386">
        <f t="shared" ref="D100" si="11">((D19+D49+D60+D80+D91+D95+D96)/(1-($B$100)))*$B$100</f>
        <v>0</v>
      </c>
    </row>
    <row r="101" spans="1:5" ht="14.25" customHeight="1" x14ac:dyDescent="0.2">
      <c r="A101" s="363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387">
        <f t="shared" ref="D101" si="12">((D19+D49+D60+D80+D91+D95+D96)/(1-($B$100)))*$B$101</f>
        <v>0</v>
      </c>
    </row>
    <row r="102" spans="1:5" ht="14.25" customHeight="1" x14ac:dyDescent="0.2">
      <c r="A102" s="363" t="s">
        <v>535</v>
      </c>
      <c r="B102" s="108">
        <v>2.5000000000000001E-2</v>
      </c>
      <c r="C102" s="207">
        <f>((C$19+C$49+C$60+C$80+C$91+C$95+C$96)/(1-($B$100)))*$B$102</f>
        <v>0</v>
      </c>
      <c r="D102" s="388">
        <f t="shared" ref="D102" si="13">((D$19+D$49+D$60+D$80+D$91+D$95+D$96)/(1-($B$100)))*$B$102</f>
        <v>0</v>
      </c>
    </row>
    <row r="103" spans="1:5" ht="14.25" customHeight="1" x14ac:dyDescent="0.2">
      <c r="A103" s="385" t="s">
        <v>537</v>
      </c>
      <c r="B103" s="204">
        <f>B104+B105</f>
        <v>0.1225</v>
      </c>
      <c r="C103" s="205">
        <f>((C19+C49+C60+C80+C91+C95+C96)/(1-($B$103)))*$B$103</f>
        <v>0</v>
      </c>
      <c r="D103" s="386">
        <f t="shared" ref="D103" si="14">((D19+D49+D60+D80+D91+D95+D96)/(1-($B$103)))*$B$103</f>
        <v>0</v>
      </c>
    </row>
    <row r="104" spans="1:5" ht="14.25" customHeight="1" x14ac:dyDescent="0.2">
      <c r="A104" s="363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387">
        <f t="shared" ref="D104" si="15">((D19+D49+D60+D80+D91+D95+D96)/(1-($B$103)))*$B$104</f>
        <v>0</v>
      </c>
    </row>
    <row r="105" spans="1:5" ht="14.25" customHeight="1" x14ac:dyDescent="0.2">
      <c r="A105" s="363" t="s">
        <v>535</v>
      </c>
      <c r="B105" s="108">
        <v>0.03</v>
      </c>
      <c r="C105" s="207">
        <f>((C19+C49+C60+C80+C91+C95+C96)/(1-($B$103)))*$B$105</f>
        <v>0</v>
      </c>
      <c r="D105" s="388">
        <f t="shared" ref="D105" si="16">((D19+D49+D60+D80+D91+D95+D96)/(1-($B$103)))*$B$105</f>
        <v>0</v>
      </c>
      <c r="E105" s="208"/>
    </row>
    <row r="106" spans="1:5" ht="14.25" customHeight="1" x14ac:dyDescent="0.2">
      <c r="A106" s="385" t="s">
        <v>538</v>
      </c>
      <c r="B106" s="204">
        <f>B107+B108</f>
        <v>0.13250000000000001</v>
      </c>
      <c r="C106" s="205">
        <f>((C19+C49+C60+C80+C91+C95+C96)/(1-($B$106)))*$B$106</f>
        <v>0</v>
      </c>
      <c r="D106" s="386">
        <f t="shared" ref="D106" si="17">((D19+D49+D60+D80+D91+D95+D96)/(1-($B$106)))*$B$106</f>
        <v>0</v>
      </c>
    </row>
    <row r="107" spans="1:5" ht="14.25" customHeight="1" x14ac:dyDescent="0.2">
      <c r="A107" s="363" t="s">
        <v>534</v>
      </c>
      <c r="B107" s="108">
        <f>0.0165+0.076</f>
        <v>9.2499999999999999E-2</v>
      </c>
      <c r="C107" s="206">
        <f>((C19+C49+C60+C80+C91+C95+C96)/(1-($B$106)))*$B$107</f>
        <v>0</v>
      </c>
      <c r="D107" s="387">
        <f t="shared" ref="D107" si="18">((D19+D49+D60+D80+D91+D95+D96)/(1-($B$106)))*$B$107</f>
        <v>0</v>
      </c>
    </row>
    <row r="108" spans="1:5" ht="14.25" customHeight="1" x14ac:dyDescent="0.2">
      <c r="A108" s="363" t="s">
        <v>535</v>
      </c>
      <c r="B108" s="108">
        <v>0.04</v>
      </c>
      <c r="C108" s="207">
        <f>((C19+C49+C60+C80+C91+C95+C96)/(1-($B$106)))*$B$108</f>
        <v>0</v>
      </c>
      <c r="D108" s="388">
        <f t="shared" ref="D108" si="19">((D19+D49+D60+D80+D91+D95+D96)/(1-($B$106)))*$B$108</f>
        <v>0</v>
      </c>
    </row>
    <row r="109" spans="1:5" ht="14.25" customHeight="1" x14ac:dyDescent="0.2">
      <c r="A109" s="385" t="s">
        <v>539</v>
      </c>
      <c r="B109" s="204">
        <f>B110+B111</f>
        <v>0.14250000000000002</v>
      </c>
      <c r="C109" s="205">
        <f>((C19+C49+C60+C80+C91+C95+C96)/(1-($B$109)))*$B$109</f>
        <v>0</v>
      </c>
      <c r="D109" s="386">
        <f t="shared" ref="D109" si="20">((D19+D49+D60+D80+D91+D95+D96)/(1-($B$109)))*$B$109</f>
        <v>0</v>
      </c>
    </row>
    <row r="110" spans="1:5" ht="14.25" customHeight="1" x14ac:dyDescent="0.2">
      <c r="A110" s="363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387">
        <f t="shared" ref="D110" si="21">((D19+D49+D60+D80+D91+D95+D96)/(1-($B$109)))*$B$110</f>
        <v>0</v>
      </c>
    </row>
    <row r="111" spans="1:5" ht="14.25" customHeight="1" x14ac:dyDescent="0.2">
      <c r="A111" s="363" t="s">
        <v>535</v>
      </c>
      <c r="B111" s="209">
        <v>0.05</v>
      </c>
      <c r="C111" s="207">
        <f>((C19+C49+C60+C80+C91+C95+C96)/(1-($B$109)))*$B$111</f>
        <v>0</v>
      </c>
      <c r="D111" s="388">
        <f t="shared" ref="D111" si="22">((D19+D49+D60+D80+D91+D95+D96)/(1-($B$109)))*$B$111</f>
        <v>0</v>
      </c>
    </row>
    <row r="112" spans="1:5" ht="14.25" customHeight="1" x14ac:dyDescent="0.2">
      <c r="A112" s="1081" t="s">
        <v>540</v>
      </c>
      <c r="B112" s="210">
        <v>0.02</v>
      </c>
      <c r="C112" s="211">
        <f>C95+C96+C97</f>
        <v>0</v>
      </c>
      <c r="D112" s="389">
        <f>D95+D96+D97</f>
        <v>0</v>
      </c>
    </row>
    <row r="113" spans="1:5" ht="14.25" customHeight="1" x14ac:dyDescent="0.2">
      <c r="A113" s="1081"/>
      <c r="B113" s="212">
        <v>2.5000000000000001E-2</v>
      </c>
      <c r="C113" s="213">
        <f>C95+C96+C100</f>
        <v>0</v>
      </c>
      <c r="D113" s="390">
        <f>D95+D96+D100</f>
        <v>0</v>
      </c>
    </row>
    <row r="114" spans="1:5" ht="14.25" customHeight="1" x14ac:dyDescent="0.2">
      <c r="A114" s="1081"/>
      <c r="B114" s="212">
        <v>0.03</v>
      </c>
      <c r="C114" s="213">
        <f>C95+C96+C103</f>
        <v>0</v>
      </c>
      <c r="D114" s="390">
        <f>D95+D96+D103</f>
        <v>0</v>
      </c>
      <c r="E114" s="208"/>
    </row>
    <row r="115" spans="1:5" ht="14.25" customHeight="1" x14ac:dyDescent="0.2">
      <c r="A115" s="1081"/>
      <c r="B115" s="212">
        <v>0.04</v>
      </c>
      <c r="C115" s="213">
        <f>C95+C96+C106</f>
        <v>0</v>
      </c>
      <c r="D115" s="390">
        <f>D95+D96+D106</f>
        <v>0</v>
      </c>
    </row>
    <row r="116" spans="1:5" ht="14.25" customHeight="1" x14ac:dyDescent="0.2">
      <c r="A116" s="1081"/>
      <c r="B116" s="214">
        <v>0.05</v>
      </c>
      <c r="C116" s="215">
        <f>C95+C96+C109</f>
        <v>0</v>
      </c>
      <c r="D116" s="391">
        <f>D95+D96+D109</f>
        <v>0</v>
      </c>
    </row>
    <row r="117" spans="1:5" ht="14.25" customHeight="1" x14ac:dyDescent="0.2">
      <c r="A117" s="363" t="s">
        <v>541</v>
      </c>
      <c r="B117" s="216"/>
      <c r="C117" s="217"/>
      <c r="D117" s="392"/>
    </row>
    <row r="118" spans="1:5" ht="14.25" customHeight="1" x14ac:dyDescent="0.2">
      <c r="A118" s="393"/>
      <c r="B118" s="220"/>
      <c r="C118" s="221"/>
      <c r="D118" s="394"/>
    </row>
    <row r="119" spans="1:5" ht="7.5" customHeight="1" x14ac:dyDescent="0.2">
      <c r="A119" s="1082"/>
      <c r="B119" s="1048"/>
      <c r="C119" s="1048"/>
      <c r="D119" s="1083"/>
    </row>
    <row r="120" spans="1:5" ht="7.5" customHeight="1" x14ac:dyDescent="0.2">
      <c r="A120" s="1084"/>
      <c r="B120" s="1049"/>
      <c r="C120" s="1049"/>
      <c r="D120" s="1085"/>
    </row>
    <row r="121" spans="1:5" ht="54.75" customHeight="1" x14ac:dyDescent="0.2">
      <c r="A121" s="1086" t="s">
        <v>542</v>
      </c>
      <c r="B121" s="1050"/>
      <c r="C121" s="224" t="str">
        <f>C10</f>
        <v>Servente 44h COVID</v>
      </c>
      <c r="D121" s="395" t="str">
        <f>D10</f>
        <v>Servente 30h COVID</v>
      </c>
    </row>
    <row r="122" spans="1:5" ht="15.75" customHeight="1" x14ac:dyDescent="0.2">
      <c r="A122" s="1087" t="s">
        <v>543</v>
      </c>
      <c r="B122" s="1051"/>
      <c r="C122" s="227" t="s">
        <v>472</v>
      </c>
      <c r="D122" s="396" t="s">
        <v>472</v>
      </c>
    </row>
    <row r="123" spans="1:5" ht="14.25" customHeight="1" x14ac:dyDescent="0.2">
      <c r="A123" s="1088" t="s">
        <v>544</v>
      </c>
      <c r="B123" s="1052"/>
      <c r="C123" s="229">
        <f>C19</f>
        <v>0</v>
      </c>
      <c r="D123" s="397">
        <f>D19</f>
        <v>0</v>
      </c>
    </row>
    <row r="124" spans="1:5" ht="14.25" customHeight="1" x14ac:dyDescent="0.2">
      <c r="A124" s="1080" t="s">
        <v>545</v>
      </c>
      <c r="B124" s="1053"/>
      <c r="C124" s="150">
        <f>C49</f>
        <v>0</v>
      </c>
      <c r="D124" s="398">
        <f>D49</f>
        <v>0</v>
      </c>
    </row>
    <row r="125" spans="1:5" ht="14.25" customHeight="1" x14ac:dyDescent="0.2">
      <c r="A125" s="1080" t="s">
        <v>546</v>
      </c>
      <c r="B125" s="1053"/>
      <c r="C125" s="150">
        <f>C60</f>
        <v>0</v>
      </c>
      <c r="D125" s="398">
        <f>D60</f>
        <v>0</v>
      </c>
    </row>
    <row r="126" spans="1:5" ht="14.25" customHeight="1" x14ac:dyDescent="0.2">
      <c r="A126" s="1080" t="s">
        <v>547</v>
      </c>
      <c r="B126" s="1053"/>
      <c r="C126" s="150">
        <f>C80</f>
        <v>0</v>
      </c>
      <c r="D126" s="398">
        <f>D80</f>
        <v>0</v>
      </c>
    </row>
    <row r="127" spans="1:5" ht="15.75" customHeight="1" x14ac:dyDescent="0.2">
      <c r="A127" s="1080" t="s">
        <v>548</v>
      </c>
      <c r="B127" s="1053"/>
      <c r="C127" s="150">
        <f>C91</f>
        <v>0</v>
      </c>
      <c r="D127" s="398">
        <f>D91</f>
        <v>0</v>
      </c>
    </row>
    <row r="128" spans="1:5" ht="15.75" customHeight="1" x14ac:dyDescent="0.2">
      <c r="A128" s="1090" t="s">
        <v>549</v>
      </c>
      <c r="B128" s="1056"/>
      <c r="C128" s="152">
        <f>SUM(C123:C127)</f>
        <v>0</v>
      </c>
      <c r="D128" s="399">
        <f>SUM(D123:D127)</f>
        <v>0</v>
      </c>
    </row>
    <row r="129" spans="1:4" ht="15.75" customHeight="1" x14ac:dyDescent="0.2">
      <c r="A129" s="1089" t="s">
        <v>550</v>
      </c>
      <c r="B129" s="1054"/>
      <c r="C129" s="232">
        <f t="shared" ref="C129:D133" si="23">C112</f>
        <v>0</v>
      </c>
      <c r="D129" s="400">
        <f t="shared" si="23"/>
        <v>0</v>
      </c>
    </row>
    <row r="130" spans="1:4" ht="15.75" customHeight="1" x14ac:dyDescent="0.2">
      <c r="A130" s="1080" t="s">
        <v>551</v>
      </c>
      <c r="B130" s="1053"/>
      <c r="C130" s="234">
        <f t="shared" si="23"/>
        <v>0</v>
      </c>
      <c r="D130" s="401">
        <f t="shared" si="23"/>
        <v>0</v>
      </c>
    </row>
    <row r="131" spans="1:4" ht="15.75" customHeight="1" x14ac:dyDescent="0.2">
      <c r="A131" s="1080" t="s">
        <v>552</v>
      </c>
      <c r="B131" s="1053"/>
      <c r="C131" s="234">
        <f t="shared" si="23"/>
        <v>0</v>
      </c>
      <c r="D131" s="401">
        <f t="shared" si="23"/>
        <v>0</v>
      </c>
    </row>
    <row r="132" spans="1:4" ht="15.75" customHeight="1" x14ac:dyDescent="0.2">
      <c r="A132" s="1080" t="s">
        <v>553</v>
      </c>
      <c r="B132" s="1053"/>
      <c r="C132" s="234">
        <f t="shared" si="23"/>
        <v>0</v>
      </c>
      <c r="D132" s="401">
        <f t="shared" si="23"/>
        <v>0</v>
      </c>
    </row>
    <row r="133" spans="1:4" ht="15.75" customHeight="1" x14ac:dyDescent="0.2">
      <c r="A133" s="1089" t="s">
        <v>554</v>
      </c>
      <c r="B133" s="1054"/>
      <c r="C133" s="234">
        <f t="shared" si="23"/>
        <v>0</v>
      </c>
      <c r="D133" s="401">
        <f t="shared" si="23"/>
        <v>0</v>
      </c>
    </row>
    <row r="134" spans="1:4" ht="15.75" customHeight="1" x14ac:dyDescent="0.2">
      <c r="A134" s="402" t="s">
        <v>555</v>
      </c>
      <c r="B134" s="237"/>
      <c r="C134" s="238">
        <f>C128+C129</f>
        <v>0</v>
      </c>
      <c r="D134" s="403">
        <f>D128+D129</f>
        <v>0</v>
      </c>
    </row>
    <row r="135" spans="1:4" ht="15.75" customHeight="1" x14ac:dyDescent="0.2">
      <c r="A135" s="404" t="s">
        <v>556</v>
      </c>
      <c r="B135" s="241"/>
      <c r="C135" s="242">
        <f>C128+C130</f>
        <v>0</v>
      </c>
      <c r="D135" s="405">
        <f>D128+D130</f>
        <v>0</v>
      </c>
    </row>
    <row r="136" spans="1:4" ht="15.75" customHeight="1" x14ac:dyDescent="0.2">
      <c r="A136" s="404" t="s">
        <v>557</v>
      </c>
      <c r="B136" s="241"/>
      <c r="C136" s="242">
        <f>C128+C131</f>
        <v>0</v>
      </c>
      <c r="D136" s="405">
        <f>D128+D131</f>
        <v>0</v>
      </c>
    </row>
    <row r="137" spans="1:4" ht="15.75" customHeight="1" x14ac:dyDescent="0.2">
      <c r="A137" s="404" t="s">
        <v>558</v>
      </c>
      <c r="B137" s="241"/>
      <c r="C137" s="242">
        <f>C128+C132</f>
        <v>0</v>
      </c>
      <c r="D137" s="405">
        <f>D128+D132</f>
        <v>0</v>
      </c>
    </row>
    <row r="138" spans="1:4" ht="15.75" customHeight="1" x14ac:dyDescent="0.2">
      <c r="A138" s="404" t="s">
        <v>559</v>
      </c>
      <c r="B138" s="241"/>
      <c r="C138" s="242">
        <f>C128+C133</f>
        <v>0</v>
      </c>
      <c r="D138" s="405">
        <f>D128+D133</f>
        <v>0</v>
      </c>
    </row>
    <row r="139" spans="1:4" ht="15.75" customHeight="1" x14ac:dyDescent="0.2">
      <c r="A139" s="406" t="s">
        <v>560</v>
      </c>
      <c r="B139" s="244"/>
      <c r="C139" s="245">
        <f>C134/200</f>
        <v>0</v>
      </c>
      <c r="D139" s="407"/>
    </row>
    <row r="140" spans="1:4" ht="15.75" customHeight="1" x14ac:dyDescent="0.2">
      <c r="A140" s="408" t="s">
        <v>561</v>
      </c>
      <c r="B140" s="246"/>
      <c r="C140" s="247">
        <f>C135/200</f>
        <v>0</v>
      </c>
      <c r="D140" s="409"/>
    </row>
    <row r="141" spans="1:4" ht="15.75" customHeight="1" x14ac:dyDescent="0.2">
      <c r="A141" s="408" t="s">
        <v>562</v>
      </c>
      <c r="B141" s="246"/>
      <c r="C141" s="247">
        <f>C136/200</f>
        <v>0</v>
      </c>
      <c r="D141" s="409"/>
    </row>
    <row r="142" spans="1:4" ht="15.75" customHeight="1" x14ac:dyDescent="0.2">
      <c r="A142" s="408" t="s">
        <v>563</v>
      </c>
      <c r="B142" s="246"/>
      <c r="C142" s="247">
        <f>C137/200</f>
        <v>0</v>
      </c>
      <c r="D142" s="409"/>
    </row>
    <row r="143" spans="1:4" ht="15.75" customHeight="1" x14ac:dyDescent="0.2">
      <c r="A143" s="410" t="s">
        <v>564</v>
      </c>
      <c r="B143" s="411"/>
      <c r="C143" s="412">
        <f>C138/200</f>
        <v>0</v>
      </c>
      <c r="D143" s="413"/>
    </row>
    <row r="144" spans="1:4" x14ac:dyDescent="0.2">
      <c r="A144" s="248"/>
    </row>
  </sheetData>
  <mergeCells count="27">
    <mergeCell ref="A131:B131"/>
    <mergeCell ref="A132:B132"/>
    <mergeCell ref="A133:B133"/>
    <mergeCell ref="A125:B125"/>
    <mergeCell ref="A126:B126"/>
    <mergeCell ref="A127:B127"/>
    <mergeCell ref="A128:B128"/>
    <mergeCell ref="A129:B129"/>
    <mergeCell ref="A130:B130"/>
    <mergeCell ref="A124:B124"/>
    <mergeCell ref="A50:B50"/>
    <mergeCell ref="A51:D51"/>
    <mergeCell ref="A61:B61"/>
    <mergeCell ref="A62:D62"/>
    <mergeCell ref="A92:B92"/>
    <mergeCell ref="A112:A116"/>
    <mergeCell ref="A119:D119"/>
    <mergeCell ref="A120:D120"/>
    <mergeCell ref="A121:B121"/>
    <mergeCell ref="A122:B122"/>
    <mergeCell ref="A123:B123"/>
    <mergeCell ref="A21:D21"/>
    <mergeCell ref="A1:D1"/>
    <mergeCell ref="A2:D2"/>
    <mergeCell ref="A3:D3"/>
    <mergeCell ref="A9:D9"/>
    <mergeCell ref="A20:B20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7070"/>
  </sheetPr>
  <dimension ref="A1:ALX66"/>
  <sheetViews>
    <sheetView zoomScale="80" zoomScaleNormal="80" workbookViewId="0">
      <pane xSplit="2" ySplit="3" topLeftCell="C4" activePane="bottomRight" state="frozen"/>
      <selection pane="topRight"/>
      <selection pane="bottomLeft"/>
      <selection pane="bottomRight" activeCell="S21" sqref="S21"/>
    </sheetView>
  </sheetViews>
  <sheetFormatPr defaultRowHeight="15" x14ac:dyDescent="0.25"/>
  <cols>
    <col min="1" max="1" width="23.375" style="171"/>
    <col min="2" max="2" width="5.75" style="171" customWidth="1"/>
    <col min="3" max="7" width="9.25" style="171"/>
    <col min="8" max="9" width="11.5" style="171"/>
    <col min="10" max="15" width="9.25" style="171"/>
    <col min="16" max="17" width="9" style="171"/>
    <col min="18" max="21" width="9" style="156" customWidth="1"/>
    <col min="22" max="997" width="10.625" style="156"/>
    <col min="998" max="998" width="9" style="171"/>
    <col min="999" max="1012" width="8.625" style="171"/>
  </cols>
  <sheetData>
    <row r="1" spans="1:999" x14ac:dyDescent="0.25">
      <c r="A1" s="156"/>
      <c r="B1" s="156"/>
      <c r="C1" s="1100" t="s">
        <v>331</v>
      </c>
      <c r="D1" s="1101"/>
      <c r="E1" s="1101"/>
      <c r="F1" s="1101"/>
      <c r="G1" s="1116" t="s">
        <v>332</v>
      </c>
      <c r="H1" s="1116"/>
      <c r="I1" s="1116"/>
      <c r="J1" s="1117" t="s">
        <v>333</v>
      </c>
      <c r="K1" s="1117"/>
      <c r="L1" s="1118"/>
      <c r="M1" s="156"/>
      <c r="N1" s="156"/>
      <c r="O1" s="156"/>
      <c r="P1" s="156"/>
      <c r="Q1" s="156"/>
      <c r="ALJ1"/>
      <c r="ALK1"/>
    </row>
    <row r="2" spans="1:999" ht="55.5" customHeight="1" x14ac:dyDescent="0.25">
      <c r="A2" s="1106" t="s">
        <v>85</v>
      </c>
      <c r="B2" s="1123" t="s">
        <v>80</v>
      </c>
      <c r="C2" s="1108" t="s">
        <v>602</v>
      </c>
      <c r="D2" s="1110" t="s">
        <v>603</v>
      </c>
      <c r="E2" s="1112" t="s">
        <v>604</v>
      </c>
      <c r="F2" s="1114" t="s">
        <v>605</v>
      </c>
      <c r="G2" s="1092" t="s">
        <v>606</v>
      </c>
      <c r="H2" s="1094" t="s">
        <v>607</v>
      </c>
      <c r="I2" s="1096" t="s">
        <v>608</v>
      </c>
      <c r="J2" s="1098" t="s">
        <v>609</v>
      </c>
      <c r="K2" s="1102" t="s">
        <v>610</v>
      </c>
      <c r="L2" s="1119" t="s">
        <v>611</v>
      </c>
      <c r="M2" s="1121" t="s">
        <v>431</v>
      </c>
      <c r="N2" s="1104" t="s">
        <v>432</v>
      </c>
      <c r="O2" s="1105"/>
      <c r="P2" s="1091" t="s">
        <v>433</v>
      </c>
      <c r="Q2" s="1091"/>
      <c r="R2" s="499" t="s">
        <v>434</v>
      </c>
      <c r="S2" s="500" t="s">
        <v>435</v>
      </c>
      <c r="T2" s="501" t="s">
        <v>436</v>
      </c>
      <c r="U2" s="502" t="s">
        <v>437</v>
      </c>
      <c r="ALJ2" s="156"/>
      <c r="ALK2" s="156"/>
    </row>
    <row r="3" spans="1:999" ht="18" customHeight="1" x14ac:dyDescent="0.25">
      <c r="A3" s="1107"/>
      <c r="B3" s="1124"/>
      <c r="C3" s="1109"/>
      <c r="D3" s="1111"/>
      <c r="E3" s="1113"/>
      <c r="F3" s="1115"/>
      <c r="G3" s="1093"/>
      <c r="H3" s="1095"/>
      <c r="I3" s="1097"/>
      <c r="J3" s="1099"/>
      <c r="K3" s="1103"/>
      <c r="L3" s="1120"/>
      <c r="M3" s="1122"/>
      <c r="N3" s="571" t="s">
        <v>358</v>
      </c>
      <c r="O3" s="572" t="s">
        <v>359</v>
      </c>
      <c r="P3" s="573" t="s">
        <v>358</v>
      </c>
      <c r="Q3" s="574" t="s">
        <v>359</v>
      </c>
      <c r="R3" s="608" t="s">
        <v>438</v>
      </c>
      <c r="S3" s="609" t="s">
        <v>438</v>
      </c>
      <c r="T3" s="610" t="s">
        <v>439</v>
      </c>
      <c r="U3" s="611" t="s">
        <v>359</v>
      </c>
      <c r="ALJ3" s="156"/>
      <c r="ALK3" s="156"/>
    </row>
    <row r="4" spans="1:999" x14ac:dyDescent="0.25">
      <c r="A4" s="799" t="s">
        <v>87</v>
      </c>
      <c r="B4" s="798">
        <f>'Resumo Proposta'!D25</f>
        <v>0</v>
      </c>
      <c r="C4" s="801">
        <v>1239.6099999999999</v>
      </c>
      <c r="D4" s="624">
        <v>45.94</v>
      </c>
      <c r="E4" s="624">
        <v>327</v>
      </c>
      <c r="F4" s="624">
        <v>78.7</v>
      </c>
      <c r="G4" s="624"/>
      <c r="H4" s="624"/>
      <c r="I4" s="624"/>
      <c r="J4" s="624">
        <v>0</v>
      </c>
      <c r="K4" s="624">
        <v>0</v>
      </c>
      <c r="L4" s="625">
        <f t="shared" ref="L4:L15" si="0">J4+K4</f>
        <v>0</v>
      </c>
      <c r="M4" s="626">
        <f t="shared" ref="M4:M15" si="1">C4/$C$17+D4/$D$17+E4/$E$17+F4/$F$17+G4/$G$17+H4/$H$17+I4/$I$17+K4/$K$17*16*1/188.76+L4/$L$17*16*1/188.76</f>
        <v>2.3006391666666666</v>
      </c>
      <c r="N4" s="626"/>
      <c r="O4" s="626">
        <v>1</v>
      </c>
      <c r="P4" s="627"/>
      <c r="Q4" s="627"/>
      <c r="R4" s="628">
        <v>6</v>
      </c>
      <c r="S4" s="629">
        <v>6</v>
      </c>
      <c r="T4" s="630">
        <v>22</v>
      </c>
      <c r="U4" s="631">
        <v>1</v>
      </c>
    </row>
    <row r="5" spans="1:999" x14ac:dyDescent="0.25">
      <c r="A5" s="800" t="s">
        <v>90</v>
      </c>
      <c r="B5" s="798">
        <f>'Resumo Proposta'!D26</f>
        <v>0</v>
      </c>
      <c r="C5" s="802">
        <v>188.9</v>
      </c>
      <c r="D5" s="562">
        <v>268.93</v>
      </c>
      <c r="E5" s="562"/>
      <c r="F5" s="562">
        <v>14</v>
      </c>
      <c r="G5" s="562">
        <v>618</v>
      </c>
      <c r="H5" s="562"/>
      <c r="I5" s="562">
        <v>145</v>
      </c>
      <c r="J5" s="562">
        <v>0</v>
      </c>
      <c r="K5" s="562">
        <f>25*3+8*3</f>
        <v>99</v>
      </c>
      <c r="L5" s="605">
        <f t="shared" si="0"/>
        <v>99</v>
      </c>
      <c r="M5" s="606">
        <f t="shared" si="1"/>
        <v>0.89707802662250047</v>
      </c>
      <c r="N5" s="606">
        <v>1</v>
      </c>
      <c r="O5" s="606"/>
      <c r="P5" s="607"/>
      <c r="Q5" s="607"/>
      <c r="R5" s="533">
        <v>6</v>
      </c>
      <c r="S5" s="510">
        <v>6</v>
      </c>
      <c r="T5" s="511"/>
      <c r="U5" s="632"/>
    </row>
    <row r="6" spans="1:999" x14ac:dyDescent="0.25">
      <c r="A6" s="800" t="s">
        <v>93</v>
      </c>
      <c r="B6" s="798">
        <f>'Resumo Proposta'!D27</f>
        <v>0</v>
      </c>
      <c r="C6" s="802">
        <v>1138.97</v>
      </c>
      <c r="D6" s="562">
        <v>222.29</v>
      </c>
      <c r="E6" s="562">
        <v>82.46</v>
      </c>
      <c r="F6" s="562">
        <v>47.44</v>
      </c>
      <c r="G6" s="562">
        <v>388.09</v>
      </c>
      <c r="H6" s="562">
        <v>118.12</v>
      </c>
      <c r="I6" s="562">
        <v>265.26</v>
      </c>
      <c r="J6" s="562">
        <v>0</v>
      </c>
      <c r="K6" s="562">
        <v>232.04</v>
      </c>
      <c r="L6" s="605">
        <f t="shared" si="0"/>
        <v>232.04</v>
      </c>
      <c r="M6" s="606">
        <f t="shared" si="1"/>
        <v>2.2560813986277943</v>
      </c>
      <c r="N6" s="606"/>
      <c r="O6" s="606">
        <v>2</v>
      </c>
      <c r="P6" s="607"/>
      <c r="Q6" s="607">
        <v>3</v>
      </c>
      <c r="R6" s="533">
        <v>6</v>
      </c>
      <c r="S6" s="510">
        <v>6</v>
      </c>
      <c r="T6" s="511"/>
      <c r="U6" s="632"/>
    </row>
    <row r="7" spans="1:999" x14ac:dyDescent="0.25">
      <c r="A7" s="800" t="s">
        <v>96</v>
      </c>
      <c r="B7" s="798">
        <f>'Resumo Proposta'!D28</f>
        <v>0</v>
      </c>
      <c r="C7" s="802">
        <v>511.2</v>
      </c>
      <c r="D7" s="562">
        <v>1175.1500000000001</v>
      </c>
      <c r="E7" s="562">
        <v>39.1</v>
      </c>
      <c r="F7" s="562">
        <v>65.08</v>
      </c>
      <c r="G7" s="562">
        <v>853.03</v>
      </c>
      <c r="H7" s="562">
        <v>440.53</v>
      </c>
      <c r="I7" s="562">
        <v>244.09</v>
      </c>
      <c r="J7" s="562">
        <v>0</v>
      </c>
      <c r="K7" s="562">
        <f>10.09+26.67+24.56+7.15+1.4</f>
        <v>69.870000000000019</v>
      </c>
      <c r="L7" s="605">
        <f t="shared" si="0"/>
        <v>69.870000000000019</v>
      </c>
      <c r="M7" s="606">
        <f t="shared" si="1"/>
        <v>2.3370965986880208</v>
      </c>
      <c r="N7" s="606"/>
      <c r="O7" s="606">
        <v>2</v>
      </c>
      <c r="P7" s="607"/>
      <c r="Q7" s="607">
        <v>1</v>
      </c>
      <c r="R7" s="533">
        <v>6</v>
      </c>
      <c r="S7" s="510">
        <v>6</v>
      </c>
      <c r="T7" s="511"/>
      <c r="U7" s="632"/>
    </row>
    <row r="8" spans="1:999" x14ac:dyDescent="0.25">
      <c r="A8" s="800" t="s">
        <v>99</v>
      </c>
      <c r="B8" s="798">
        <f>'Resumo Proposta'!D29</f>
        <v>0</v>
      </c>
      <c r="C8" s="802">
        <v>317.24</v>
      </c>
      <c r="D8" s="562">
        <v>84.04</v>
      </c>
      <c r="E8" s="562"/>
      <c r="F8" s="562">
        <v>37</v>
      </c>
      <c r="G8" s="562">
        <v>60.76</v>
      </c>
      <c r="H8" s="562">
        <v>517.51</v>
      </c>
      <c r="I8" s="562">
        <v>108</v>
      </c>
      <c r="J8" s="562">
        <v>0</v>
      </c>
      <c r="K8" s="562">
        <v>115.75</v>
      </c>
      <c r="L8" s="605">
        <f t="shared" si="0"/>
        <v>115.75</v>
      </c>
      <c r="M8" s="606">
        <f t="shared" si="1"/>
        <v>0.74614627338270445</v>
      </c>
      <c r="N8" s="606"/>
      <c r="O8" s="606">
        <v>1</v>
      </c>
      <c r="P8" s="607"/>
      <c r="Q8" s="607"/>
      <c r="R8" s="533">
        <v>6</v>
      </c>
      <c r="S8" s="510">
        <v>6</v>
      </c>
      <c r="T8" s="511"/>
      <c r="U8" s="632"/>
    </row>
    <row r="9" spans="1:999" x14ac:dyDescent="0.25">
      <c r="A9" s="800" t="s">
        <v>102</v>
      </c>
      <c r="B9" s="798">
        <f>'Resumo Proposta'!D30</f>
        <v>0</v>
      </c>
      <c r="C9" s="802">
        <v>174.1</v>
      </c>
      <c r="D9" s="562">
        <v>19</v>
      </c>
      <c r="E9" s="562"/>
      <c r="F9" s="562">
        <v>9.3000000000000007</v>
      </c>
      <c r="G9" s="562">
        <v>51.38</v>
      </c>
      <c r="H9" s="562"/>
      <c r="I9" s="562"/>
      <c r="J9" s="562">
        <v>0</v>
      </c>
      <c r="K9" s="562">
        <v>0</v>
      </c>
      <c r="L9" s="605">
        <f t="shared" si="0"/>
        <v>0</v>
      </c>
      <c r="M9" s="606">
        <f t="shared" si="1"/>
        <v>0.30533611111111109</v>
      </c>
      <c r="N9" s="606"/>
      <c r="O9" s="606">
        <v>1</v>
      </c>
      <c r="P9" s="607"/>
      <c r="Q9" s="607"/>
      <c r="R9" s="533">
        <v>6</v>
      </c>
      <c r="S9" s="510">
        <v>6</v>
      </c>
      <c r="T9" s="511"/>
      <c r="U9" s="632"/>
    </row>
    <row r="10" spans="1:999" x14ac:dyDescent="0.25">
      <c r="A10" s="800" t="s">
        <v>105</v>
      </c>
      <c r="B10" s="798">
        <f>'Resumo Proposta'!D31</f>
        <v>0</v>
      </c>
      <c r="C10" s="802">
        <v>959.92</v>
      </c>
      <c r="D10" s="562">
        <v>1697</v>
      </c>
      <c r="E10" s="562">
        <v>182</v>
      </c>
      <c r="F10" s="562">
        <v>98</v>
      </c>
      <c r="G10" s="562">
        <v>264.07</v>
      </c>
      <c r="H10" s="562"/>
      <c r="I10" s="562">
        <v>222.62</v>
      </c>
      <c r="J10" s="562">
        <v>0</v>
      </c>
      <c r="K10" s="562">
        <f>107*1.12+3*21.85</f>
        <v>185.39000000000004</v>
      </c>
      <c r="L10" s="605">
        <f t="shared" si="0"/>
        <v>185.39000000000004</v>
      </c>
      <c r="M10" s="606">
        <f t="shared" si="1"/>
        <v>3.269749307800121</v>
      </c>
      <c r="N10" s="606"/>
      <c r="O10" s="606">
        <v>3</v>
      </c>
      <c r="P10" s="607"/>
      <c r="Q10" s="607">
        <v>1</v>
      </c>
      <c r="R10" s="533">
        <v>6</v>
      </c>
      <c r="S10" s="510">
        <v>6</v>
      </c>
      <c r="T10" s="511"/>
      <c r="U10" s="632"/>
    </row>
    <row r="11" spans="1:999" x14ac:dyDescent="0.25">
      <c r="A11" s="800" t="s">
        <v>108</v>
      </c>
      <c r="B11" s="798">
        <f>'Resumo Proposta'!D32</f>
        <v>0</v>
      </c>
      <c r="C11" s="802">
        <v>596.27</v>
      </c>
      <c r="D11" s="562">
        <v>1271.3800000000001</v>
      </c>
      <c r="E11" s="562">
        <v>31.65</v>
      </c>
      <c r="F11" s="562">
        <v>46.3</v>
      </c>
      <c r="G11" s="562">
        <v>257.76</v>
      </c>
      <c r="H11" s="562">
        <v>6</v>
      </c>
      <c r="I11" s="562">
        <v>120</v>
      </c>
      <c r="J11" s="562">
        <v>0</v>
      </c>
      <c r="K11" s="562">
        <f>28.5+112.93</f>
        <v>141.43</v>
      </c>
      <c r="L11" s="605">
        <f t="shared" si="0"/>
        <v>141.43</v>
      </c>
      <c r="M11" s="606">
        <f t="shared" si="1"/>
        <v>2.0824296039247829</v>
      </c>
      <c r="N11" s="606"/>
      <c r="O11" s="606">
        <v>2</v>
      </c>
      <c r="P11" s="607"/>
      <c r="Q11" s="607">
        <v>1</v>
      </c>
      <c r="R11" s="533">
        <v>6</v>
      </c>
      <c r="S11" s="510">
        <v>6</v>
      </c>
      <c r="T11" s="511"/>
      <c r="U11" s="632"/>
    </row>
    <row r="12" spans="1:999" x14ac:dyDescent="0.25">
      <c r="A12" s="800" t="s">
        <v>111</v>
      </c>
      <c r="B12" s="798">
        <f>'Resumo Proposta'!D33</f>
        <v>0</v>
      </c>
      <c r="C12" s="802">
        <v>374</v>
      </c>
      <c r="D12" s="562">
        <v>382</v>
      </c>
      <c r="E12" s="562">
        <v>39.700000000000003</v>
      </c>
      <c r="F12" s="562">
        <v>41</v>
      </c>
      <c r="G12" s="562">
        <v>269.70999999999998</v>
      </c>
      <c r="H12" s="562">
        <v>1053.18</v>
      </c>
      <c r="I12" s="562">
        <v>368.21</v>
      </c>
      <c r="J12" s="562">
        <v>0</v>
      </c>
      <c r="K12" s="562">
        <f>70.98+6.24+12.48+0.96</f>
        <v>90.66</v>
      </c>
      <c r="L12" s="605">
        <f t="shared" si="0"/>
        <v>90.66</v>
      </c>
      <c r="M12" s="606">
        <f t="shared" si="1"/>
        <v>1.2290513676120793</v>
      </c>
      <c r="N12" s="606"/>
      <c r="O12" s="606">
        <v>2</v>
      </c>
      <c r="P12" s="607">
        <v>2</v>
      </c>
      <c r="Q12" s="607"/>
      <c r="R12" s="533">
        <v>6</v>
      </c>
      <c r="S12" s="510">
        <v>6</v>
      </c>
      <c r="T12" s="511"/>
      <c r="U12" s="632"/>
    </row>
    <row r="13" spans="1:999" x14ac:dyDescent="0.25">
      <c r="A13" s="800" t="s">
        <v>114</v>
      </c>
      <c r="B13" s="798">
        <f>'Resumo Proposta'!D34</f>
        <v>0</v>
      </c>
      <c r="C13" s="802">
        <v>374.46</v>
      </c>
      <c r="D13" s="562">
        <v>54.12</v>
      </c>
      <c r="E13" s="562">
        <v>70.349999999999994</v>
      </c>
      <c r="F13" s="562">
        <v>30.38</v>
      </c>
      <c r="G13" s="562"/>
      <c r="H13" s="562"/>
      <c r="I13" s="562">
        <v>30</v>
      </c>
      <c r="J13" s="562">
        <v>0</v>
      </c>
      <c r="K13" s="562">
        <f>9.09*2</f>
        <v>18.18</v>
      </c>
      <c r="L13" s="605">
        <f t="shared" si="0"/>
        <v>18.18</v>
      </c>
      <c r="M13" s="606">
        <f t="shared" si="1"/>
        <v>0.7395155497373439</v>
      </c>
      <c r="N13" s="606"/>
      <c r="O13" s="606">
        <v>1</v>
      </c>
      <c r="P13" s="607"/>
      <c r="Q13" s="607">
        <v>1</v>
      </c>
      <c r="R13" s="533">
        <v>6</v>
      </c>
      <c r="S13" s="510">
        <v>6</v>
      </c>
      <c r="T13" s="511"/>
      <c r="U13" s="632"/>
    </row>
    <row r="14" spans="1:999" x14ac:dyDescent="0.25">
      <c r="A14" s="800" t="s">
        <v>117</v>
      </c>
      <c r="B14" s="798">
        <f>'Resumo Proposta'!D35</f>
        <v>0</v>
      </c>
      <c r="C14" s="802">
        <v>258.60000000000002</v>
      </c>
      <c r="D14" s="562">
        <v>21.85</v>
      </c>
      <c r="E14" s="562">
        <v>33.79</v>
      </c>
      <c r="F14" s="562">
        <v>24.05</v>
      </c>
      <c r="G14" s="562">
        <v>314.49</v>
      </c>
      <c r="H14" s="562">
        <v>128.33000000000001</v>
      </c>
      <c r="I14" s="562">
        <v>232.21</v>
      </c>
      <c r="J14" s="562">
        <v>0</v>
      </c>
      <c r="K14" s="562">
        <v>69.77</v>
      </c>
      <c r="L14" s="605">
        <f t="shared" si="0"/>
        <v>69.77</v>
      </c>
      <c r="M14" s="606">
        <f t="shared" si="1"/>
        <v>0.73768443064766176</v>
      </c>
      <c r="N14" s="606"/>
      <c r="O14" s="606">
        <v>1</v>
      </c>
      <c r="P14" s="607"/>
      <c r="Q14" s="607"/>
      <c r="R14" s="533">
        <v>6</v>
      </c>
      <c r="S14" s="510">
        <v>6</v>
      </c>
      <c r="T14" s="511"/>
      <c r="U14" s="632"/>
    </row>
    <row r="15" spans="1:999" x14ac:dyDescent="0.25">
      <c r="A15" s="807" t="s">
        <v>120</v>
      </c>
      <c r="B15" s="808">
        <f>'Resumo Proposta'!D36</f>
        <v>0</v>
      </c>
      <c r="C15" s="803">
        <v>258.60000000000002</v>
      </c>
      <c r="D15" s="633">
        <v>21.85</v>
      </c>
      <c r="E15" s="633">
        <v>33.79</v>
      </c>
      <c r="F15" s="633">
        <v>24.05</v>
      </c>
      <c r="G15" s="633">
        <v>611.16</v>
      </c>
      <c r="H15" s="633">
        <v>278</v>
      </c>
      <c r="I15" s="633">
        <v>175.23</v>
      </c>
      <c r="J15" s="633">
        <v>0</v>
      </c>
      <c r="K15" s="633">
        <v>69.77</v>
      </c>
      <c r="L15" s="634">
        <f t="shared" si="0"/>
        <v>69.77</v>
      </c>
      <c r="M15" s="635">
        <f t="shared" si="1"/>
        <v>0.8945011306476619</v>
      </c>
      <c r="N15" s="635"/>
      <c r="O15" s="635">
        <v>1</v>
      </c>
      <c r="P15" s="636"/>
      <c r="Q15" s="636"/>
      <c r="R15" s="637">
        <v>6</v>
      </c>
      <c r="S15" s="638">
        <v>6</v>
      </c>
      <c r="T15" s="639"/>
      <c r="U15" s="640"/>
    </row>
    <row r="16" spans="1:999" x14ac:dyDescent="0.25">
      <c r="A16" s="804" t="s">
        <v>440</v>
      </c>
      <c r="B16" s="805"/>
      <c r="C16" s="806">
        <f t="shared" ref="C16:U16" si="2">SUM(C4:C15)</f>
        <v>6391.87</v>
      </c>
      <c r="D16" s="614">
        <f t="shared" si="2"/>
        <v>5263.55</v>
      </c>
      <c r="E16" s="614">
        <f t="shared" si="2"/>
        <v>839.83999999999992</v>
      </c>
      <c r="F16" s="614">
        <f t="shared" si="2"/>
        <v>515.29999999999995</v>
      </c>
      <c r="G16" s="614">
        <f t="shared" si="2"/>
        <v>3688.45</v>
      </c>
      <c r="H16" s="614">
        <f t="shared" si="2"/>
        <v>2541.67</v>
      </c>
      <c r="I16" s="614">
        <f t="shared" si="2"/>
        <v>1910.6200000000001</v>
      </c>
      <c r="J16" s="614">
        <f t="shared" si="2"/>
        <v>0</v>
      </c>
      <c r="K16" s="614">
        <f t="shared" si="2"/>
        <v>1091.8599999999999</v>
      </c>
      <c r="L16" s="615">
        <f t="shared" si="2"/>
        <v>1091.8599999999999</v>
      </c>
      <c r="M16" s="616">
        <f t="shared" si="2"/>
        <v>17.795308965468447</v>
      </c>
      <c r="N16" s="617">
        <f t="shared" si="2"/>
        <v>1</v>
      </c>
      <c r="O16" s="618">
        <f t="shared" si="2"/>
        <v>17</v>
      </c>
      <c r="P16" s="619">
        <f t="shared" si="2"/>
        <v>2</v>
      </c>
      <c r="Q16" s="619">
        <f t="shared" si="2"/>
        <v>7</v>
      </c>
      <c r="R16" s="620">
        <f t="shared" si="2"/>
        <v>72</v>
      </c>
      <c r="S16" s="621">
        <f t="shared" si="2"/>
        <v>72</v>
      </c>
      <c r="T16" s="622">
        <f t="shared" si="2"/>
        <v>22</v>
      </c>
      <c r="U16" s="623">
        <f t="shared" si="2"/>
        <v>1</v>
      </c>
    </row>
    <row r="17" spans="1:17" x14ac:dyDescent="0.25">
      <c r="A17" s="575" t="s">
        <v>441</v>
      </c>
      <c r="B17" s="575"/>
      <c r="C17" s="576">
        <v>800</v>
      </c>
      <c r="D17" s="577">
        <v>1500</v>
      </c>
      <c r="E17" s="577">
        <v>1000</v>
      </c>
      <c r="F17" s="577">
        <v>200</v>
      </c>
      <c r="G17" s="577">
        <v>1800</v>
      </c>
      <c r="H17" s="577">
        <v>100000</v>
      </c>
      <c r="I17" s="577">
        <v>6000</v>
      </c>
      <c r="J17" s="577">
        <v>160</v>
      </c>
      <c r="K17" s="577">
        <v>380</v>
      </c>
      <c r="L17" s="578">
        <v>380</v>
      </c>
      <c r="M17" s="579"/>
      <c r="N17" s="185" t="s">
        <v>612</v>
      </c>
      <c r="O17" s="170">
        <f>N16+O16</f>
        <v>18</v>
      </c>
      <c r="P17" s="170"/>
      <c r="Q17" s="170"/>
    </row>
    <row r="18" spans="1:17" x14ac:dyDescent="0.25">
      <c r="A18" s="580" t="s">
        <v>443</v>
      </c>
      <c r="B18" s="580"/>
      <c r="C18" s="581">
        <f t="shared" ref="C18:I18" si="3">C16/C17</f>
        <v>7.9898375000000001</v>
      </c>
      <c r="D18" s="582">
        <f t="shared" si="3"/>
        <v>3.5090333333333334</v>
      </c>
      <c r="E18" s="582">
        <f t="shared" si="3"/>
        <v>0.83983999999999992</v>
      </c>
      <c r="F18" s="582">
        <f t="shared" si="3"/>
        <v>2.5764999999999998</v>
      </c>
      <c r="G18" s="582">
        <f t="shared" si="3"/>
        <v>2.0491388888888888</v>
      </c>
      <c r="H18" s="582">
        <f t="shared" si="3"/>
        <v>2.54167E-2</v>
      </c>
      <c r="I18" s="582">
        <f t="shared" si="3"/>
        <v>0.3184366666666667</v>
      </c>
      <c r="J18" s="582">
        <f>1/J17*8*1/1132.6*J16</f>
        <v>0</v>
      </c>
      <c r="K18" s="582">
        <f>1/K17*16*1/188.76*K16</f>
        <v>0.24355293828978039</v>
      </c>
      <c r="L18" s="583">
        <f>1/L17*16*1/188.76*L16</f>
        <v>0.24355293828978039</v>
      </c>
      <c r="M18" s="579">
        <f>SUM(C18:L18)</f>
        <v>17.795308965468454</v>
      </c>
      <c r="N18" s="170" t="s">
        <v>613</v>
      </c>
      <c r="O18" s="170">
        <f>O16+(N16*0.7)</f>
        <v>17.7</v>
      </c>
      <c r="P18" s="170"/>
      <c r="Q18" s="170"/>
    </row>
    <row r="19" spans="1:17" x14ac:dyDescent="0.25">
      <c r="A19" s="584" t="s">
        <v>445</v>
      </c>
      <c r="B19" s="584"/>
      <c r="C19" s="585">
        <f>C16/($M$16*C17)</f>
        <v>0.44898560151465594</v>
      </c>
      <c r="D19" s="585">
        <f t="shared" ref="D19:I19" si="4">D16/($M$16*D17)</f>
        <v>0.19718867147193481</v>
      </c>
      <c r="E19" s="585">
        <f t="shared" si="4"/>
        <v>4.7194460159680166E-2</v>
      </c>
      <c r="F19" s="585">
        <f t="shared" si="4"/>
        <v>0.14478534792509998</v>
      </c>
      <c r="G19" s="585">
        <f t="shared" si="4"/>
        <v>0.11515050920808483</v>
      </c>
      <c r="H19" s="585">
        <f t="shared" si="4"/>
        <v>1.428280905339759E-3</v>
      </c>
      <c r="I19" s="585">
        <f t="shared" si="4"/>
        <v>1.7894416291652407E-2</v>
      </c>
      <c r="J19" s="586">
        <f>J18/4</f>
        <v>0</v>
      </c>
      <c r="K19" s="586">
        <f>1/M16*1/K17*16*1/188.76*K16</f>
        <v>1.3686356261776153E-2</v>
      </c>
      <c r="L19" s="587">
        <f>1/M16*1/L17*16*1/188.76*L16</f>
        <v>1.3686356261776153E-2</v>
      </c>
      <c r="M19" s="588">
        <f>SUM(C19:L19)</f>
        <v>1.0000000000000002</v>
      </c>
      <c r="N19" s="170"/>
      <c r="O19" s="170"/>
      <c r="P19" s="170"/>
      <c r="Q19" s="170"/>
    </row>
    <row r="20" spans="1:17" x14ac:dyDescent="0.25">
      <c r="C20" s="756" t="s">
        <v>446</v>
      </c>
      <c r="D20" s="757" t="s">
        <v>447</v>
      </c>
      <c r="E20" s="757" t="s">
        <v>448</v>
      </c>
      <c r="F20" s="757" t="s">
        <v>449</v>
      </c>
      <c r="G20" s="758" t="s">
        <v>450</v>
      </c>
      <c r="H20" s="759">
        <v>100000</v>
      </c>
      <c r="I20" s="758" t="s">
        <v>451</v>
      </c>
      <c r="J20" s="758" t="s">
        <v>452</v>
      </c>
      <c r="K20" s="760" t="s">
        <v>453</v>
      </c>
      <c r="L20" s="761" t="s">
        <v>453</v>
      </c>
    </row>
    <row r="22" spans="1:17" ht="13.9" customHeight="1" x14ac:dyDescent="0.25"/>
    <row r="23" spans="1:17" ht="13.9" hidden="1" customHeight="1" x14ac:dyDescent="0.25"/>
    <row r="24" spans="1:17" ht="13.9" hidden="1" customHeight="1" x14ac:dyDescent="0.25">
      <c r="I24" s="92"/>
      <c r="J24" s="92"/>
      <c r="K24" s="92"/>
      <c r="L24" s="92"/>
      <c r="M24" s="92">
        <f>30/7</f>
        <v>4.2857142857142856</v>
      </c>
      <c r="N24" s="92"/>
      <c r="O24" s="92"/>
      <c r="P24" s="92"/>
      <c r="Q24" s="92"/>
    </row>
    <row r="25" spans="1:17" ht="13.9" hidden="1" customHeight="1" x14ac:dyDescent="0.25">
      <c r="I25" s="92"/>
      <c r="J25" s="92"/>
      <c r="K25" s="92"/>
      <c r="L25" s="92"/>
      <c r="M25" s="92"/>
      <c r="N25" s="92"/>
      <c r="O25" s="92"/>
      <c r="P25" s="92"/>
      <c r="Q25" s="92"/>
    </row>
    <row r="26" spans="1:17" ht="13.9" hidden="1" customHeight="1" x14ac:dyDescent="0.25">
      <c r="I26" s="92"/>
      <c r="J26" s="92"/>
      <c r="K26" s="92"/>
      <c r="L26" s="92"/>
      <c r="M26" s="92"/>
      <c r="N26" s="92"/>
      <c r="O26" s="92"/>
      <c r="P26" s="92"/>
      <c r="Q26" s="92"/>
    </row>
    <row r="27" spans="1:17" ht="13.9" hidden="1" customHeight="1" x14ac:dyDescent="0.25">
      <c r="I27" s="92"/>
      <c r="J27" s="92"/>
      <c r="K27" s="92"/>
      <c r="L27" s="92"/>
      <c r="M27" s="92"/>
      <c r="N27" s="92"/>
      <c r="O27" s="92"/>
      <c r="P27" s="92"/>
      <c r="Q27" s="92"/>
    </row>
    <row r="28" spans="1:17" ht="13.9" hidden="1" customHeight="1" x14ac:dyDescent="0.25">
      <c r="I28" s="92"/>
      <c r="J28" s="92"/>
      <c r="K28" s="92"/>
      <c r="L28" s="92"/>
      <c r="M28" s="92"/>
      <c r="N28" s="92"/>
      <c r="O28" s="92"/>
      <c r="P28" s="92"/>
      <c r="Q28" s="92"/>
    </row>
    <row r="29" spans="1:17" ht="13.9" hidden="1" customHeight="1" x14ac:dyDescent="0.25">
      <c r="H29"/>
      <c r="I29"/>
      <c r="J29"/>
      <c r="K29"/>
      <c r="L29"/>
      <c r="M29"/>
      <c r="N29"/>
      <c r="O29"/>
      <c r="P29"/>
      <c r="Q29"/>
    </row>
    <row r="30" spans="1:17" ht="13.9" hidden="1" customHeight="1" x14ac:dyDescent="0.25">
      <c r="H30" s="92">
        <f>30/7</f>
        <v>4.2857142857142856</v>
      </c>
      <c r="I30" s="92">
        <v>40</v>
      </c>
      <c r="J30" s="92">
        <f>H30*I30</f>
        <v>171.42857142857142</v>
      </c>
      <c r="K30" s="92"/>
      <c r="L30" s="92"/>
      <c r="M30" s="92"/>
      <c r="N30" s="92"/>
      <c r="O30" s="92"/>
      <c r="P30" s="92"/>
      <c r="Q30" s="92"/>
    </row>
    <row r="31" spans="1:17" ht="13.9" hidden="1" customHeight="1" x14ac:dyDescent="0.25">
      <c r="H31" s="92"/>
      <c r="I31" s="92"/>
      <c r="J31" s="92">
        <f>J30*6</f>
        <v>1028.5714285714284</v>
      </c>
      <c r="K31" s="92" t="s">
        <v>614</v>
      </c>
      <c r="L31" s="92"/>
      <c r="M31" s="92"/>
      <c r="N31" s="92"/>
      <c r="O31" s="92"/>
      <c r="P31" s="92"/>
      <c r="Q31" s="92"/>
    </row>
    <row r="66" spans="5:5" x14ac:dyDescent="0.25">
      <c r="E66" s="171" t="s">
        <v>615</v>
      </c>
    </row>
  </sheetData>
  <mergeCells count="18">
    <mergeCell ref="C1:F1"/>
    <mergeCell ref="K2:K3"/>
    <mergeCell ref="N2:O2"/>
    <mergeCell ref="A2:A3"/>
    <mergeCell ref="C2:C3"/>
    <mergeCell ref="D2:D3"/>
    <mergeCell ref="E2:E3"/>
    <mergeCell ref="F2:F3"/>
    <mergeCell ref="G1:I1"/>
    <mergeCell ref="J1:L1"/>
    <mergeCell ref="L2:L3"/>
    <mergeCell ref="M2:M3"/>
    <mergeCell ref="B2:B3"/>
    <mergeCell ref="P2:Q2"/>
    <mergeCell ref="G2:G3"/>
    <mergeCell ref="H2:H3"/>
    <mergeCell ref="I2:I3"/>
    <mergeCell ref="J2:J3"/>
  </mergeCells>
  <pageMargins left="0" right="0" top="0.39374999999999999" bottom="0.39374999999999999" header="0" footer="0"/>
  <pageSetup paperSize="0" scale="0" firstPageNumber="0" orientation="portrait" usePrinterDefaults="0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C8DA"/>
  </sheetPr>
  <dimension ref="A1:AMI199"/>
  <sheetViews>
    <sheetView topLeftCell="A121" zoomScale="80" zoomScaleNormal="80" workbookViewId="0">
      <selection activeCell="O155" sqref="O155:AC157"/>
    </sheetView>
  </sheetViews>
  <sheetFormatPr defaultRowHeight="14.25" x14ac:dyDescent="0.2"/>
  <cols>
    <col min="1" max="1" width="49.125" style="92" bestFit="1" customWidth="1"/>
    <col min="2" max="2" width="21.375" style="92" bestFit="1" customWidth="1"/>
    <col min="3" max="4" width="10.75" style="92" bestFit="1" customWidth="1"/>
    <col min="5" max="5" width="16.75" style="92" customWidth="1"/>
    <col min="6" max="6" width="10.75" style="92" customWidth="1"/>
    <col min="7" max="1023" width="9" style="92"/>
  </cols>
  <sheetData>
    <row r="1" spans="1:6" ht="15.75" x14ac:dyDescent="0.2">
      <c r="A1" s="1042" t="s">
        <v>454</v>
      </c>
      <c r="B1" s="1042"/>
      <c r="C1" s="1042"/>
      <c r="D1" s="1042"/>
      <c r="E1" s="1042"/>
      <c r="F1" s="1042"/>
    </row>
    <row r="2" spans="1:6" ht="15.75" x14ac:dyDescent="0.2">
      <c r="A2" s="1043" t="s">
        <v>455</v>
      </c>
      <c r="B2" s="1043"/>
      <c r="C2" s="1043"/>
      <c r="D2" s="1043"/>
      <c r="E2" s="1043"/>
      <c r="F2" s="1043"/>
    </row>
    <row r="3" spans="1:6" ht="15.75" customHeight="1" x14ac:dyDescent="0.2">
      <c r="A3" s="1043" t="s">
        <v>456</v>
      </c>
      <c r="B3" s="1043"/>
      <c r="C3" s="1043"/>
      <c r="D3" s="1043"/>
      <c r="E3" s="1043"/>
      <c r="F3" s="1043"/>
    </row>
    <row r="4" spans="1:6" ht="15.75" x14ac:dyDescent="0.2">
      <c r="A4" s="93"/>
      <c r="B4" s="94"/>
      <c r="C4" s="467" t="s">
        <v>457</v>
      </c>
      <c r="D4" s="468" t="s">
        <v>458</v>
      </c>
      <c r="E4" s="468" t="s">
        <v>459</v>
      </c>
      <c r="F4" s="539" t="s">
        <v>460</v>
      </c>
    </row>
    <row r="5" spans="1:6" x14ac:dyDescent="0.2">
      <c r="A5" s="96"/>
      <c r="B5" s="97" t="s">
        <v>461</v>
      </c>
      <c r="C5" s="469">
        <f>MC!C11</f>
        <v>0</v>
      </c>
      <c r="D5" s="470">
        <f>MC!E11</f>
        <v>0</v>
      </c>
      <c r="E5" s="470">
        <f>MC!C14</f>
        <v>0</v>
      </c>
      <c r="F5" s="540">
        <f>MC!C12</f>
        <v>0</v>
      </c>
    </row>
    <row r="6" spans="1:6" x14ac:dyDescent="0.2">
      <c r="A6" s="96"/>
      <c r="B6" s="97" t="s">
        <v>462</v>
      </c>
      <c r="C6" s="471">
        <v>44562</v>
      </c>
      <c r="D6" s="472">
        <v>44562</v>
      </c>
      <c r="E6" s="472">
        <v>44562</v>
      </c>
      <c r="F6" s="541">
        <f>MC!D8</f>
        <v>0</v>
      </c>
    </row>
    <row r="7" spans="1:6" x14ac:dyDescent="0.2">
      <c r="A7" s="96"/>
      <c r="B7" s="97" t="s">
        <v>463</v>
      </c>
      <c r="C7" s="473" t="s">
        <v>9</v>
      </c>
      <c r="D7" s="474" t="s">
        <v>9</v>
      </c>
      <c r="E7" s="474" t="s">
        <v>9</v>
      </c>
      <c r="F7" s="475" t="s">
        <v>9</v>
      </c>
    </row>
    <row r="8" spans="1:6" x14ac:dyDescent="0.2">
      <c r="A8" s="96"/>
      <c r="B8" s="97" t="s">
        <v>464</v>
      </c>
      <c r="C8" s="476" t="s">
        <v>10</v>
      </c>
      <c r="D8" s="477" t="s">
        <v>10</v>
      </c>
      <c r="E8" s="477" t="s">
        <v>10</v>
      </c>
      <c r="F8" s="542">
        <f>MC!E8</f>
        <v>0</v>
      </c>
    </row>
    <row r="9" spans="1:6" x14ac:dyDescent="0.2">
      <c r="A9" s="1044"/>
      <c r="B9" s="1044"/>
      <c r="C9" s="1044"/>
      <c r="D9" s="1044"/>
      <c r="E9" s="1044"/>
      <c r="F9" s="1044"/>
    </row>
    <row r="10" spans="1:6" ht="66.75" customHeight="1" x14ac:dyDescent="0.2">
      <c r="A10" s="187" t="s">
        <v>465</v>
      </c>
      <c r="B10" s="188" t="s">
        <v>466</v>
      </c>
      <c r="C10" s="188" t="s">
        <v>467</v>
      </c>
      <c r="D10" s="254" t="s">
        <v>458</v>
      </c>
      <c r="E10" s="188" t="s">
        <v>459</v>
      </c>
      <c r="F10" s="188" t="s">
        <v>468</v>
      </c>
    </row>
    <row r="11" spans="1:6" ht="14.25" customHeight="1" x14ac:dyDescent="0.2">
      <c r="A11" s="321" t="s">
        <v>469</v>
      </c>
      <c r="B11" s="321"/>
      <c r="C11" s="321"/>
      <c r="D11" s="321"/>
      <c r="E11" s="321"/>
      <c r="F11" s="321"/>
    </row>
    <row r="12" spans="1:6" ht="15.75" customHeight="1" x14ac:dyDescent="0.2">
      <c r="A12" s="101" t="s">
        <v>470</v>
      </c>
      <c r="B12" s="102" t="s">
        <v>471</v>
      </c>
      <c r="C12" s="102" t="s">
        <v>472</v>
      </c>
      <c r="D12" s="102" t="s">
        <v>472</v>
      </c>
      <c r="E12" s="189"/>
      <c r="F12" s="103" t="s">
        <v>472</v>
      </c>
    </row>
    <row r="13" spans="1:6" ht="15.75" customHeight="1" x14ac:dyDescent="0.2">
      <c r="A13" s="104" t="s">
        <v>473</v>
      </c>
      <c r="B13" s="105"/>
      <c r="C13" s="106">
        <f>C5</f>
        <v>0</v>
      </c>
      <c r="D13" s="190">
        <f>D5</f>
        <v>0</v>
      </c>
      <c r="E13" s="190">
        <f>E5</f>
        <v>0</v>
      </c>
      <c r="F13" s="107">
        <f>F5</f>
        <v>0</v>
      </c>
    </row>
    <row r="14" spans="1:6" ht="15.75" customHeight="1" x14ac:dyDescent="0.2">
      <c r="A14" s="104" t="s">
        <v>474</v>
      </c>
      <c r="B14" s="108">
        <v>0.2</v>
      </c>
      <c r="C14" s="106">
        <f>C13*$B$14</f>
        <v>0</v>
      </c>
      <c r="D14" s="106">
        <f>D13*$B$14</f>
        <v>0</v>
      </c>
      <c r="E14" s="106"/>
      <c r="F14" s="107">
        <f>F13*$B$14</f>
        <v>0</v>
      </c>
    </row>
    <row r="15" spans="1:6" ht="15.75" customHeight="1" x14ac:dyDescent="0.2">
      <c r="A15" s="104" t="s">
        <v>475</v>
      </c>
      <c r="B15" s="109"/>
      <c r="C15" s="106"/>
      <c r="D15" s="190"/>
      <c r="E15" s="190"/>
      <c r="F15" s="107"/>
    </row>
    <row r="16" spans="1:6" ht="15.75" customHeight="1" x14ac:dyDescent="0.2">
      <c r="A16" s="104" t="s">
        <v>476</v>
      </c>
      <c r="B16" s="109"/>
      <c r="C16" s="106"/>
      <c r="D16" s="190"/>
      <c r="E16" s="190"/>
      <c r="F16" s="107"/>
    </row>
    <row r="17" spans="1:6" ht="15.75" customHeight="1" x14ac:dyDescent="0.2">
      <c r="A17" s="104" t="s">
        <v>477</v>
      </c>
      <c r="B17" s="109"/>
      <c r="C17" s="106"/>
      <c r="D17" s="190"/>
      <c r="E17" s="190"/>
      <c r="F17" s="107"/>
    </row>
    <row r="18" spans="1:6" ht="15.75" customHeight="1" x14ac:dyDescent="0.2">
      <c r="A18" s="104" t="s">
        <v>478</v>
      </c>
      <c r="B18" s="108">
        <v>0.3</v>
      </c>
      <c r="C18" s="106"/>
      <c r="D18" s="106"/>
      <c r="E18" s="190">
        <f>E13*B18</f>
        <v>0</v>
      </c>
      <c r="F18" s="107"/>
    </row>
    <row r="19" spans="1:6" ht="15.75" customHeight="1" x14ac:dyDescent="0.2">
      <c r="A19" s="111" t="s">
        <v>479</v>
      </c>
      <c r="B19" s="112"/>
      <c r="C19" s="121">
        <f>SUM(C13:C18)</f>
        <v>0</v>
      </c>
      <c r="D19" s="191">
        <f>SUM(D13:D18)</f>
        <v>0</v>
      </c>
      <c r="E19" s="191">
        <f>SUM(E13:E18)</f>
        <v>0</v>
      </c>
      <c r="F19" s="122">
        <f>SUM(F13:F18)</f>
        <v>0</v>
      </c>
    </row>
    <row r="20" spans="1:6" ht="15.75" customHeight="1" x14ac:dyDescent="0.2">
      <c r="A20" s="1045"/>
      <c r="B20" s="1045"/>
      <c r="C20" s="114"/>
      <c r="D20" s="192"/>
      <c r="E20" s="192"/>
      <c r="F20" s="115"/>
    </row>
    <row r="21" spans="1:6" ht="14.25" customHeight="1" x14ac:dyDescent="0.2">
      <c r="A21" s="1046" t="s">
        <v>480</v>
      </c>
      <c r="B21" s="1046"/>
      <c r="C21" s="1046"/>
      <c r="D21" s="1046"/>
      <c r="E21" s="1046"/>
      <c r="F21" s="1046"/>
    </row>
    <row r="22" spans="1:6" ht="28.35" customHeight="1" x14ac:dyDescent="0.2">
      <c r="A22" s="116" t="s">
        <v>481</v>
      </c>
      <c r="B22" s="117" t="s">
        <v>471</v>
      </c>
      <c r="C22" s="117" t="s">
        <v>472</v>
      </c>
      <c r="D22" s="117" t="s">
        <v>472</v>
      </c>
      <c r="E22" s="117" t="s">
        <v>472</v>
      </c>
      <c r="F22" s="118" t="s">
        <v>472</v>
      </c>
    </row>
    <row r="23" spans="1:6" ht="15.75" customHeight="1" x14ac:dyDescent="0.2">
      <c r="A23" s="119" t="s">
        <v>482</v>
      </c>
      <c r="B23" s="108">
        <f>1/12</f>
        <v>8.3333333333333329E-2</v>
      </c>
      <c r="C23" s="106">
        <f>ROUND($B23*C$19,2)</f>
        <v>0</v>
      </c>
      <c r="D23" s="106">
        <f>ROUND($B23*D$19,2)</f>
        <v>0</v>
      </c>
      <c r="E23" s="106">
        <f>ROUND($B23*E$19,2)</f>
        <v>0</v>
      </c>
      <c r="F23" s="107">
        <f>ROUND($B23*F$19,2)</f>
        <v>0</v>
      </c>
    </row>
    <row r="24" spans="1:6" x14ac:dyDescent="0.2">
      <c r="A24" s="119" t="s">
        <v>483</v>
      </c>
      <c r="B24" s="108">
        <f>1/3*1/12</f>
        <v>2.7777777777777776E-2</v>
      </c>
      <c r="C24" s="106">
        <f>C$19*$B$24</f>
        <v>0</v>
      </c>
      <c r="D24" s="106">
        <f>D$19*$B$24</f>
        <v>0</v>
      </c>
      <c r="E24" s="106">
        <f>E$19*$B$24</f>
        <v>0</v>
      </c>
      <c r="F24" s="107">
        <f>F$19*$B$24</f>
        <v>0</v>
      </c>
    </row>
    <row r="25" spans="1:6" ht="14.25" customHeight="1" x14ac:dyDescent="0.2">
      <c r="A25" s="111" t="s">
        <v>479</v>
      </c>
      <c r="B25" s="120">
        <f>SUM(B23:B24)</f>
        <v>0.1111111111111111</v>
      </c>
      <c r="C25" s="121">
        <f>SUM(C23:C24)</f>
        <v>0</v>
      </c>
      <c r="D25" s="121">
        <f>SUM(D23:D24)</f>
        <v>0</v>
      </c>
      <c r="E25" s="121">
        <f>SUM(E23:E24)</f>
        <v>0</v>
      </c>
      <c r="F25" s="122">
        <f>SUM(F23:F24)</f>
        <v>0</v>
      </c>
    </row>
    <row r="26" spans="1:6" x14ac:dyDescent="0.2">
      <c r="A26" s="116" t="s">
        <v>484</v>
      </c>
      <c r="B26" s="117" t="s">
        <v>471</v>
      </c>
      <c r="C26" s="117" t="s">
        <v>472</v>
      </c>
      <c r="D26" s="117" t="s">
        <v>472</v>
      </c>
      <c r="E26" s="117" t="s">
        <v>472</v>
      </c>
      <c r="F26" s="118" t="s">
        <v>472</v>
      </c>
    </row>
    <row r="27" spans="1:6" ht="15.75" customHeight="1" x14ac:dyDescent="0.2">
      <c r="A27" s="116" t="s">
        <v>485</v>
      </c>
      <c r="B27" s="123"/>
      <c r="C27" s="123"/>
      <c r="D27" s="123"/>
      <c r="E27" s="193"/>
      <c r="F27" s="124"/>
    </row>
    <row r="28" spans="1:6" ht="14.25" customHeight="1" x14ac:dyDescent="0.2">
      <c r="A28" s="119" t="s">
        <v>486</v>
      </c>
      <c r="B28" s="108">
        <v>0.2</v>
      </c>
      <c r="C28" s="125">
        <f t="shared" ref="C28:C35" si="0">ROUND(($C$19+$C$25)*B28,2)</f>
        <v>0</v>
      </c>
      <c r="D28" s="125">
        <f t="shared" ref="D28:D35" si="1">ROUND(($D$19+$D$25)*B28,2)</f>
        <v>0</v>
      </c>
      <c r="E28" s="125">
        <f t="shared" ref="E28:E35" si="2">ROUND(($E$19+$E$25)*B28,2)</f>
        <v>0</v>
      </c>
      <c r="F28" s="126">
        <f t="shared" ref="F28:F35" si="3">ROUND(($F$19+$F$25)*B28,2)</f>
        <v>0</v>
      </c>
    </row>
    <row r="29" spans="1:6" ht="15.75" customHeight="1" x14ac:dyDescent="0.2">
      <c r="A29" s="119" t="s">
        <v>487</v>
      </c>
      <c r="B29" s="108">
        <v>2.5000000000000001E-2</v>
      </c>
      <c r="C29" s="125">
        <f t="shared" si="0"/>
        <v>0</v>
      </c>
      <c r="D29" s="125">
        <f t="shared" si="1"/>
        <v>0</v>
      </c>
      <c r="E29" s="125">
        <f t="shared" si="2"/>
        <v>0</v>
      </c>
      <c r="F29" s="126">
        <f t="shared" si="3"/>
        <v>0</v>
      </c>
    </row>
    <row r="30" spans="1:6" ht="15.75" customHeight="1" x14ac:dyDescent="0.2">
      <c r="A30" s="119" t="s">
        <v>488</v>
      </c>
      <c r="B30" s="108">
        <v>0.03</v>
      </c>
      <c r="C30" s="125">
        <f t="shared" si="0"/>
        <v>0</v>
      </c>
      <c r="D30" s="125">
        <f t="shared" si="1"/>
        <v>0</v>
      </c>
      <c r="E30" s="125">
        <f t="shared" si="2"/>
        <v>0</v>
      </c>
      <c r="F30" s="126">
        <f t="shared" si="3"/>
        <v>0</v>
      </c>
    </row>
    <row r="31" spans="1:6" ht="15.75" customHeight="1" x14ac:dyDescent="0.2">
      <c r="A31" s="119" t="s">
        <v>489</v>
      </c>
      <c r="B31" s="108">
        <v>1.4999999999999999E-2</v>
      </c>
      <c r="C31" s="125">
        <f t="shared" si="0"/>
        <v>0</v>
      </c>
      <c r="D31" s="125">
        <f t="shared" si="1"/>
        <v>0</v>
      </c>
      <c r="E31" s="125">
        <f t="shared" si="2"/>
        <v>0</v>
      </c>
      <c r="F31" s="126">
        <f t="shared" si="3"/>
        <v>0</v>
      </c>
    </row>
    <row r="32" spans="1:6" ht="15.75" customHeight="1" x14ac:dyDescent="0.2">
      <c r="A32" s="119" t="s">
        <v>490</v>
      </c>
      <c r="B32" s="108">
        <v>0.01</v>
      </c>
      <c r="C32" s="125">
        <f t="shared" si="0"/>
        <v>0</v>
      </c>
      <c r="D32" s="125">
        <f t="shared" si="1"/>
        <v>0</v>
      </c>
      <c r="E32" s="125">
        <f t="shared" si="2"/>
        <v>0</v>
      </c>
      <c r="F32" s="126">
        <f t="shared" si="3"/>
        <v>0</v>
      </c>
    </row>
    <row r="33" spans="1:6" ht="15.75" customHeight="1" x14ac:dyDescent="0.2">
      <c r="A33" s="119" t="s">
        <v>491</v>
      </c>
      <c r="B33" s="108">
        <v>6.0000000000000001E-3</v>
      </c>
      <c r="C33" s="125">
        <f t="shared" si="0"/>
        <v>0</v>
      </c>
      <c r="D33" s="125">
        <f t="shared" si="1"/>
        <v>0</v>
      </c>
      <c r="E33" s="125">
        <f t="shared" si="2"/>
        <v>0</v>
      </c>
      <c r="F33" s="126">
        <f t="shared" si="3"/>
        <v>0</v>
      </c>
    </row>
    <row r="34" spans="1:6" ht="15.75" customHeight="1" x14ac:dyDescent="0.2">
      <c r="A34" s="119" t="s">
        <v>492</v>
      </c>
      <c r="B34" s="108">
        <v>2E-3</v>
      </c>
      <c r="C34" s="125">
        <f t="shared" si="0"/>
        <v>0</v>
      </c>
      <c r="D34" s="125">
        <f t="shared" si="1"/>
        <v>0</v>
      </c>
      <c r="E34" s="125">
        <f t="shared" si="2"/>
        <v>0</v>
      </c>
      <c r="F34" s="126">
        <f t="shared" si="3"/>
        <v>0</v>
      </c>
    </row>
    <row r="35" spans="1:6" ht="15.75" customHeight="1" x14ac:dyDescent="0.2">
      <c r="A35" s="119" t="s">
        <v>493</v>
      </c>
      <c r="B35" s="108">
        <v>0.08</v>
      </c>
      <c r="C35" s="125">
        <f t="shared" si="0"/>
        <v>0</v>
      </c>
      <c r="D35" s="125">
        <f t="shared" si="1"/>
        <v>0</v>
      </c>
      <c r="E35" s="125">
        <f t="shared" si="2"/>
        <v>0</v>
      </c>
      <c r="F35" s="126">
        <f t="shared" si="3"/>
        <v>0</v>
      </c>
    </row>
    <row r="36" spans="1:6" ht="15.75" customHeight="1" x14ac:dyDescent="0.2">
      <c r="A36" s="111" t="s">
        <v>479</v>
      </c>
      <c r="B36" s="120">
        <f>SUM(B28:B35)</f>
        <v>0.36800000000000005</v>
      </c>
      <c r="C36" s="121">
        <f>SUM(C27:C35)</f>
        <v>0</v>
      </c>
      <c r="D36" s="121">
        <f>SUM(D27:D35)</f>
        <v>0</v>
      </c>
      <c r="E36" s="191">
        <f>SUM(E28:E35)</f>
        <v>0</v>
      </c>
      <c r="F36" s="122">
        <f>SUM(F27:F35)</f>
        <v>0</v>
      </c>
    </row>
    <row r="37" spans="1:6" ht="15.75" customHeight="1" x14ac:dyDescent="0.2">
      <c r="A37" s="116" t="s">
        <v>494</v>
      </c>
      <c r="B37" s="117" t="s">
        <v>495</v>
      </c>
      <c r="C37" s="117" t="s">
        <v>472</v>
      </c>
      <c r="D37" s="117" t="s">
        <v>472</v>
      </c>
      <c r="E37" s="117" t="s">
        <v>472</v>
      </c>
      <c r="F37" s="118" t="s">
        <v>472</v>
      </c>
    </row>
    <row r="38" spans="1:6" ht="15.75" customHeight="1" x14ac:dyDescent="0.2">
      <c r="A38" s="119" t="s">
        <v>496</v>
      </c>
      <c r="B38" s="127">
        <f>MC!J86</f>
        <v>0</v>
      </c>
      <c r="C38" s="106">
        <f>ROUND(((2*22*$B$38)-0.06*C$13),2)</f>
        <v>0</v>
      </c>
      <c r="D38" s="106">
        <f>ROUND(((2*22*$B$38)-0.06*D$13),2)</f>
        <v>0</v>
      </c>
      <c r="E38" s="106">
        <f>ROUND(((2*22*$B$38)-0.06*E$13),2)</f>
        <v>0</v>
      </c>
      <c r="F38" s="106">
        <f>ROUND(((2*22*$B$38)-0.06*F$13),2)</f>
        <v>0</v>
      </c>
    </row>
    <row r="39" spans="1:6" ht="15.75" customHeight="1" x14ac:dyDescent="0.2">
      <c r="A39" s="478" t="s">
        <v>497</v>
      </c>
      <c r="B39" s="128"/>
      <c r="C39" s="125">
        <f>MC!E21</f>
        <v>0</v>
      </c>
      <c r="D39" s="125">
        <f>MC!E22</f>
        <v>0</v>
      </c>
      <c r="E39" s="125">
        <f>MC!E21</f>
        <v>0</v>
      </c>
      <c r="F39" s="125">
        <f>MC!E21</f>
        <v>0</v>
      </c>
    </row>
    <row r="40" spans="1:6" ht="15.75" customHeight="1" x14ac:dyDescent="0.2">
      <c r="A40" s="119" t="s">
        <v>498</v>
      </c>
      <c r="B40" s="108">
        <f>MC!C26</f>
        <v>0</v>
      </c>
      <c r="C40" s="125"/>
      <c r="D40" s="125"/>
      <c r="E40" s="125">
        <f>MC!E26</f>
        <v>0</v>
      </c>
      <c r="F40" s="125"/>
    </row>
    <row r="41" spans="1:6" ht="15.75" customHeight="1" x14ac:dyDescent="0.2">
      <c r="A41" s="119" t="s">
        <v>499</v>
      </c>
      <c r="B41" s="129">
        <f>MC!E25</f>
        <v>0</v>
      </c>
      <c r="C41" s="125">
        <f>B41</f>
        <v>0</v>
      </c>
      <c r="D41" s="125">
        <f>B41</f>
        <v>0</v>
      </c>
      <c r="E41" s="194">
        <f>B41</f>
        <v>0</v>
      </c>
      <c r="F41" s="126">
        <f>B41</f>
        <v>0</v>
      </c>
    </row>
    <row r="42" spans="1:6" ht="15.75" customHeight="1" x14ac:dyDescent="0.2">
      <c r="A42" s="119" t="s">
        <v>500</v>
      </c>
      <c r="B42" s="567">
        <f>MC!C24</f>
        <v>0</v>
      </c>
      <c r="C42" s="125">
        <f>$B$42*C19</f>
        <v>0</v>
      </c>
      <c r="D42" s="125">
        <f t="shared" ref="D42:F42" si="4">$B$42*D19</f>
        <v>0</v>
      </c>
      <c r="E42" s="125">
        <f t="shared" si="4"/>
        <v>0</v>
      </c>
      <c r="F42" s="125">
        <f t="shared" si="4"/>
        <v>0</v>
      </c>
    </row>
    <row r="43" spans="1:6" ht="15.75" customHeight="1" x14ac:dyDescent="0.2">
      <c r="A43" s="119" t="s">
        <v>501</v>
      </c>
      <c r="B43" s="108"/>
      <c r="C43" s="125"/>
      <c r="D43" s="125"/>
      <c r="E43" s="194"/>
      <c r="F43" s="126"/>
    </row>
    <row r="44" spans="1:6" ht="15.75" customHeight="1" x14ac:dyDescent="0.2">
      <c r="A44" s="111" t="s">
        <v>479</v>
      </c>
      <c r="B44" s="112"/>
      <c r="C44" s="121">
        <f>SUM(C38:C43)</f>
        <v>0</v>
      </c>
      <c r="D44" s="121">
        <f>SUM(D38:D43)</f>
        <v>0</v>
      </c>
      <c r="E44" s="191">
        <f>SUM(E38:E43)</f>
        <v>0</v>
      </c>
      <c r="F44" s="122">
        <f>SUM(F38:F43)</f>
        <v>0</v>
      </c>
    </row>
    <row r="45" spans="1:6" x14ac:dyDescent="0.2">
      <c r="A45" s="101" t="s">
        <v>502</v>
      </c>
      <c r="B45" s="102" t="s">
        <v>471</v>
      </c>
      <c r="C45" s="102" t="s">
        <v>472</v>
      </c>
      <c r="D45" s="102" t="s">
        <v>472</v>
      </c>
      <c r="E45" s="102" t="s">
        <v>472</v>
      </c>
      <c r="F45" s="103" t="s">
        <v>472</v>
      </c>
    </row>
    <row r="46" spans="1:6" ht="15.75" customHeight="1" x14ac:dyDescent="0.2">
      <c r="A46" s="119" t="s">
        <v>481</v>
      </c>
      <c r="B46" s="130">
        <f>B25</f>
        <v>0.1111111111111111</v>
      </c>
      <c r="C46" s="131">
        <f>C25</f>
        <v>0</v>
      </c>
      <c r="D46" s="131">
        <f>D25</f>
        <v>0</v>
      </c>
      <c r="E46" s="131">
        <f>E25</f>
        <v>0</v>
      </c>
      <c r="F46" s="132">
        <f>F25</f>
        <v>0</v>
      </c>
    </row>
    <row r="47" spans="1:6" ht="15.75" customHeight="1" x14ac:dyDescent="0.2">
      <c r="A47" s="119" t="s">
        <v>503</v>
      </c>
      <c r="B47" s="130">
        <f>B36</f>
        <v>0.36800000000000005</v>
      </c>
      <c r="C47" s="131">
        <f>C36</f>
        <v>0</v>
      </c>
      <c r="D47" s="131">
        <f>D36</f>
        <v>0</v>
      </c>
      <c r="E47" s="131">
        <f>E36</f>
        <v>0</v>
      </c>
      <c r="F47" s="132">
        <f>F36</f>
        <v>0</v>
      </c>
    </row>
    <row r="48" spans="1:6" ht="15.75" customHeight="1" x14ac:dyDescent="0.2">
      <c r="A48" s="119" t="s">
        <v>494</v>
      </c>
      <c r="B48" s="130"/>
      <c r="C48" s="131">
        <f>C44</f>
        <v>0</v>
      </c>
      <c r="D48" s="131">
        <f>D44</f>
        <v>0</v>
      </c>
      <c r="E48" s="131">
        <f>E44</f>
        <v>0</v>
      </c>
      <c r="F48" s="132">
        <f>F44</f>
        <v>0</v>
      </c>
    </row>
    <row r="49" spans="1:6" ht="15.75" customHeight="1" x14ac:dyDescent="0.2">
      <c r="A49" s="111" t="s">
        <v>479</v>
      </c>
      <c r="B49" s="112"/>
      <c r="C49" s="121">
        <f>SUM(C46:C48)</f>
        <v>0</v>
      </c>
      <c r="D49" s="121">
        <f>SUM(D46:D48)</f>
        <v>0</v>
      </c>
      <c r="E49" s="191">
        <f>SUM(E46:E48)</f>
        <v>0</v>
      </c>
      <c r="F49" s="122">
        <f>SUM(F46:F48)</f>
        <v>0</v>
      </c>
    </row>
    <row r="50" spans="1:6" ht="14.25" customHeight="1" x14ac:dyDescent="0.2">
      <c r="A50" s="1045"/>
      <c r="B50" s="1045"/>
      <c r="C50" s="114"/>
      <c r="D50" s="115"/>
      <c r="E50" s="115"/>
      <c r="F50" s="115"/>
    </row>
    <row r="51" spans="1:6" s="133" customFormat="1" ht="12.75" customHeight="1" x14ac:dyDescent="0.2">
      <c r="A51" s="1046" t="s">
        <v>504</v>
      </c>
      <c r="B51" s="1046"/>
      <c r="C51" s="1046"/>
      <c r="D51" s="1046"/>
      <c r="E51" s="1046"/>
      <c r="F51" s="1046"/>
    </row>
    <row r="52" spans="1:6" ht="15.75" customHeight="1" x14ac:dyDescent="0.2">
      <c r="A52" s="101" t="s">
        <v>505</v>
      </c>
      <c r="B52" s="102" t="s">
        <v>471</v>
      </c>
      <c r="C52" s="102" t="s">
        <v>472</v>
      </c>
      <c r="D52" s="102" t="s">
        <v>472</v>
      </c>
      <c r="E52" s="102" t="s">
        <v>472</v>
      </c>
      <c r="F52" s="103" t="s">
        <v>472</v>
      </c>
    </row>
    <row r="53" spans="1:6" ht="15.75" customHeight="1" x14ac:dyDescent="0.2">
      <c r="A53" s="116" t="s">
        <v>506</v>
      </c>
      <c r="B53" s="134"/>
      <c r="C53" s="134"/>
      <c r="D53" s="134"/>
      <c r="E53" s="195"/>
      <c r="F53" s="135"/>
    </row>
    <row r="54" spans="1:6" ht="15.75" customHeight="1" x14ac:dyDescent="0.2">
      <c r="A54" s="119" t="s">
        <v>507</v>
      </c>
      <c r="B54" s="130">
        <f>1/12*0.05</f>
        <v>4.1666666666666666E-3</v>
      </c>
      <c r="C54" s="136">
        <f>C19*$B54</f>
        <v>0</v>
      </c>
      <c r="D54" s="136">
        <f t="shared" ref="D54:F54" si="5">D19*$B54</f>
        <v>0</v>
      </c>
      <c r="E54" s="136">
        <f t="shared" si="5"/>
        <v>0</v>
      </c>
      <c r="F54" s="136">
        <f t="shared" si="5"/>
        <v>0</v>
      </c>
    </row>
    <row r="55" spans="1:6" x14ac:dyDescent="0.2">
      <c r="A55" s="119" t="s">
        <v>508</v>
      </c>
      <c r="B55" s="130">
        <f>B35*B54</f>
        <v>3.3333333333333332E-4</v>
      </c>
      <c r="C55" s="136">
        <f>$B$55*C19</f>
        <v>0</v>
      </c>
      <c r="D55" s="136">
        <f t="shared" ref="D55:F55" si="6">$B$55*D19</f>
        <v>0</v>
      </c>
      <c r="E55" s="136">
        <f t="shared" si="6"/>
        <v>0</v>
      </c>
      <c r="F55" s="136">
        <f t="shared" si="6"/>
        <v>0</v>
      </c>
    </row>
    <row r="56" spans="1:6" x14ac:dyDescent="0.2">
      <c r="A56" s="119" t="s">
        <v>509</v>
      </c>
      <c r="B56" s="130">
        <v>0</v>
      </c>
      <c r="C56" s="136">
        <f>C35*$B56</f>
        <v>0</v>
      </c>
      <c r="D56" s="136">
        <f t="shared" ref="D56:F56" si="7">D35*$B56</f>
        <v>0</v>
      </c>
      <c r="E56" s="136">
        <f t="shared" si="7"/>
        <v>0</v>
      </c>
      <c r="F56" s="136">
        <f t="shared" si="7"/>
        <v>0</v>
      </c>
    </row>
    <row r="57" spans="1:6" x14ac:dyDescent="0.2">
      <c r="A57" s="119" t="s">
        <v>510</v>
      </c>
      <c r="B57" s="130">
        <f>1/12*1/30*7</f>
        <v>1.9444444444444441E-2</v>
      </c>
      <c r="C57" s="131">
        <f>C19*$B57</f>
        <v>0</v>
      </c>
      <c r="D57" s="131">
        <f t="shared" ref="D57:F57" si="8">D19*$B57</f>
        <v>0</v>
      </c>
      <c r="E57" s="131">
        <f t="shared" si="8"/>
        <v>0</v>
      </c>
      <c r="F57" s="131">
        <f t="shared" si="8"/>
        <v>0</v>
      </c>
    </row>
    <row r="58" spans="1:6" x14ac:dyDescent="0.2">
      <c r="A58" s="119" t="s">
        <v>511</v>
      </c>
      <c r="B58" s="130">
        <f>B36*B57</f>
        <v>7.1555555555555556E-3</v>
      </c>
      <c r="C58" s="131">
        <f>$B58*C19</f>
        <v>0</v>
      </c>
      <c r="D58" s="131">
        <f t="shared" ref="D58:F58" si="9">$B58*D19</f>
        <v>0</v>
      </c>
      <c r="E58" s="131">
        <f t="shared" si="9"/>
        <v>0</v>
      </c>
      <c r="F58" s="131">
        <f t="shared" si="9"/>
        <v>0</v>
      </c>
    </row>
    <row r="59" spans="1:6" x14ac:dyDescent="0.2">
      <c r="A59" s="119" t="s">
        <v>512</v>
      </c>
      <c r="B59" s="130">
        <f>B35*40/100*90/100*(1+1/12+1/12+1/3*1/12)</f>
        <v>3.4399999999999993E-2</v>
      </c>
      <c r="C59" s="131">
        <f>C19*$B59</f>
        <v>0</v>
      </c>
      <c r="D59" s="131">
        <f t="shared" ref="D59:F59" si="10">D19*$B59</f>
        <v>0</v>
      </c>
      <c r="E59" s="131">
        <f t="shared" si="10"/>
        <v>0</v>
      </c>
      <c r="F59" s="131">
        <f t="shared" si="10"/>
        <v>0</v>
      </c>
    </row>
    <row r="60" spans="1:6" ht="14.25" customHeight="1" x14ac:dyDescent="0.2">
      <c r="A60" s="111" t="s">
        <v>479</v>
      </c>
      <c r="B60" s="120">
        <f>SUM(B54:B59)</f>
        <v>6.5499999999999989E-2</v>
      </c>
      <c r="C60" s="137">
        <f>SUM(C54:C59)</f>
        <v>0</v>
      </c>
      <c r="D60" s="137">
        <f>SUM(D54:D59)</f>
        <v>0</v>
      </c>
      <c r="E60" s="196">
        <f>SUM(E54:E59)</f>
        <v>0</v>
      </c>
      <c r="F60" s="138">
        <f>SUM(F54:F59)</f>
        <v>0</v>
      </c>
    </row>
    <row r="61" spans="1:6" ht="14.25" customHeight="1" x14ac:dyDescent="0.2">
      <c r="A61" s="1045"/>
      <c r="B61" s="1045"/>
      <c r="C61" s="322"/>
      <c r="D61" s="322"/>
      <c r="E61" s="323"/>
      <c r="F61" s="324"/>
    </row>
    <row r="62" spans="1:6" ht="15.75" customHeight="1" x14ac:dyDescent="0.2">
      <c r="A62" s="1046" t="s">
        <v>513</v>
      </c>
      <c r="B62" s="1046"/>
      <c r="C62" s="1046"/>
      <c r="D62" s="1046"/>
      <c r="E62" s="1046"/>
      <c r="F62" s="1046"/>
    </row>
    <row r="63" spans="1:6" ht="14.25" customHeight="1" x14ac:dyDescent="0.2">
      <c r="A63" s="116" t="s">
        <v>48</v>
      </c>
      <c r="B63" s="117"/>
      <c r="C63" s="117"/>
      <c r="D63" s="117"/>
      <c r="E63" s="197"/>
      <c r="F63" s="118"/>
    </row>
    <row r="64" spans="1:6" ht="14.25" customHeight="1" x14ac:dyDescent="0.2">
      <c r="A64" s="119" t="s">
        <v>49</v>
      </c>
      <c r="B64" s="108">
        <f>1/12</f>
        <v>8.3333333333333329E-2</v>
      </c>
      <c r="C64" s="125">
        <f>B64*($C$19+$C$49+$C$60)</f>
        <v>0</v>
      </c>
      <c r="D64" s="125">
        <f>B64*($D$19+$D$49+$D$60)</f>
        <v>0</v>
      </c>
      <c r="E64" s="194">
        <f>B64*($E$19+$E$49+$E$60)</f>
        <v>0</v>
      </c>
      <c r="F64" s="126">
        <f>B64*($F$19+$F$49+$F$60)</f>
        <v>0</v>
      </c>
    </row>
    <row r="65" spans="1:6" x14ac:dyDescent="0.2">
      <c r="A65" s="119" t="s">
        <v>514</v>
      </c>
      <c r="B65" s="108">
        <f>MC!E56/30/12</f>
        <v>1.3538888888888885E-2</v>
      </c>
      <c r="C65" s="125">
        <f>B65*($C$19+$C$49+$C$60)</f>
        <v>0</v>
      </c>
      <c r="D65" s="125">
        <f>B65*($D$19+$D$49+$D$60)</f>
        <v>0</v>
      </c>
      <c r="E65" s="194">
        <f>B65*($E$19+$E$49+$E$60)</f>
        <v>0</v>
      </c>
      <c r="F65" s="126">
        <f>B65*($F$19+$F$49+$F$60)</f>
        <v>0</v>
      </c>
    </row>
    <row r="66" spans="1:6" x14ac:dyDescent="0.2">
      <c r="A66" s="119" t="s">
        <v>515</v>
      </c>
      <c r="B66" s="139">
        <f>(5/30)/12*MC!F58*MC!C59</f>
        <v>1.0764583333333333E-4</v>
      </c>
      <c r="C66" s="125">
        <f>B66*($C$19+$C$49+$C$60)</f>
        <v>0</v>
      </c>
      <c r="D66" s="125">
        <f>B66*($D$19+$D$49+$D$60)</f>
        <v>0</v>
      </c>
      <c r="E66" s="194">
        <f>B66*($E$19+$E$49+$E$60)</f>
        <v>0</v>
      </c>
      <c r="F66" s="126">
        <f>B66*($F$19+$F$49+$F$60)</f>
        <v>0</v>
      </c>
    </row>
    <row r="67" spans="1:6" ht="14.25" customHeight="1" x14ac:dyDescent="0.2">
      <c r="A67" s="119" t="s">
        <v>516</v>
      </c>
      <c r="B67" s="139">
        <f>MC!C61/30/12</f>
        <v>2.6830555555555553E-3</v>
      </c>
      <c r="C67" s="125">
        <f>B67*($C$19+$C$49+$C$60)</f>
        <v>0</v>
      </c>
      <c r="D67" s="125">
        <f>B67*($D$19+$D$49+$D$60)</f>
        <v>0</v>
      </c>
      <c r="E67" s="194">
        <f>B67*($E$19+$E$49+$E$60)</f>
        <v>0</v>
      </c>
      <c r="F67" s="126">
        <f>B67*($F$19+$F$49+$F$60)</f>
        <v>0</v>
      </c>
    </row>
    <row r="68" spans="1:6" ht="14.25" customHeight="1" x14ac:dyDescent="0.2">
      <c r="A68" s="119" t="s">
        <v>517</v>
      </c>
      <c r="B68" s="108"/>
      <c r="C68" s="125"/>
      <c r="D68" s="125"/>
      <c r="E68" s="194">
        <f>B68*($E$19+$E$49+$E$60)</f>
        <v>0</v>
      </c>
      <c r="F68" s="126"/>
    </row>
    <row r="69" spans="1:6" ht="14.25" customHeight="1" x14ac:dyDescent="0.2">
      <c r="A69" s="140" t="s">
        <v>518</v>
      </c>
      <c r="B69" s="141">
        <f>SUM(B64:B68)</f>
        <v>9.9662923611111107E-2</v>
      </c>
      <c r="C69" s="142">
        <f>SUM(C64:C68)</f>
        <v>0</v>
      </c>
      <c r="D69" s="142">
        <f>SUM(D64:D68)</f>
        <v>0</v>
      </c>
      <c r="E69" s="198">
        <f>SUM(E64:E68)</f>
        <v>0</v>
      </c>
      <c r="F69" s="143">
        <f>SUM(F64:F68)</f>
        <v>0</v>
      </c>
    </row>
    <row r="70" spans="1:6" ht="14.25" customHeight="1" x14ac:dyDescent="0.2">
      <c r="A70" s="116" t="s">
        <v>519</v>
      </c>
      <c r="B70" s="117"/>
      <c r="C70" s="117"/>
      <c r="D70" s="117"/>
      <c r="E70" s="197"/>
      <c r="F70" s="118"/>
    </row>
    <row r="71" spans="1:6" ht="14.25" customHeight="1" x14ac:dyDescent="0.2">
      <c r="A71" s="119" t="s">
        <v>520</v>
      </c>
      <c r="B71" s="108"/>
      <c r="C71" s="125"/>
      <c r="D71" s="125"/>
      <c r="E71" s="194"/>
      <c r="F71" s="126"/>
    </row>
    <row r="72" spans="1:6" ht="14.25" customHeight="1" x14ac:dyDescent="0.2">
      <c r="A72" s="140" t="s">
        <v>518</v>
      </c>
      <c r="B72" s="141"/>
      <c r="C72" s="142">
        <f>C71</f>
        <v>0</v>
      </c>
      <c r="D72" s="142"/>
      <c r="E72" s="198"/>
      <c r="F72" s="143"/>
    </row>
    <row r="73" spans="1:6" ht="14.25" customHeight="1" x14ac:dyDescent="0.2">
      <c r="A73" s="116" t="s">
        <v>70</v>
      </c>
      <c r="B73" s="117"/>
      <c r="C73" s="117"/>
      <c r="D73" s="117"/>
      <c r="E73" s="197"/>
      <c r="F73" s="118"/>
    </row>
    <row r="74" spans="1:6" ht="14.25" customHeight="1" x14ac:dyDescent="0.2">
      <c r="A74" s="119" t="s">
        <v>71</v>
      </c>
      <c r="B74" s="108">
        <f>120/30*MC!C64*MC!C65</f>
        <v>6.18624E-3</v>
      </c>
      <c r="C74" s="125">
        <f>(((C19*2)+ (C19*1/3))+(C36)+(C44-C38-C39))*$B$74</f>
        <v>0</v>
      </c>
      <c r="D74" s="125">
        <f>(((D19*2)+ (D19*1/3))+(D36)+(D44-D38-D39))*$B$74</f>
        <v>0</v>
      </c>
      <c r="E74" s="125">
        <f>(((E19*2)+ (E19*1/3))+(E36)+(E44-E38-E39))*$B$74</f>
        <v>0</v>
      </c>
      <c r="F74" s="126">
        <f>(((F19*2)+ (F19*1/3))+(F36)+(F44-F38-F39))*$B$74</f>
        <v>0</v>
      </c>
    </row>
    <row r="75" spans="1:6" ht="15.75" customHeight="1" x14ac:dyDescent="0.2">
      <c r="A75" s="140" t="s">
        <v>479</v>
      </c>
      <c r="B75" s="141"/>
      <c r="C75" s="142"/>
      <c r="D75" s="142"/>
      <c r="E75" s="198"/>
      <c r="F75" s="143"/>
    </row>
    <row r="76" spans="1:6" x14ac:dyDescent="0.2">
      <c r="A76" s="101" t="s">
        <v>521</v>
      </c>
      <c r="B76" s="102"/>
      <c r="C76" s="102"/>
      <c r="D76" s="102"/>
      <c r="E76" s="189"/>
      <c r="F76" s="103"/>
    </row>
    <row r="77" spans="1:6" x14ac:dyDescent="0.2">
      <c r="A77" s="119" t="s">
        <v>48</v>
      </c>
      <c r="B77" s="130">
        <f>B69</f>
        <v>9.9662923611111107E-2</v>
      </c>
      <c r="C77" s="131">
        <f>C69</f>
        <v>0</v>
      </c>
      <c r="D77" s="131">
        <f>D69</f>
        <v>0</v>
      </c>
      <c r="E77" s="131">
        <f>E69</f>
        <v>0</v>
      </c>
      <c r="F77" s="132">
        <f>F69</f>
        <v>0</v>
      </c>
    </row>
    <row r="78" spans="1:6" ht="15.75" customHeight="1" x14ac:dyDescent="0.2">
      <c r="A78" s="119" t="s">
        <v>519</v>
      </c>
      <c r="B78" s="130">
        <f>B72</f>
        <v>0</v>
      </c>
      <c r="C78" s="131">
        <f>C72</f>
        <v>0</v>
      </c>
      <c r="D78" s="131">
        <f>D72</f>
        <v>0</v>
      </c>
      <c r="E78" s="131">
        <f>E72</f>
        <v>0</v>
      </c>
      <c r="F78" s="132">
        <f>F72</f>
        <v>0</v>
      </c>
    </row>
    <row r="79" spans="1:6" ht="15.75" customHeight="1" x14ac:dyDescent="0.2">
      <c r="A79" s="119" t="s">
        <v>70</v>
      </c>
      <c r="B79" s="130">
        <f>B74</f>
        <v>6.18624E-3</v>
      </c>
      <c r="C79" s="131">
        <f>C74</f>
        <v>0</v>
      </c>
      <c r="D79" s="131">
        <f>D74</f>
        <v>0</v>
      </c>
      <c r="E79" s="131">
        <f>E74</f>
        <v>0</v>
      </c>
      <c r="F79" s="132">
        <f>F74</f>
        <v>0</v>
      </c>
    </row>
    <row r="80" spans="1:6" ht="15.75" customHeight="1" x14ac:dyDescent="0.2">
      <c r="A80" s="111" t="s">
        <v>479</v>
      </c>
      <c r="B80" s="112"/>
      <c r="C80" s="121">
        <f>SUM(C77:C79)</f>
        <v>0</v>
      </c>
      <c r="D80" s="121">
        <f>SUM(D77:D79)</f>
        <v>0</v>
      </c>
      <c r="E80" s="191">
        <f>SUM(E77:E79)</f>
        <v>0</v>
      </c>
      <c r="F80" s="122">
        <f>SUM(F77:F79)</f>
        <v>0</v>
      </c>
    </row>
    <row r="81" spans="1:6" ht="15.75" customHeight="1" x14ac:dyDescent="0.2">
      <c r="A81" s="113"/>
      <c r="B81" s="114"/>
      <c r="C81" s="114"/>
      <c r="D81" s="114"/>
      <c r="E81" s="192"/>
      <c r="F81" s="115"/>
    </row>
    <row r="82" spans="1:6" ht="15.75" customHeight="1" x14ac:dyDescent="0.2">
      <c r="A82" s="199" t="s">
        <v>522</v>
      </c>
      <c r="B82" s="200"/>
      <c r="C82" s="200"/>
      <c r="D82" s="200"/>
      <c r="E82" s="200"/>
      <c r="F82" s="201"/>
    </row>
    <row r="83" spans="1:6" ht="15.75" customHeight="1" x14ac:dyDescent="0.2">
      <c r="A83" s="101" t="s">
        <v>523</v>
      </c>
      <c r="B83" s="102" t="s">
        <v>495</v>
      </c>
      <c r="C83" s="102" t="s">
        <v>472</v>
      </c>
      <c r="D83" s="102" t="s">
        <v>472</v>
      </c>
      <c r="E83" s="102" t="s">
        <v>472</v>
      </c>
      <c r="F83" s="103" t="s">
        <v>472</v>
      </c>
    </row>
    <row r="84" spans="1:6" ht="15.75" customHeight="1" x14ac:dyDescent="0.2">
      <c r="A84" s="119" t="s">
        <v>524</v>
      </c>
      <c r="B84" s="145">
        <f>Insumos!G117</f>
        <v>0</v>
      </c>
      <c r="C84" s="106">
        <f>B84</f>
        <v>0</v>
      </c>
      <c r="D84" s="106">
        <f>B84</f>
        <v>0</v>
      </c>
      <c r="E84" s="190">
        <f>B84</f>
        <v>0</v>
      </c>
      <c r="F84" s="107">
        <f>Insumos!G118</f>
        <v>0</v>
      </c>
    </row>
    <row r="85" spans="1:6" x14ac:dyDescent="0.2">
      <c r="A85" s="144" t="s">
        <v>525</v>
      </c>
      <c r="B85" s="145">
        <f>Insumos!G59</f>
        <v>0</v>
      </c>
      <c r="C85" s="106">
        <f>B85</f>
        <v>0</v>
      </c>
      <c r="D85" s="106">
        <f>B85</f>
        <v>0</v>
      </c>
      <c r="E85" s="190"/>
      <c r="F85" s="107"/>
    </row>
    <row r="86" spans="1:6" x14ac:dyDescent="0.2">
      <c r="A86" s="144" t="s">
        <v>526</v>
      </c>
      <c r="B86" s="146">
        <f>Insumos!J99</f>
        <v>0</v>
      </c>
      <c r="C86" s="106">
        <f>B86</f>
        <v>0</v>
      </c>
      <c r="D86" s="106">
        <f>B86</f>
        <v>0</v>
      </c>
      <c r="E86" s="190"/>
      <c r="F86" s="107"/>
    </row>
    <row r="87" spans="1:6" ht="15.75" customHeight="1" x14ac:dyDescent="0.2">
      <c r="A87" s="144" t="s">
        <v>527</v>
      </c>
      <c r="B87" s="145"/>
      <c r="C87" s="106">
        <f>Insumos!I129</f>
        <v>0</v>
      </c>
      <c r="D87" s="106">
        <f>Insumos!H129</f>
        <v>0</v>
      </c>
      <c r="E87" s="190"/>
      <c r="F87" s="107"/>
    </row>
    <row r="88" spans="1:6" ht="15.75" customHeight="1" x14ac:dyDescent="0.2">
      <c r="A88" s="144" t="s">
        <v>528</v>
      </c>
      <c r="B88" s="108">
        <v>0.12</v>
      </c>
      <c r="C88" s="106"/>
      <c r="D88" s="106"/>
      <c r="E88" s="190">
        <f>B88*(E127+E128+E84)</f>
        <v>0</v>
      </c>
      <c r="F88" s="107"/>
    </row>
    <row r="89" spans="1:6" ht="15.75" customHeight="1" x14ac:dyDescent="0.2">
      <c r="A89" s="144" t="s">
        <v>529</v>
      </c>
      <c r="B89" s="145">
        <f>Insumos!H145</f>
        <v>0</v>
      </c>
      <c r="C89" s="106"/>
      <c r="D89" s="106"/>
      <c r="E89" s="190"/>
      <c r="F89" s="107">
        <f>B89</f>
        <v>0</v>
      </c>
    </row>
    <row r="90" spans="1:6" ht="15.75" customHeight="1" x14ac:dyDescent="0.2">
      <c r="A90" s="144" t="s">
        <v>530</v>
      </c>
      <c r="B90" s="145"/>
      <c r="C90" s="106"/>
      <c r="D90" s="106"/>
      <c r="E90" s="190"/>
      <c r="F90" s="107">
        <f>B90</f>
        <v>0</v>
      </c>
    </row>
    <row r="91" spans="1:6" ht="15.75" customHeight="1" x14ac:dyDescent="0.2">
      <c r="A91" s="140" t="s">
        <v>479</v>
      </c>
      <c r="B91" s="147"/>
      <c r="C91" s="142">
        <f>SUM(C84:C90)</f>
        <v>0</v>
      </c>
      <c r="D91" s="142">
        <f t="shared" ref="D91:F91" si="11">SUM(D84:D90)</f>
        <v>0</v>
      </c>
      <c r="E91" s="142">
        <f t="shared" si="11"/>
        <v>0</v>
      </c>
      <c r="F91" s="142">
        <f t="shared" si="11"/>
        <v>0</v>
      </c>
    </row>
    <row r="92" spans="1:6" ht="15.75" customHeight="1" x14ac:dyDescent="0.2">
      <c r="A92" s="1045"/>
      <c r="B92" s="1045"/>
      <c r="C92" s="148"/>
      <c r="D92" s="148"/>
      <c r="E92" s="202"/>
      <c r="F92" s="149"/>
    </row>
    <row r="93" spans="1:6" ht="15.75" customHeight="1" x14ac:dyDescent="0.2">
      <c r="A93" s="199" t="s">
        <v>531</v>
      </c>
      <c r="B93" s="200"/>
      <c r="C93" s="200"/>
      <c r="D93" s="200"/>
      <c r="E93" s="200"/>
      <c r="F93" s="201"/>
    </row>
    <row r="94" spans="1:6" ht="15.75" customHeight="1" x14ac:dyDescent="0.2">
      <c r="A94" s="101" t="s">
        <v>532</v>
      </c>
      <c r="B94" s="102" t="s">
        <v>471</v>
      </c>
      <c r="C94" s="102" t="s">
        <v>472</v>
      </c>
      <c r="D94" s="102" t="s">
        <v>472</v>
      </c>
      <c r="E94" s="102" t="s">
        <v>472</v>
      </c>
      <c r="F94" s="103"/>
    </row>
    <row r="95" spans="1:6" ht="15.75" customHeight="1" x14ac:dyDescent="0.2">
      <c r="A95" s="104" t="s">
        <v>76</v>
      </c>
      <c r="B95" s="108">
        <f>MC!C68</f>
        <v>0</v>
      </c>
      <c r="C95" s="125">
        <f>($C$19+$C$49+$C$60+$C$80+$C$91)*$B$95</f>
        <v>0</v>
      </c>
      <c r="D95" s="125">
        <f>($D$19+$D$49+$D$60+$D$80+$D$91)*$B$95</f>
        <v>0</v>
      </c>
      <c r="E95" s="194">
        <f>($E$19+$E$49+$E$60+$E$80+$E$91)*$B$95</f>
        <v>0</v>
      </c>
      <c r="F95" s="126">
        <f>($F$19+$F$49+$F$60+$F$80+$F$91)*$B$95</f>
        <v>0</v>
      </c>
    </row>
    <row r="96" spans="1:6" x14ac:dyDescent="0.2">
      <c r="A96" s="104" t="s">
        <v>77</v>
      </c>
      <c r="B96" s="108">
        <f>MC!C69</f>
        <v>0</v>
      </c>
      <c r="C96" s="125">
        <f>($C$19+$C$49+$C$60+$C$80+$C$91+C95)*B96</f>
        <v>0</v>
      </c>
      <c r="D96" s="125">
        <f>($D$19+$D$49+$D$60+$D$80+$D$91+$D$95)*$B$96</f>
        <v>0</v>
      </c>
      <c r="E96" s="125">
        <f>($E$19+$E$49+$E$60+$E$80+$E$91+$E$95)*$B$96</f>
        <v>0</v>
      </c>
      <c r="F96" s="126">
        <f>($F$19+$F$49+$F$60+$F$80+$F$91+F95)*$B$96</f>
        <v>0</v>
      </c>
    </row>
    <row r="97" spans="1:7" x14ac:dyDescent="0.2">
      <c r="A97" s="203" t="s">
        <v>533</v>
      </c>
      <c r="B97" s="204">
        <f>B98+B99</f>
        <v>0.1125</v>
      </c>
      <c r="C97" s="205">
        <f>((C19+C49+C60+C80+C91+C95+C96)/(1-($B$97)))*$B$97</f>
        <v>0</v>
      </c>
      <c r="D97" s="205">
        <f>((D19+D49+D60+D80+D91+D95+D96)/(1-($B$97)))*$B$97</f>
        <v>0</v>
      </c>
      <c r="E97" s="205">
        <f>((E19+E49+E60+E80+E91+E95+E96)/(1-($B$97)))*$B$97</f>
        <v>0</v>
      </c>
      <c r="F97" s="205">
        <f>((F19+F49+F60+F80+F91+F95+F96)/(1-($B$97)))*$B$97</f>
        <v>0</v>
      </c>
    </row>
    <row r="98" spans="1:7" x14ac:dyDescent="0.2">
      <c r="A98" s="104" t="s">
        <v>534</v>
      </c>
      <c r="B98" s="108">
        <f>0.0165+0.076</f>
        <v>9.2499999999999999E-2</v>
      </c>
      <c r="C98" s="206">
        <f>((C$19+C$49+C$60+C$80+C$91+C$95+C$96)/(1-($B$97)))*$B$98</f>
        <v>0</v>
      </c>
      <c r="D98" s="206">
        <f t="shared" ref="D98:F98" si="12">((D$19+D$49+D$60+D$80+D$91+D$95+D$96)/(1-($B$97)))*$B$98</f>
        <v>0</v>
      </c>
      <c r="E98" s="206">
        <f t="shared" si="12"/>
        <v>0</v>
      </c>
      <c r="F98" s="206">
        <f t="shared" si="12"/>
        <v>0</v>
      </c>
    </row>
    <row r="99" spans="1:7" x14ac:dyDescent="0.2">
      <c r="A99" s="104" t="s">
        <v>535</v>
      </c>
      <c r="B99" s="108">
        <v>0.02</v>
      </c>
      <c r="C99" s="207">
        <f>((C$19+C$49+C$60+C$80+C$91+C$95+C$96)/(1-($B$97)))*$B$99</f>
        <v>0</v>
      </c>
      <c r="D99" s="207">
        <f t="shared" ref="D99:F99" si="13">((D$19+D$49+D$60+D$80+D$91+D$95+D$96)/(1-($B$97)))*$B$99</f>
        <v>0</v>
      </c>
      <c r="E99" s="207">
        <f t="shared" si="13"/>
        <v>0</v>
      </c>
      <c r="F99" s="207">
        <f t="shared" si="13"/>
        <v>0</v>
      </c>
    </row>
    <row r="100" spans="1:7" x14ac:dyDescent="0.2">
      <c r="A100" s="203" t="s">
        <v>536</v>
      </c>
      <c r="B100" s="204">
        <f>B101+B102</f>
        <v>0.11749999999999999</v>
      </c>
      <c r="C100" s="205">
        <f>((C19+C49+C60+C80+C91+C95+C96)/(1-($B$100)))*$B$100</f>
        <v>0</v>
      </c>
      <c r="D100" s="205">
        <f t="shared" ref="D100:F100" si="14">((D19+D49+D60+D80+D91+D95+D96)/(1-($B$100)))*$B$100</f>
        <v>0</v>
      </c>
      <c r="E100" s="205">
        <f t="shared" si="14"/>
        <v>0</v>
      </c>
      <c r="F100" s="205">
        <f t="shared" si="14"/>
        <v>0</v>
      </c>
    </row>
    <row r="101" spans="1:7" x14ac:dyDescent="0.2">
      <c r="A101" s="104" t="s">
        <v>534</v>
      </c>
      <c r="B101" s="108">
        <f>0.0165+0.076</f>
        <v>9.2499999999999999E-2</v>
      </c>
      <c r="C101" s="206">
        <f>((C19+C49+C60+C80+C91+C95+C96)/(1-($B$100)))*$B$101</f>
        <v>0</v>
      </c>
      <c r="D101" s="206">
        <f t="shared" ref="D101:F101" si="15">((D19+D49+D60+D80+D91+D95+D96)/(1-($B$100)))*$B$101</f>
        <v>0</v>
      </c>
      <c r="E101" s="206">
        <f t="shared" si="15"/>
        <v>0</v>
      </c>
      <c r="F101" s="206">
        <f t="shared" si="15"/>
        <v>0</v>
      </c>
    </row>
    <row r="102" spans="1:7" x14ac:dyDescent="0.2">
      <c r="A102" s="104" t="s">
        <v>535</v>
      </c>
      <c r="B102" s="108">
        <v>2.5000000000000001E-2</v>
      </c>
      <c r="C102" s="207">
        <f>((C$19+C$49+C$60+C$80+C$91+C$95+C$96)/(1-($B$100)))*$B$102</f>
        <v>0</v>
      </c>
      <c r="D102" s="207">
        <f t="shared" ref="D102:F102" si="16">((D$19+D$49+D$60+D$80+D$91+D$95+D$96)/(1-($B$100)))*$B$102</f>
        <v>0</v>
      </c>
      <c r="E102" s="207">
        <f t="shared" si="16"/>
        <v>0</v>
      </c>
      <c r="F102" s="207">
        <f t="shared" si="16"/>
        <v>0</v>
      </c>
    </row>
    <row r="103" spans="1:7" x14ac:dyDescent="0.2">
      <c r="A103" s="203" t="s">
        <v>537</v>
      </c>
      <c r="B103" s="204">
        <f>B104+B105</f>
        <v>0.1225</v>
      </c>
      <c r="C103" s="205">
        <f>((C19+C49+C60+C80+C91+C95+C96)/(1-($B$103)))*$B$103</f>
        <v>0</v>
      </c>
      <c r="D103" s="205">
        <f t="shared" ref="D103:F103" si="17">((D19+D49+D60+D80+D91+D95+D96)/(1-($B$103)))*$B$103</f>
        <v>0</v>
      </c>
      <c r="E103" s="205">
        <f t="shared" si="17"/>
        <v>0</v>
      </c>
      <c r="F103" s="205">
        <f t="shared" si="17"/>
        <v>0</v>
      </c>
    </row>
    <row r="104" spans="1:7" x14ac:dyDescent="0.2">
      <c r="A104" s="104" t="s">
        <v>534</v>
      </c>
      <c r="B104" s="108">
        <f>0.0165+0.076</f>
        <v>9.2499999999999999E-2</v>
      </c>
      <c r="C104" s="206">
        <f>((C19+C49+C60+C80+C91+C95+C96)/(1-($B$103)))*$B$104</f>
        <v>0</v>
      </c>
      <c r="D104" s="206">
        <f t="shared" ref="D104:F104" si="18">((D19+D49+D60+D80+D91+D95+D96)/(1-($B$103)))*$B$104</f>
        <v>0</v>
      </c>
      <c r="E104" s="206">
        <f t="shared" si="18"/>
        <v>0</v>
      </c>
      <c r="F104" s="206">
        <f t="shared" si="18"/>
        <v>0</v>
      </c>
    </row>
    <row r="105" spans="1:7" x14ac:dyDescent="0.2">
      <c r="A105" s="104" t="s">
        <v>535</v>
      </c>
      <c r="B105" s="108">
        <v>0.03</v>
      </c>
      <c r="C105" s="207">
        <f>((C19+C49+C60+C80+C91+C95+C96)/(1-($B$103)))*$B$105</f>
        <v>0</v>
      </c>
      <c r="D105" s="207">
        <f t="shared" ref="D105:F105" si="19">((D19+D49+D60+D80+D91+D95+D96)/(1-($B$103)))*$B$105</f>
        <v>0</v>
      </c>
      <c r="E105" s="207">
        <f t="shared" si="19"/>
        <v>0</v>
      </c>
      <c r="F105" s="207">
        <f t="shared" si="19"/>
        <v>0</v>
      </c>
      <c r="G105" s="208"/>
    </row>
    <row r="106" spans="1:7" x14ac:dyDescent="0.2">
      <c r="A106" s="203" t="s">
        <v>616</v>
      </c>
      <c r="B106" s="204">
        <f>B107+B108</f>
        <v>0.1275</v>
      </c>
      <c r="C106" s="205">
        <f>((C19+C49+C60+C80+C91+C95+C96)/(1-($B$106)))*$B$106</f>
        <v>0</v>
      </c>
      <c r="D106" s="205">
        <f t="shared" ref="D106:F106" si="20">((D19+D49+D60+D80+D91+D95+D96)/(1-($B$106)))*$B$106</f>
        <v>0</v>
      </c>
      <c r="E106" s="205">
        <f t="shared" si="20"/>
        <v>0</v>
      </c>
      <c r="F106" s="205">
        <f t="shared" si="20"/>
        <v>0</v>
      </c>
      <c r="G106" s="208"/>
    </row>
    <row r="107" spans="1:7" x14ac:dyDescent="0.2">
      <c r="A107" s="104" t="s">
        <v>534</v>
      </c>
      <c r="B107" s="108">
        <f>0.0165+0.076</f>
        <v>9.2499999999999999E-2</v>
      </c>
      <c r="C107" s="206">
        <f>((C19+C49+C60+C80+C91+C95+C96)/(1-($B$1065)))*$B$107</f>
        <v>0</v>
      </c>
      <c r="D107" s="206">
        <f t="shared" ref="D107:F107" si="21">((D19+D49+D60+D80+D91+D95+D96)/(1-($B$1065)))*$B$107</f>
        <v>0</v>
      </c>
      <c r="E107" s="206">
        <f t="shared" si="21"/>
        <v>0</v>
      </c>
      <c r="F107" s="206">
        <f t="shared" si="21"/>
        <v>0</v>
      </c>
      <c r="G107" s="208"/>
    </row>
    <row r="108" spans="1:7" x14ac:dyDescent="0.2">
      <c r="A108" s="104" t="s">
        <v>535</v>
      </c>
      <c r="B108" s="108">
        <v>3.5000000000000003E-2</v>
      </c>
      <c r="C108" s="207">
        <f>((C19+C49+C60+C80+C91+C95+C96)/(1-($B$106)))*$B$108</f>
        <v>0</v>
      </c>
      <c r="D108" s="207">
        <f t="shared" ref="D108:F108" si="22">((D19+D49+D60+D80+D91+D95+D96)/(1-($B$106)))*$B$108</f>
        <v>0</v>
      </c>
      <c r="E108" s="207">
        <f t="shared" si="22"/>
        <v>0</v>
      </c>
      <c r="F108" s="207">
        <f t="shared" si="22"/>
        <v>0</v>
      </c>
      <c r="G108" s="208"/>
    </row>
    <row r="109" spans="1:7" x14ac:dyDescent="0.2">
      <c r="A109" s="203" t="s">
        <v>538</v>
      </c>
      <c r="B109" s="204">
        <f>B110+B111</f>
        <v>0.13250000000000001</v>
      </c>
      <c r="C109" s="205">
        <f>((C19+C49+C60+C80+C91+C95+C96)/(1-($B$109)))*$B$109</f>
        <v>0</v>
      </c>
      <c r="D109" s="205">
        <f t="shared" ref="D109:F109" si="23">((D19+D49+D60+D80+D91+D95+D96)/(1-($B$109)))*$B$109</f>
        <v>0</v>
      </c>
      <c r="E109" s="205">
        <f t="shared" si="23"/>
        <v>0</v>
      </c>
      <c r="F109" s="205">
        <f t="shared" si="23"/>
        <v>0</v>
      </c>
    </row>
    <row r="110" spans="1:7" x14ac:dyDescent="0.2">
      <c r="A110" s="104" t="s">
        <v>534</v>
      </c>
      <c r="B110" s="108">
        <f>0.0165+0.076</f>
        <v>9.2499999999999999E-2</v>
      </c>
      <c r="C110" s="206">
        <f>((C19+C49+C60+C80+C91+C95+C96)/(1-($B$109)))*$B$110</f>
        <v>0</v>
      </c>
      <c r="D110" s="206">
        <f t="shared" ref="D110:F110" si="24">((D19+D49+D60+D80+D91+D95+D96)/(1-($B$109)))*$B$110</f>
        <v>0</v>
      </c>
      <c r="E110" s="206">
        <f t="shared" si="24"/>
        <v>0</v>
      </c>
      <c r="F110" s="206">
        <f t="shared" si="24"/>
        <v>0</v>
      </c>
    </row>
    <row r="111" spans="1:7" x14ac:dyDescent="0.2">
      <c r="A111" s="104" t="s">
        <v>535</v>
      </c>
      <c r="B111" s="108">
        <v>0.04</v>
      </c>
      <c r="C111" s="207">
        <f>((C19+C49+C60+C80+C91+C95+C96)/(1-($B$109)))*$B$111</f>
        <v>0</v>
      </c>
      <c r="D111" s="207">
        <f t="shared" ref="D111:F111" si="25">((D19+D49+D60+D80+D91+D95+D96)/(1-($B$109)))*$B$111</f>
        <v>0</v>
      </c>
      <c r="E111" s="207">
        <f t="shared" si="25"/>
        <v>0</v>
      </c>
      <c r="F111" s="207">
        <f t="shared" si="25"/>
        <v>0</v>
      </c>
    </row>
    <row r="112" spans="1:7" x14ac:dyDescent="0.2">
      <c r="A112" s="203" t="s">
        <v>539</v>
      </c>
      <c r="B112" s="204">
        <f>B113+B114</f>
        <v>0.14250000000000002</v>
      </c>
      <c r="C112" s="205">
        <f>((C19+C49+C60+C80+C91+C95+C96)/(1-($B$112)))*$B$112</f>
        <v>0</v>
      </c>
      <c r="D112" s="205">
        <f t="shared" ref="D112:F112" si="26">((D19+D49+D60+D80+D91+D95+D96)/(1-($B$112)))*$B$112</f>
        <v>0</v>
      </c>
      <c r="E112" s="205">
        <f t="shared" si="26"/>
        <v>0</v>
      </c>
      <c r="F112" s="205">
        <f t="shared" si="26"/>
        <v>0</v>
      </c>
    </row>
    <row r="113" spans="1:7" x14ac:dyDescent="0.2">
      <c r="A113" s="104" t="s">
        <v>534</v>
      </c>
      <c r="B113" s="108">
        <f>0.0165+0.076</f>
        <v>9.2499999999999999E-2</v>
      </c>
      <c r="C113" s="206">
        <f>((C19+C49+C60+C80+C91+C95+C96)/(1-($B$112)))*$B$113</f>
        <v>0</v>
      </c>
      <c r="D113" s="206">
        <f t="shared" ref="D113:F113" si="27">((D19+D49+D60+D80+D91+D95+D96)/(1-($B$112)))*$B$113</f>
        <v>0</v>
      </c>
      <c r="E113" s="206">
        <f t="shared" si="27"/>
        <v>0</v>
      </c>
      <c r="F113" s="206">
        <f t="shared" si="27"/>
        <v>0</v>
      </c>
    </row>
    <row r="114" spans="1:7" x14ac:dyDescent="0.2">
      <c r="A114" s="104" t="s">
        <v>535</v>
      </c>
      <c r="B114" s="209">
        <v>0.05</v>
      </c>
      <c r="C114" s="207">
        <f>((C19+C49+C60+C80+C91+C95+C96)/(1-($B$112)))*$B$114</f>
        <v>0</v>
      </c>
      <c r="D114" s="207">
        <f t="shared" ref="D114:F114" si="28">((D19+D49+D60+D80+D91+D95+D96)/(1-($B$112)))*$B$114</f>
        <v>0</v>
      </c>
      <c r="E114" s="207">
        <f t="shared" si="28"/>
        <v>0</v>
      </c>
      <c r="F114" s="207">
        <f t="shared" si="28"/>
        <v>0</v>
      </c>
    </row>
    <row r="115" spans="1:7" x14ac:dyDescent="0.2">
      <c r="A115" s="1047" t="s">
        <v>540</v>
      </c>
      <c r="B115" s="210">
        <v>0.02</v>
      </c>
      <c r="C115" s="211">
        <f>C95+C96+C97</f>
        <v>0</v>
      </c>
      <c r="D115" s="211">
        <f>D95+D96+D97</f>
        <v>0</v>
      </c>
      <c r="E115" s="211">
        <f>E95+E96+E97</f>
        <v>0</v>
      </c>
      <c r="F115" s="211">
        <f>F95+F96+F97</f>
        <v>0</v>
      </c>
    </row>
    <row r="116" spans="1:7" x14ac:dyDescent="0.2">
      <c r="A116" s="1047"/>
      <c r="B116" s="212">
        <v>2.5000000000000001E-2</v>
      </c>
      <c r="C116" s="213">
        <f>C95+C96+C100</f>
        <v>0</v>
      </c>
      <c r="D116" s="213">
        <f>D95+D96+D100</f>
        <v>0</v>
      </c>
      <c r="E116" s="213">
        <f>E95+E96+E100</f>
        <v>0</v>
      </c>
      <c r="F116" s="213">
        <f>F95+F96+F100</f>
        <v>0</v>
      </c>
    </row>
    <row r="117" spans="1:7" ht="15.75" customHeight="1" x14ac:dyDescent="0.2">
      <c r="A117" s="1047"/>
      <c r="B117" s="212">
        <v>0.03</v>
      </c>
      <c r="C117" s="213">
        <f>C95+C96+C103</f>
        <v>0</v>
      </c>
      <c r="D117" s="213">
        <f>D95+D96+D103</f>
        <v>0</v>
      </c>
      <c r="E117" s="213">
        <f>E95+E96+E103</f>
        <v>0</v>
      </c>
      <c r="F117" s="213">
        <f>F95+F96+F103</f>
        <v>0</v>
      </c>
      <c r="G117" s="208"/>
    </row>
    <row r="118" spans="1:7" ht="15.75" customHeight="1" x14ac:dyDescent="0.2">
      <c r="A118" s="1047"/>
      <c r="B118" s="641">
        <v>3.5000000000000003E-2</v>
      </c>
      <c r="C118" s="213">
        <f>C95+C96+C106</f>
        <v>0</v>
      </c>
      <c r="D118" s="213">
        <f t="shared" ref="D118:F118" si="29">D95+D96+D106</f>
        <v>0</v>
      </c>
      <c r="E118" s="213">
        <f t="shared" si="29"/>
        <v>0</v>
      </c>
      <c r="F118" s="213">
        <f t="shared" si="29"/>
        <v>0</v>
      </c>
      <c r="G118" s="208"/>
    </row>
    <row r="119" spans="1:7" ht="15.75" customHeight="1" x14ac:dyDescent="0.2">
      <c r="A119" s="1047"/>
      <c r="B119" s="212">
        <v>0.04</v>
      </c>
      <c r="C119" s="213">
        <f>C95+C96+C109</f>
        <v>0</v>
      </c>
      <c r="D119" s="213">
        <f>D95+D96+D109</f>
        <v>0</v>
      </c>
      <c r="E119" s="213">
        <f>E95+E96+E109</f>
        <v>0</v>
      </c>
      <c r="F119" s="213">
        <f>F95+F96+F109</f>
        <v>0</v>
      </c>
    </row>
    <row r="120" spans="1:7" ht="15.75" customHeight="1" x14ac:dyDescent="0.2">
      <c r="A120" s="1047"/>
      <c r="B120" s="214">
        <v>0.05</v>
      </c>
      <c r="C120" s="215">
        <f>C95+C96+C112</f>
        <v>0</v>
      </c>
      <c r="D120" s="215">
        <f>D95+D96+D112</f>
        <v>0</v>
      </c>
      <c r="E120" s="215">
        <f>E95+E96+E112</f>
        <v>0</v>
      </c>
      <c r="F120" s="215">
        <f>F95+F96+F112</f>
        <v>0</v>
      </c>
    </row>
    <row r="121" spans="1:7" ht="15.75" customHeight="1" x14ac:dyDescent="0.2">
      <c r="A121" s="104" t="s">
        <v>541</v>
      </c>
      <c r="B121" s="216"/>
      <c r="C121" s="217"/>
      <c r="D121" s="217"/>
      <c r="E121" s="218"/>
      <c r="F121" s="219"/>
    </row>
    <row r="122" spans="1:7" ht="24.75" customHeight="1" x14ac:dyDescent="0.2">
      <c r="A122" s="154"/>
      <c r="B122" s="220"/>
      <c r="C122" s="221"/>
      <c r="D122" s="221"/>
      <c r="E122" s="222"/>
      <c r="F122" s="223"/>
    </row>
    <row r="123" spans="1:7" ht="15.75" customHeight="1" x14ac:dyDescent="0.2">
      <c r="A123" s="1048"/>
      <c r="B123" s="1048"/>
      <c r="C123" s="1048"/>
      <c r="D123" s="1048"/>
      <c r="E123" s="1048"/>
      <c r="F123" s="1048"/>
    </row>
    <row r="124" spans="1:7" ht="15.75" customHeight="1" x14ac:dyDescent="0.2">
      <c r="A124" s="1049"/>
      <c r="B124" s="1049"/>
      <c r="C124" s="1049"/>
      <c r="D124" s="1049"/>
      <c r="E124" s="1049"/>
      <c r="F124" s="1049"/>
    </row>
    <row r="125" spans="1:7" ht="54.75" customHeight="1" x14ac:dyDescent="0.2">
      <c r="A125" s="1050" t="s">
        <v>542</v>
      </c>
      <c r="B125" s="1050"/>
      <c r="C125" s="224" t="str">
        <f>C10</f>
        <v xml:space="preserve">Servente 44h </v>
      </c>
      <c r="D125" s="224" t="str">
        <f>D10</f>
        <v>Servente 30h</v>
      </c>
      <c r="E125" s="225" t="str">
        <f>E10</f>
        <v>Servente 44h limpeza de esquadrias com risco</v>
      </c>
      <c r="F125" s="226" t="str">
        <f>F10</f>
        <v>Encarregada 44h</v>
      </c>
    </row>
    <row r="126" spans="1:7" ht="15.75" customHeight="1" x14ac:dyDescent="0.2">
      <c r="A126" s="1051" t="s">
        <v>543</v>
      </c>
      <c r="B126" s="1051"/>
      <c r="C126" s="227" t="s">
        <v>472</v>
      </c>
      <c r="D126" s="227" t="s">
        <v>472</v>
      </c>
      <c r="E126" s="227" t="s">
        <v>472</v>
      </c>
      <c r="F126" s="228" t="s">
        <v>472</v>
      </c>
    </row>
    <row r="127" spans="1:7" ht="14.25" customHeight="1" x14ac:dyDescent="0.2">
      <c r="A127" s="1052" t="s">
        <v>544</v>
      </c>
      <c r="B127" s="1052"/>
      <c r="C127" s="229">
        <f>C19</f>
        <v>0</v>
      </c>
      <c r="D127" s="229">
        <f>D19</f>
        <v>0</v>
      </c>
      <c r="E127" s="229">
        <f>E19</f>
        <v>0</v>
      </c>
      <c r="F127" s="230">
        <f>F19</f>
        <v>0</v>
      </c>
    </row>
    <row r="128" spans="1:7" ht="14.25" customHeight="1" x14ac:dyDescent="0.2">
      <c r="A128" s="1053" t="s">
        <v>545</v>
      </c>
      <c r="B128" s="1053"/>
      <c r="C128" s="150">
        <f>C49</f>
        <v>0</v>
      </c>
      <c r="D128" s="150">
        <f>D49</f>
        <v>0</v>
      </c>
      <c r="E128" s="150">
        <f>E49</f>
        <v>0</v>
      </c>
      <c r="F128" s="151">
        <f>F49</f>
        <v>0</v>
      </c>
    </row>
    <row r="129" spans="1:6" ht="14.25" customHeight="1" x14ac:dyDescent="0.2">
      <c r="A129" s="1053" t="s">
        <v>546</v>
      </c>
      <c r="B129" s="1053"/>
      <c r="C129" s="150">
        <f>C60</f>
        <v>0</v>
      </c>
      <c r="D129" s="150">
        <f>D60</f>
        <v>0</v>
      </c>
      <c r="E129" s="150">
        <f>E60</f>
        <v>0</v>
      </c>
      <c r="F129" s="151">
        <f>F60</f>
        <v>0</v>
      </c>
    </row>
    <row r="130" spans="1:6" ht="14.25" customHeight="1" x14ac:dyDescent="0.2">
      <c r="A130" s="1053" t="s">
        <v>547</v>
      </c>
      <c r="B130" s="1053"/>
      <c r="C130" s="150">
        <f>C80</f>
        <v>0</v>
      </c>
      <c r="D130" s="150">
        <f>D80</f>
        <v>0</v>
      </c>
      <c r="E130" s="150">
        <f>E80</f>
        <v>0</v>
      </c>
      <c r="F130" s="151">
        <f>F69</f>
        <v>0</v>
      </c>
    </row>
    <row r="131" spans="1:6" ht="15.75" customHeight="1" x14ac:dyDescent="0.2">
      <c r="A131" s="1053" t="s">
        <v>548</v>
      </c>
      <c r="B131" s="1053"/>
      <c r="C131" s="150">
        <f>C91</f>
        <v>0</v>
      </c>
      <c r="D131" s="150">
        <f>D91</f>
        <v>0</v>
      </c>
      <c r="E131" s="150">
        <f>E91</f>
        <v>0</v>
      </c>
      <c r="F131" s="151">
        <f>F91</f>
        <v>0</v>
      </c>
    </row>
    <row r="132" spans="1:6" ht="15.75" customHeight="1" x14ac:dyDescent="0.2">
      <c r="A132" s="1056" t="s">
        <v>549</v>
      </c>
      <c r="B132" s="1056"/>
      <c r="C132" s="152">
        <f>SUM(C127:C131)</f>
        <v>0</v>
      </c>
      <c r="D132" s="152">
        <f>SUM(D127:D131)</f>
        <v>0</v>
      </c>
      <c r="E132" s="231">
        <f>SUM(E127:E131)</f>
        <v>0</v>
      </c>
      <c r="F132" s="153">
        <f>SUM(F127:F131)</f>
        <v>0</v>
      </c>
    </row>
    <row r="133" spans="1:6" ht="15.75" customHeight="1" x14ac:dyDescent="0.2">
      <c r="A133" s="1054" t="s">
        <v>550</v>
      </c>
      <c r="B133" s="1054"/>
      <c r="C133" s="232">
        <f t="shared" ref="C133:F134" si="30">C115</f>
        <v>0</v>
      </c>
      <c r="D133" s="232">
        <f t="shared" si="30"/>
        <v>0</v>
      </c>
      <c r="E133" s="232">
        <f t="shared" si="30"/>
        <v>0</v>
      </c>
      <c r="F133" s="233">
        <f t="shared" si="30"/>
        <v>0</v>
      </c>
    </row>
    <row r="134" spans="1:6" ht="15.75" customHeight="1" x14ac:dyDescent="0.2">
      <c r="A134" s="1053" t="s">
        <v>551</v>
      </c>
      <c r="B134" s="1053"/>
      <c r="C134" s="234">
        <f t="shared" si="30"/>
        <v>0</v>
      </c>
      <c r="D134" s="234">
        <f t="shared" si="30"/>
        <v>0</v>
      </c>
      <c r="E134" s="234">
        <f t="shared" si="30"/>
        <v>0</v>
      </c>
      <c r="F134" s="235">
        <f t="shared" si="30"/>
        <v>0</v>
      </c>
    </row>
    <row r="135" spans="1:6" ht="15.75" customHeight="1" x14ac:dyDescent="0.2">
      <c r="A135" s="1053" t="s">
        <v>552</v>
      </c>
      <c r="B135" s="1053"/>
      <c r="C135" s="234">
        <f>C117</f>
        <v>0</v>
      </c>
      <c r="D135" s="234">
        <f t="shared" ref="D135:F135" si="31">D117</f>
        <v>0</v>
      </c>
      <c r="E135" s="234">
        <f t="shared" si="31"/>
        <v>0</v>
      </c>
      <c r="F135" s="234">
        <f t="shared" si="31"/>
        <v>0</v>
      </c>
    </row>
    <row r="136" spans="1:6" ht="15.75" customHeight="1" x14ac:dyDescent="0.2">
      <c r="A136" s="1053" t="s">
        <v>617</v>
      </c>
      <c r="B136" s="1053"/>
      <c r="C136" s="234">
        <f>C118</f>
        <v>0</v>
      </c>
      <c r="D136" s="234">
        <f t="shared" ref="D136:F136" si="32">D118</f>
        <v>0</v>
      </c>
      <c r="E136" s="234">
        <f t="shared" si="32"/>
        <v>0</v>
      </c>
      <c r="F136" s="234">
        <f t="shared" si="32"/>
        <v>0</v>
      </c>
    </row>
    <row r="137" spans="1:6" ht="15.75" customHeight="1" x14ac:dyDescent="0.2">
      <c r="A137" s="1053" t="s">
        <v>553</v>
      </c>
      <c r="B137" s="1053"/>
      <c r="C137" s="234">
        <f>C119</f>
        <v>0</v>
      </c>
      <c r="D137" s="234">
        <f t="shared" ref="D137:F138" si="33">D119</f>
        <v>0</v>
      </c>
      <c r="E137" s="234">
        <f t="shared" si="33"/>
        <v>0</v>
      </c>
      <c r="F137" s="235">
        <f t="shared" si="33"/>
        <v>0</v>
      </c>
    </row>
    <row r="138" spans="1:6" ht="15.75" customHeight="1" x14ac:dyDescent="0.2">
      <c r="A138" s="1054" t="s">
        <v>554</v>
      </c>
      <c r="B138" s="1054"/>
      <c r="C138" s="234">
        <f>C120</f>
        <v>0</v>
      </c>
      <c r="D138" s="234">
        <f t="shared" si="33"/>
        <v>0</v>
      </c>
      <c r="E138" s="234">
        <f t="shared" si="33"/>
        <v>0</v>
      </c>
      <c r="F138" s="235">
        <f t="shared" si="33"/>
        <v>0</v>
      </c>
    </row>
    <row r="139" spans="1:6" ht="15.75" customHeight="1" x14ac:dyDescent="0.2">
      <c r="A139" s="236" t="s">
        <v>555</v>
      </c>
      <c r="B139" s="237"/>
      <c r="C139" s="238">
        <f>C132+C133</f>
        <v>0</v>
      </c>
      <c r="D139" s="238">
        <f>D132+D133</f>
        <v>0</v>
      </c>
      <c r="E139" s="238">
        <f>E132+E133</f>
        <v>0</v>
      </c>
      <c r="F139" s="239">
        <f>F132+F133</f>
        <v>0</v>
      </c>
    </row>
    <row r="140" spans="1:6" ht="15.75" customHeight="1" x14ac:dyDescent="0.2">
      <c r="A140" s="240" t="s">
        <v>556</v>
      </c>
      <c r="B140" s="241"/>
      <c r="C140" s="242">
        <f>C132+C134</f>
        <v>0</v>
      </c>
      <c r="D140" s="242">
        <f>D132+D134</f>
        <v>0</v>
      </c>
      <c r="E140" s="242">
        <f>E132+E134</f>
        <v>0</v>
      </c>
      <c r="F140" s="243">
        <f>F132+F134</f>
        <v>0</v>
      </c>
    </row>
    <row r="141" spans="1:6" ht="15.75" customHeight="1" x14ac:dyDescent="0.2">
      <c r="A141" s="240" t="s">
        <v>557</v>
      </c>
      <c r="B141" s="241"/>
      <c r="C141" s="242">
        <f>C132+C135</f>
        <v>0</v>
      </c>
      <c r="D141" s="242">
        <f>D132+D135</f>
        <v>0</v>
      </c>
      <c r="E141" s="242">
        <f>E132+E135</f>
        <v>0</v>
      </c>
      <c r="F141" s="243">
        <f>F132+F135</f>
        <v>0</v>
      </c>
    </row>
    <row r="142" spans="1:6" ht="15.75" customHeight="1" x14ac:dyDescent="0.2">
      <c r="A142" s="240" t="s">
        <v>618</v>
      </c>
      <c r="B142" s="241"/>
      <c r="C142" s="242">
        <f>C132+C136</f>
        <v>0</v>
      </c>
      <c r="D142" s="242">
        <f t="shared" ref="D142:F142" si="34">D132+D136</f>
        <v>0</v>
      </c>
      <c r="E142" s="242">
        <f t="shared" si="34"/>
        <v>0</v>
      </c>
      <c r="F142" s="242">
        <f t="shared" si="34"/>
        <v>0</v>
      </c>
    </row>
    <row r="143" spans="1:6" ht="15.75" customHeight="1" x14ac:dyDescent="0.2">
      <c r="A143" s="240" t="s">
        <v>558</v>
      </c>
      <c r="B143" s="241"/>
      <c r="C143" s="242">
        <f>C132+C137</f>
        <v>0</v>
      </c>
      <c r="D143" s="242">
        <f>D132+D137</f>
        <v>0</v>
      </c>
      <c r="E143" s="242">
        <f>E132+E137</f>
        <v>0</v>
      </c>
      <c r="F143" s="243">
        <f>F132+F137</f>
        <v>0</v>
      </c>
    </row>
    <row r="144" spans="1:6" ht="15.75" customHeight="1" x14ac:dyDescent="0.2">
      <c r="A144" s="240" t="s">
        <v>559</v>
      </c>
      <c r="B144" s="241"/>
      <c r="C144" s="242">
        <f>C132+C138</f>
        <v>0</v>
      </c>
      <c r="D144" s="242">
        <f>D132+D138</f>
        <v>0</v>
      </c>
      <c r="E144" s="242">
        <f>E132+E138</f>
        <v>0</v>
      </c>
      <c r="F144" s="243">
        <f>F132+F138</f>
        <v>0</v>
      </c>
    </row>
    <row r="145" spans="1:17" ht="15.75" customHeight="1" x14ac:dyDescent="0.2">
      <c r="A145" s="736" t="s">
        <v>560</v>
      </c>
      <c r="B145" s="737"/>
      <c r="C145" s="738">
        <f>C139/220</f>
        <v>0</v>
      </c>
      <c r="D145" s="738"/>
      <c r="E145" s="751"/>
      <c r="F145" s="739"/>
    </row>
    <row r="146" spans="1:17" ht="15.75" customHeight="1" x14ac:dyDescent="0.2">
      <c r="A146" s="408" t="s">
        <v>561</v>
      </c>
      <c r="B146" s="246"/>
      <c r="C146" s="247">
        <f t="shared" ref="C146:C150" si="35">C140/220</f>
        <v>0</v>
      </c>
      <c r="D146" s="247"/>
      <c r="E146" s="735"/>
      <c r="F146" s="740"/>
    </row>
    <row r="147" spans="1:17" ht="15.75" customHeight="1" x14ac:dyDescent="0.2">
      <c r="A147" s="408" t="s">
        <v>562</v>
      </c>
      <c r="B147" s="246"/>
      <c r="C147" s="247">
        <f t="shared" si="35"/>
        <v>0</v>
      </c>
      <c r="D147" s="247"/>
      <c r="E147" s="735"/>
      <c r="F147" s="740"/>
    </row>
    <row r="148" spans="1:17" ht="15.75" customHeight="1" x14ac:dyDescent="0.2">
      <c r="A148" s="408" t="s">
        <v>619</v>
      </c>
      <c r="B148" s="246"/>
      <c r="C148" s="247">
        <f t="shared" si="35"/>
        <v>0</v>
      </c>
      <c r="D148" s="247"/>
      <c r="E148" s="735"/>
      <c r="F148" s="740"/>
    </row>
    <row r="149" spans="1:17" ht="15.75" customHeight="1" x14ac:dyDescent="0.2">
      <c r="A149" s="408" t="s">
        <v>563</v>
      </c>
      <c r="B149" s="246"/>
      <c r="C149" s="247">
        <f t="shared" si="35"/>
        <v>0</v>
      </c>
      <c r="D149" s="247"/>
      <c r="E149" s="735"/>
      <c r="F149" s="740"/>
    </row>
    <row r="150" spans="1:17" ht="15.75" customHeight="1" x14ac:dyDescent="0.2">
      <c r="A150" s="410" t="s">
        <v>564</v>
      </c>
      <c r="B150" s="411"/>
      <c r="C150" s="412">
        <f t="shared" si="35"/>
        <v>0</v>
      </c>
      <c r="D150" s="412"/>
      <c r="E150" s="752"/>
      <c r="F150" s="741"/>
    </row>
    <row r="151" spans="1:17" x14ac:dyDescent="0.2">
      <c r="A151" s="248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7" ht="14.25" customHeight="1" x14ac:dyDescent="0.2">
      <c r="A152" s="1055" t="s">
        <v>565</v>
      </c>
      <c r="B152" s="1055"/>
      <c r="C152" s="1055" t="s">
        <v>566</v>
      </c>
      <c r="D152" s="1055"/>
      <c r="E152" s="1061" t="s">
        <v>567</v>
      </c>
      <c r="F152" s="1062"/>
      <c r="G152" s="1057" t="s">
        <v>568</v>
      </c>
      <c r="H152" s="1057"/>
      <c r="I152" s="1057" t="s">
        <v>620</v>
      </c>
      <c r="J152" s="1057"/>
      <c r="K152" s="1057" t="s">
        <v>569</v>
      </c>
      <c r="L152" s="1057"/>
      <c r="M152" s="1057" t="s">
        <v>570</v>
      </c>
      <c r="N152" s="1057"/>
    </row>
    <row r="153" spans="1:17" ht="38.25" x14ac:dyDescent="0.2">
      <c r="A153" s="271" t="s">
        <v>571</v>
      </c>
      <c r="B153" s="272" t="s">
        <v>572</v>
      </c>
      <c r="C153" s="272" t="s">
        <v>573</v>
      </c>
      <c r="D153" s="272" t="s">
        <v>574</v>
      </c>
      <c r="E153" s="272" t="s">
        <v>573</v>
      </c>
      <c r="F153" s="272" t="s">
        <v>574</v>
      </c>
      <c r="G153" s="272" t="s">
        <v>573</v>
      </c>
      <c r="H153" s="272" t="s">
        <v>574</v>
      </c>
      <c r="I153" s="272" t="s">
        <v>573</v>
      </c>
      <c r="J153" s="272" t="s">
        <v>574</v>
      </c>
      <c r="K153" s="272" t="s">
        <v>573</v>
      </c>
      <c r="L153" s="272" t="s">
        <v>574</v>
      </c>
      <c r="M153" s="272" t="s">
        <v>573</v>
      </c>
      <c r="N153" s="272" t="s">
        <v>574</v>
      </c>
    </row>
    <row r="154" spans="1:17" x14ac:dyDescent="0.2">
      <c r="A154" s="273" t="s">
        <v>575</v>
      </c>
      <c r="B154" s="274">
        <f>1/'Prod. GEXBLU'!C17</f>
        <v>1.25E-3</v>
      </c>
      <c r="C154" s="275">
        <f>C139</f>
        <v>0</v>
      </c>
      <c r="D154" s="275">
        <f>B154*C154</f>
        <v>0</v>
      </c>
      <c r="E154" s="275">
        <f>C140</f>
        <v>0</v>
      </c>
      <c r="F154" s="275">
        <f>B154*E154</f>
        <v>0</v>
      </c>
      <c r="G154" s="275">
        <f>C141</f>
        <v>0</v>
      </c>
      <c r="H154" s="275">
        <f>B154*G154</f>
        <v>0</v>
      </c>
      <c r="I154" s="275">
        <f>C142</f>
        <v>0</v>
      </c>
      <c r="J154" s="275">
        <f>B154*I154</f>
        <v>0</v>
      </c>
      <c r="K154" s="275">
        <f>C143</f>
        <v>0</v>
      </c>
      <c r="L154" s="275">
        <f>B154*K154</f>
        <v>0</v>
      </c>
      <c r="M154" s="275">
        <f>C144</f>
        <v>0</v>
      </c>
      <c r="N154" s="275">
        <f>B154*M154</f>
        <v>0</v>
      </c>
    </row>
    <row r="155" spans="1:17" x14ac:dyDescent="0.2">
      <c r="A155" s="276" t="s">
        <v>576</v>
      </c>
      <c r="B155" s="274">
        <f>B154/'Prod. GEXBLU'!O17</f>
        <v>6.9444444444444444E-5</v>
      </c>
      <c r="C155" s="275">
        <f>F141</f>
        <v>0</v>
      </c>
      <c r="D155" s="275">
        <f>C155*B155</f>
        <v>0</v>
      </c>
      <c r="E155" s="275">
        <f>F141</f>
        <v>0</v>
      </c>
      <c r="F155" s="275">
        <f>B155*E155</f>
        <v>0</v>
      </c>
      <c r="G155" s="275">
        <f>F141</f>
        <v>0</v>
      </c>
      <c r="H155" s="275">
        <f>B155*G155</f>
        <v>0</v>
      </c>
      <c r="I155" s="275">
        <f>F141</f>
        <v>0</v>
      </c>
      <c r="J155" s="275">
        <f>B155*I155</f>
        <v>0</v>
      </c>
      <c r="K155" s="275">
        <f>F141</f>
        <v>0</v>
      </c>
      <c r="L155" s="275">
        <f>B155*K155</f>
        <v>0</v>
      </c>
      <c r="M155" s="275">
        <f>F141</f>
        <v>0</v>
      </c>
      <c r="N155" s="275">
        <f>B155*M155</f>
        <v>0</v>
      </c>
      <c r="O155" s="1068"/>
      <c r="P155" s="1069"/>
      <c r="Q155" s="429"/>
    </row>
    <row r="156" spans="1:17" x14ac:dyDescent="0.2">
      <c r="A156" s="277" t="s">
        <v>577</v>
      </c>
      <c r="B156" s="278"/>
      <c r="C156" s="279"/>
      <c r="D156" s="279">
        <f>SUM(D154:D155)</f>
        <v>0</v>
      </c>
      <c r="E156" s="279"/>
      <c r="F156" s="279">
        <f>SUM(F154:F155)</f>
        <v>0</v>
      </c>
      <c r="G156" s="279"/>
      <c r="H156" s="279">
        <f>SUM(H154:H155)</f>
        <v>0</v>
      </c>
      <c r="I156" s="279"/>
      <c r="J156" s="279">
        <f t="shared" ref="J156" si="36">SUM(J154:J155)</f>
        <v>0</v>
      </c>
      <c r="K156" s="279"/>
      <c r="L156" s="279">
        <f>SUM(L154:L155)</f>
        <v>0</v>
      </c>
      <c r="M156" s="279"/>
      <c r="N156" s="279">
        <f>SUM(N154:N155)</f>
        <v>0</v>
      </c>
      <c r="O156" s="427"/>
      <c r="P156" s="428"/>
    </row>
    <row r="157" spans="1:17" x14ac:dyDescent="0.2">
      <c r="A157" s="249"/>
      <c r="B157" s="250"/>
      <c r="C157" s="250"/>
      <c r="D157" s="251"/>
      <c r="E157" s="251"/>
      <c r="F157"/>
      <c r="G157"/>
      <c r="H157"/>
      <c r="I157"/>
      <c r="J157"/>
      <c r="K157"/>
      <c r="L157"/>
      <c r="M157"/>
      <c r="N157"/>
    </row>
    <row r="158" spans="1:17" ht="14.25" customHeight="1" x14ac:dyDescent="0.2">
      <c r="A158" s="1058" t="s">
        <v>578</v>
      </c>
      <c r="B158" s="1058"/>
      <c r="C158" s="1058" t="s">
        <v>566</v>
      </c>
      <c r="D158" s="1058"/>
      <c r="E158" s="1059" t="s">
        <v>567</v>
      </c>
      <c r="F158" s="1060"/>
      <c r="G158" s="1058" t="s">
        <v>568</v>
      </c>
      <c r="H158" s="1058"/>
      <c r="I158" s="1057" t="s">
        <v>620</v>
      </c>
      <c r="J158" s="1057"/>
      <c r="K158" s="1058" t="s">
        <v>569</v>
      </c>
      <c r="L158" s="1058"/>
      <c r="M158" s="1058" t="s">
        <v>570</v>
      </c>
      <c r="N158" s="1058"/>
    </row>
    <row r="159" spans="1:17" ht="38.25" x14ac:dyDescent="0.2">
      <c r="A159" s="271" t="s">
        <v>571</v>
      </c>
      <c r="B159" s="272" t="s">
        <v>579</v>
      </c>
      <c r="C159" s="272" t="s">
        <v>573</v>
      </c>
      <c r="D159" s="272" t="s">
        <v>574</v>
      </c>
      <c r="E159" s="272" t="s">
        <v>573</v>
      </c>
      <c r="F159" s="272" t="s">
        <v>574</v>
      </c>
      <c r="G159" s="272" t="s">
        <v>573</v>
      </c>
      <c r="H159" s="272" t="s">
        <v>574</v>
      </c>
      <c r="I159" s="272" t="s">
        <v>573</v>
      </c>
      <c r="J159" s="272" t="s">
        <v>574</v>
      </c>
      <c r="K159" s="272" t="s">
        <v>573</v>
      </c>
      <c r="L159" s="272" t="s">
        <v>574</v>
      </c>
      <c r="M159" s="272" t="s">
        <v>573</v>
      </c>
      <c r="N159" s="272" t="s">
        <v>574</v>
      </c>
    </row>
    <row r="160" spans="1:17" x14ac:dyDescent="0.2">
      <c r="A160" s="273" t="s">
        <v>575</v>
      </c>
      <c r="B160" s="280">
        <f>1/'Prod. GEXBLU'!D17</f>
        <v>6.6666666666666664E-4</v>
      </c>
      <c r="C160" s="281">
        <f>C139</f>
        <v>0</v>
      </c>
      <c r="D160" s="275">
        <f>B160*C160</f>
        <v>0</v>
      </c>
      <c r="E160" s="275">
        <f>C140</f>
        <v>0</v>
      </c>
      <c r="F160" s="275">
        <f>B160*E160</f>
        <v>0</v>
      </c>
      <c r="G160" s="275">
        <f>C141</f>
        <v>0</v>
      </c>
      <c r="H160" s="275">
        <f>B160*G160</f>
        <v>0</v>
      </c>
      <c r="I160" s="275">
        <f>C142</f>
        <v>0</v>
      </c>
      <c r="J160" s="275">
        <f>B160*I160</f>
        <v>0</v>
      </c>
      <c r="K160" s="275">
        <f>C143</f>
        <v>0</v>
      </c>
      <c r="L160" s="275">
        <f>B160*K160</f>
        <v>0</v>
      </c>
      <c r="M160" s="275">
        <f>C144</f>
        <v>0</v>
      </c>
      <c r="N160" s="275">
        <f>B160*M160</f>
        <v>0</v>
      </c>
    </row>
    <row r="161" spans="1:14" x14ac:dyDescent="0.2">
      <c r="A161" s="276" t="s">
        <v>576</v>
      </c>
      <c r="B161" s="274">
        <f>B160/'Prod. GEXBLU'!O17</f>
        <v>3.7037037037037037E-5</v>
      </c>
      <c r="C161" s="275">
        <f>F141</f>
        <v>0</v>
      </c>
      <c r="D161" s="275">
        <f>B161*C161</f>
        <v>0</v>
      </c>
      <c r="E161" s="275">
        <f>F141</f>
        <v>0</v>
      </c>
      <c r="F161" s="275">
        <f>B161*E161</f>
        <v>0</v>
      </c>
      <c r="G161" s="275">
        <f>F141</f>
        <v>0</v>
      </c>
      <c r="H161" s="275">
        <f>B161*G161</f>
        <v>0</v>
      </c>
      <c r="I161" s="275">
        <f>F141</f>
        <v>0</v>
      </c>
      <c r="J161" s="275">
        <f>B161*I161</f>
        <v>0</v>
      </c>
      <c r="K161" s="275">
        <f>F141</f>
        <v>0</v>
      </c>
      <c r="L161" s="275">
        <f>B161*K161</f>
        <v>0</v>
      </c>
      <c r="M161" s="275">
        <f>F141</f>
        <v>0</v>
      </c>
      <c r="N161" s="275">
        <f>B161*M161</f>
        <v>0</v>
      </c>
    </row>
    <row r="162" spans="1:14" x14ac:dyDescent="0.2">
      <c r="A162" s="277" t="s">
        <v>580</v>
      </c>
      <c r="B162" s="278"/>
      <c r="C162" s="279"/>
      <c r="D162" s="279">
        <f>SUM(D160:D161)</f>
        <v>0</v>
      </c>
      <c r="E162" s="279"/>
      <c r="F162" s="279">
        <f>SUM(F160:F161)</f>
        <v>0</v>
      </c>
      <c r="G162" s="279"/>
      <c r="H162" s="279">
        <f>SUM(H160:H161)</f>
        <v>0</v>
      </c>
      <c r="I162" s="279"/>
      <c r="J162" s="279">
        <f t="shared" ref="J162" si="37">SUM(J160:J161)</f>
        <v>0</v>
      </c>
      <c r="K162" s="279"/>
      <c r="L162" s="279">
        <f>SUM(L160:L161)</f>
        <v>0</v>
      </c>
      <c r="M162" s="279"/>
      <c r="N162" s="279">
        <f>SUM(N160:N161)</f>
        <v>0</v>
      </c>
    </row>
    <row r="163" spans="1:14" x14ac:dyDescent="0.2">
      <c r="A163" s="249"/>
      <c r="B163" s="252"/>
      <c r="C163" s="252"/>
      <c r="D163" s="252"/>
      <c r="E163" s="252"/>
      <c r="F163"/>
      <c r="G163"/>
      <c r="H163"/>
      <c r="I163"/>
      <c r="J163"/>
      <c r="K163"/>
      <c r="L163"/>
      <c r="M163"/>
      <c r="N163"/>
    </row>
    <row r="164" spans="1:14" ht="14.25" customHeight="1" x14ac:dyDescent="0.2">
      <c r="A164" s="1058" t="s">
        <v>581</v>
      </c>
      <c r="B164" s="1058"/>
      <c r="C164" s="1058" t="s">
        <v>566</v>
      </c>
      <c r="D164" s="1058"/>
      <c r="E164" s="1059" t="s">
        <v>567</v>
      </c>
      <c r="F164" s="1060"/>
      <c r="G164" s="1058" t="s">
        <v>568</v>
      </c>
      <c r="H164" s="1058"/>
      <c r="I164" s="1057" t="s">
        <v>620</v>
      </c>
      <c r="J164" s="1057"/>
      <c r="K164" s="1058" t="s">
        <v>569</v>
      </c>
      <c r="L164" s="1058"/>
      <c r="M164" s="1058" t="s">
        <v>570</v>
      </c>
      <c r="N164" s="1058"/>
    </row>
    <row r="165" spans="1:14" ht="38.25" x14ac:dyDescent="0.2">
      <c r="A165" s="271" t="s">
        <v>571</v>
      </c>
      <c r="B165" s="272" t="s">
        <v>579</v>
      </c>
      <c r="C165" s="272" t="s">
        <v>573</v>
      </c>
      <c r="D165" s="272" t="s">
        <v>574</v>
      </c>
      <c r="E165" s="272" t="s">
        <v>573</v>
      </c>
      <c r="F165" s="272" t="s">
        <v>574</v>
      </c>
      <c r="G165" s="272" t="s">
        <v>573</v>
      </c>
      <c r="H165" s="272" t="s">
        <v>574</v>
      </c>
      <c r="I165" s="272" t="s">
        <v>573</v>
      </c>
      <c r="J165" s="272" t="s">
        <v>574</v>
      </c>
      <c r="K165" s="272" t="s">
        <v>573</v>
      </c>
      <c r="L165" s="272" t="s">
        <v>574</v>
      </c>
      <c r="M165" s="272" t="s">
        <v>573</v>
      </c>
      <c r="N165" s="272" t="s">
        <v>574</v>
      </c>
    </row>
    <row r="166" spans="1:14" x14ac:dyDescent="0.2">
      <c r="A166" s="273" t="s">
        <v>575</v>
      </c>
      <c r="B166" s="280">
        <f>1/'Prod. GEXBLU'!E17</f>
        <v>1E-3</v>
      </c>
      <c r="C166" s="281">
        <f>C139</f>
        <v>0</v>
      </c>
      <c r="D166" s="275">
        <f>B166*C166</f>
        <v>0</v>
      </c>
      <c r="E166" s="275">
        <f>C140</f>
        <v>0</v>
      </c>
      <c r="F166" s="275">
        <f>B166*E166</f>
        <v>0</v>
      </c>
      <c r="G166" s="275">
        <f>C141</f>
        <v>0</v>
      </c>
      <c r="H166" s="275">
        <f>B166*G166</f>
        <v>0</v>
      </c>
      <c r="I166" s="275">
        <f>C142</f>
        <v>0</v>
      </c>
      <c r="J166" s="275">
        <f>B166*I166</f>
        <v>0</v>
      </c>
      <c r="K166" s="275">
        <f>C143</f>
        <v>0</v>
      </c>
      <c r="L166" s="275">
        <f>B166*K166</f>
        <v>0</v>
      </c>
      <c r="M166" s="275">
        <f>C144</f>
        <v>0</v>
      </c>
      <c r="N166" s="275">
        <f>B166*M166</f>
        <v>0</v>
      </c>
    </row>
    <row r="167" spans="1:14" x14ac:dyDescent="0.2">
      <c r="A167" s="276" t="s">
        <v>576</v>
      </c>
      <c r="B167" s="274">
        <f>B166/'Prod. GEXBLU'!O17</f>
        <v>5.5555555555555558E-5</v>
      </c>
      <c r="C167" s="275">
        <f>F141</f>
        <v>0</v>
      </c>
      <c r="D167" s="275">
        <f>B167*C167</f>
        <v>0</v>
      </c>
      <c r="E167" s="275">
        <f>F140</f>
        <v>0</v>
      </c>
      <c r="F167" s="275">
        <f>B167*E167</f>
        <v>0</v>
      </c>
      <c r="G167" s="275">
        <f>F141</f>
        <v>0</v>
      </c>
      <c r="H167" s="275">
        <f>B167*G167</f>
        <v>0</v>
      </c>
      <c r="I167" s="275">
        <f>F141</f>
        <v>0</v>
      </c>
      <c r="J167" s="275">
        <f>B167*I167</f>
        <v>0</v>
      </c>
      <c r="K167" s="275">
        <f>F143</f>
        <v>0</v>
      </c>
      <c r="L167" s="275">
        <f>B167*K167</f>
        <v>0</v>
      </c>
      <c r="M167" s="275">
        <f>F144</f>
        <v>0</v>
      </c>
      <c r="N167" s="275">
        <f>B167*M167</f>
        <v>0</v>
      </c>
    </row>
    <row r="168" spans="1:14" x14ac:dyDescent="0.2">
      <c r="A168" s="277" t="s">
        <v>580</v>
      </c>
      <c r="B168" s="278"/>
      <c r="C168" s="279"/>
      <c r="D168" s="279">
        <f>SUM(D166:D167)</f>
        <v>0</v>
      </c>
      <c r="E168" s="279"/>
      <c r="F168" s="279">
        <f>SUM(F166:F167)</f>
        <v>0</v>
      </c>
      <c r="G168" s="279"/>
      <c r="H168" s="279">
        <f>SUM(H166:H167)</f>
        <v>0</v>
      </c>
      <c r="I168" s="279"/>
      <c r="J168" s="279">
        <f t="shared" ref="J168" si="38">SUM(J166:J167)</f>
        <v>0</v>
      </c>
      <c r="K168" s="279"/>
      <c r="L168" s="279">
        <f>SUM(L166:L167)</f>
        <v>0</v>
      </c>
      <c r="M168" s="279"/>
      <c r="N168" s="279">
        <f>SUM(N166:N167)</f>
        <v>0</v>
      </c>
    </row>
    <row r="169" spans="1:14" x14ac:dyDescent="0.2">
      <c r="A169" s="249"/>
      <c r="B169" s="252"/>
      <c r="C169" s="252"/>
      <c r="D169" s="252"/>
      <c r="E169" s="252"/>
      <c r="F169"/>
      <c r="G169"/>
      <c r="H169"/>
      <c r="I169"/>
      <c r="J169"/>
      <c r="K169"/>
      <c r="L169"/>
      <c r="M169"/>
      <c r="N169"/>
    </row>
    <row r="170" spans="1:14" ht="14.25" customHeight="1" x14ac:dyDescent="0.2">
      <c r="A170" s="1058" t="s">
        <v>582</v>
      </c>
      <c r="B170" s="1058"/>
      <c r="C170" s="1058" t="s">
        <v>566</v>
      </c>
      <c r="D170" s="1058"/>
      <c r="E170" s="1059" t="s">
        <v>567</v>
      </c>
      <c r="F170" s="1060"/>
      <c r="G170" s="1058" t="s">
        <v>568</v>
      </c>
      <c r="H170" s="1058"/>
      <c r="I170" s="1057" t="s">
        <v>620</v>
      </c>
      <c r="J170" s="1057"/>
      <c r="K170" s="1058" t="s">
        <v>569</v>
      </c>
      <c r="L170" s="1058"/>
      <c r="M170" s="1058" t="s">
        <v>570</v>
      </c>
      <c r="N170" s="1058"/>
    </row>
    <row r="171" spans="1:14" ht="38.25" x14ac:dyDescent="0.2">
      <c r="A171" s="271" t="s">
        <v>571</v>
      </c>
      <c r="B171" s="272" t="s">
        <v>579</v>
      </c>
      <c r="C171" s="272" t="s">
        <v>573</v>
      </c>
      <c r="D171" s="272" t="s">
        <v>574</v>
      </c>
      <c r="E171" s="272" t="s">
        <v>573</v>
      </c>
      <c r="F171" s="272" t="s">
        <v>574</v>
      </c>
      <c r="G171" s="272" t="s">
        <v>573</v>
      </c>
      <c r="H171" s="272" t="s">
        <v>574</v>
      </c>
      <c r="I171" s="272" t="s">
        <v>573</v>
      </c>
      <c r="J171" s="272" t="s">
        <v>574</v>
      </c>
      <c r="K171" s="272" t="s">
        <v>573</v>
      </c>
      <c r="L171" s="272" t="s">
        <v>574</v>
      </c>
      <c r="M171" s="272" t="s">
        <v>573</v>
      </c>
      <c r="N171" s="272" t="s">
        <v>574</v>
      </c>
    </row>
    <row r="172" spans="1:14" x14ac:dyDescent="0.2">
      <c r="A172" s="273" t="s">
        <v>575</v>
      </c>
      <c r="B172" s="280">
        <f>1/'Prod. GEXBLU'!F17</f>
        <v>5.0000000000000001E-3</v>
      </c>
      <c r="C172" s="275">
        <f>C139</f>
        <v>0</v>
      </c>
      <c r="D172" s="275">
        <f>B172*C172</f>
        <v>0</v>
      </c>
      <c r="E172" s="275">
        <f>C140</f>
        <v>0</v>
      </c>
      <c r="F172" s="275">
        <f>B172*E172</f>
        <v>0</v>
      </c>
      <c r="G172" s="275">
        <f>C141</f>
        <v>0</v>
      </c>
      <c r="H172" s="275">
        <f>B172*G172</f>
        <v>0</v>
      </c>
      <c r="I172" s="275">
        <f>C142</f>
        <v>0</v>
      </c>
      <c r="J172" s="275">
        <f>B172*I172</f>
        <v>0</v>
      </c>
      <c r="K172" s="275">
        <f>C143</f>
        <v>0</v>
      </c>
      <c r="L172" s="275">
        <f>B172*K172</f>
        <v>0</v>
      </c>
      <c r="M172" s="275">
        <f>C144</f>
        <v>0</v>
      </c>
      <c r="N172" s="275">
        <f>B172*M172</f>
        <v>0</v>
      </c>
    </row>
    <row r="173" spans="1:14" x14ac:dyDescent="0.2">
      <c r="A173" s="276" t="s">
        <v>576</v>
      </c>
      <c r="B173" s="274">
        <f>B172/'Prod. GEXBLU'!O17</f>
        <v>2.7777777777777778E-4</v>
      </c>
      <c r="C173" s="275">
        <f>F141</f>
        <v>0</v>
      </c>
      <c r="D173" s="275">
        <f>C173*B173</f>
        <v>0</v>
      </c>
      <c r="E173" s="275">
        <f>F141</f>
        <v>0</v>
      </c>
      <c r="F173" s="275">
        <f>B173*E173</f>
        <v>0</v>
      </c>
      <c r="G173" s="275">
        <f>F141</f>
        <v>0</v>
      </c>
      <c r="H173" s="275">
        <f>B173*G173</f>
        <v>0</v>
      </c>
      <c r="I173" s="275">
        <f>F141</f>
        <v>0</v>
      </c>
      <c r="J173" s="275">
        <f>B173*I173</f>
        <v>0</v>
      </c>
      <c r="K173" s="275">
        <f>F141</f>
        <v>0</v>
      </c>
      <c r="L173" s="275">
        <f>B173*K173</f>
        <v>0</v>
      </c>
      <c r="M173" s="275">
        <f>F141</f>
        <v>0</v>
      </c>
      <c r="N173" s="275">
        <f>B173*M173</f>
        <v>0</v>
      </c>
    </row>
    <row r="174" spans="1:14" x14ac:dyDescent="0.2">
      <c r="A174" s="277" t="s">
        <v>580</v>
      </c>
      <c r="B174" s="278"/>
      <c r="C174" s="279"/>
      <c r="D174" s="279">
        <f>SUM(D172:D173)</f>
        <v>0</v>
      </c>
      <c r="E174" s="279"/>
      <c r="F174" s="279">
        <f>SUM(F172:F173)</f>
        <v>0</v>
      </c>
      <c r="G174" s="279"/>
      <c r="H174" s="279">
        <f>SUM(H172:H173)</f>
        <v>0</v>
      </c>
      <c r="I174" s="279"/>
      <c r="J174" s="279">
        <f t="shared" ref="J174" si="39">SUM(J172:J173)</f>
        <v>0</v>
      </c>
      <c r="K174" s="279"/>
      <c r="L174" s="279">
        <f>SUM(L172:L173)</f>
        <v>0</v>
      </c>
      <c r="M174" s="279"/>
      <c r="N174" s="279">
        <f>SUM(N172:N173)</f>
        <v>0</v>
      </c>
    </row>
    <row r="175" spans="1:14" x14ac:dyDescent="0.2">
      <c r="A175" s="249"/>
      <c r="B175" s="253"/>
      <c r="C175" s="253"/>
      <c r="D175" s="253"/>
      <c r="E175" s="253"/>
    </row>
    <row r="176" spans="1:14" ht="14.25" customHeight="1" x14ac:dyDescent="0.2">
      <c r="A176" s="1063" t="s">
        <v>583</v>
      </c>
      <c r="B176" s="1063"/>
      <c r="C176" s="1063" t="s">
        <v>566</v>
      </c>
      <c r="D176" s="1063"/>
      <c r="E176" s="1066" t="s">
        <v>567</v>
      </c>
      <c r="F176" s="1067"/>
      <c r="G176" s="1063" t="s">
        <v>568</v>
      </c>
      <c r="H176" s="1063"/>
      <c r="I176" s="1063" t="s">
        <v>620</v>
      </c>
      <c r="J176" s="1063"/>
      <c r="K176" s="1063" t="s">
        <v>569</v>
      </c>
      <c r="L176" s="1063"/>
      <c r="M176" s="1063" t="s">
        <v>570</v>
      </c>
      <c r="N176" s="1063"/>
    </row>
    <row r="177" spans="1:16" ht="38.25" x14ac:dyDescent="0.2">
      <c r="A177" s="271" t="s">
        <v>571</v>
      </c>
      <c r="B177" s="272" t="s">
        <v>579</v>
      </c>
      <c r="C177" s="272" t="s">
        <v>573</v>
      </c>
      <c r="D177" s="272" t="s">
        <v>574</v>
      </c>
      <c r="E177" s="272" t="s">
        <v>573</v>
      </c>
      <c r="F177" s="272" t="s">
        <v>574</v>
      </c>
      <c r="G177" s="272" t="s">
        <v>573</v>
      </c>
      <c r="H177" s="272" t="s">
        <v>574</v>
      </c>
      <c r="I177" s="272" t="s">
        <v>573</v>
      </c>
      <c r="J177" s="272" t="s">
        <v>574</v>
      </c>
      <c r="K177" s="272" t="s">
        <v>573</v>
      </c>
      <c r="L177" s="272" t="s">
        <v>574</v>
      </c>
      <c r="M177" s="272" t="s">
        <v>573</v>
      </c>
      <c r="N177" s="272" t="s">
        <v>574</v>
      </c>
    </row>
    <row r="178" spans="1:16" x14ac:dyDescent="0.2">
      <c r="A178" s="273" t="s">
        <v>584</v>
      </c>
      <c r="B178" s="280">
        <f>1/'Prod. GEXBLU'!G17</f>
        <v>5.5555555555555556E-4</v>
      </c>
      <c r="C178" s="275">
        <f>C139</f>
        <v>0</v>
      </c>
      <c r="D178" s="275">
        <f>B178*C178</f>
        <v>0</v>
      </c>
      <c r="E178" s="275">
        <f>C140</f>
        <v>0</v>
      </c>
      <c r="F178" s="275">
        <f>B178*E178</f>
        <v>0</v>
      </c>
      <c r="G178" s="275">
        <f>C141</f>
        <v>0</v>
      </c>
      <c r="H178" s="275">
        <f>B178*G178</f>
        <v>0</v>
      </c>
      <c r="I178" s="275">
        <f>C142</f>
        <v>0</v>
      </c>
      <c r="J178" s="275">
        <f>B178*I178</f>
        <v>0</v>
      </c>
      <c r="K178" s="275">
        <f>C143</f>
        <v>0</v>
      </c>
      <c r="L178" s="275">
        <f>B178*K178</f>
        <v>0</v>
      </c>
      <c r="M178" s="275">
        <f>C144</f>
        <v>0</v>
      </c>
      <c r="N178" s="275">
        <f>B178*M178</f>
        <v>0</v>
      </c>
    </row>
    <row r="179" spans="1:16" x14ac:dyDescent="0.2">
      <c r="A179" s="276" t="s">
        <v>576</v>
      </c>
      <c r="B179" s="274">
        <f>B178/'Prod. GEXBLU'!O17</f>
        <v>3.0864197530864198E-5</v>
      </c>
      <c r="C179" s="275">
        <f>F141</f>
        <v>0</v>
      </c>
      <c r="D179" s="275">
        <f>B179*C179</f>
        <v>0</v>
      </c>
      <c r="E179" s="275">
        <f>F141</f>
        <v>0</v>
      </c>
      <c r="F179" s="275">
        <f>B179*E179</f>
        <v>0</v>
      </c>
      <c r="G179" s="275">
        <f>F141</f>
        <v>0</v>
      </c>
      <c r="H179" s="275">
        <f>B179*G179</f>
        <v>0</v>
      </c>
      <c r="I179" s="275">
        <f>F141</f>
        <v>0</v>
      </c>
      <c r="J179" s="275">
        <f>B179*I179</f>
        <v>0</v>
      </c>
      <c r="K179" s="275">
        <f>F141</f>
        <v>0</v>
      </c>
      <c r="L179" s="275">
        <f>B179*K179</f>
        <v>0</v>
      </c>
      <c r="M179" s="275">
        <f>F141</f>
        <v>0</v>
      </c>
      <c r="N179" s="275">
        <f>B179*M179</f>
        <v>0</v>
      </c>
      <c r="O179" s="1068"/>
      <c r="P179" s="1069"/>
    </row>
    <row r="180" spans="1:16" x14ac:dyDescent="0.2">
      <c r="A180" s="282" t="s">
        <v>585</v>
      </c>
      <c r="B180" s="283"/>
      <c r="C180" s="284"/>
      <c r="D180" s="285">
        <f>SUM(D178:D179)</f>
        <v>0</v>
      </c>
      <c r="E180" s="284"/>
      <c r="F180" s="285">
        <f>SUM(F178:F179)</f>
        <v>0</v>
      </c>
      <c r="G180" s="284"/>
      <c r="H180" s="285">
        <f>SUM(H178:H179)</f>
        <v>0</v>
      </c>
      <c r="I180" s="285"/>
      <c r="J180" s="285">
        <f>J178+J179</f>
        <v>0</v>
      </c>
      <c r="K180" s="284"/>
      <c r="L180" s="285">
        <f>SUM(L178:L179)</f>
        <v>0</v>
      </c>
      <c r="M180" s="284"/>
      <c r="N180" s="285">
        <f>SUM(N178:N179)</f>
        <v>0</v>
      </c>
      <c r="O180" s="427"/>
      <c r="P180" s="428"/>
    </row>
    <row r="181" spans="1:16" x14ac:dyDescent="0.2">
      <c r="A181" s="273" t="s">
        <v>586</v>
      </c>
      <c r="B181" s="280">
        <f>1/'Prod. GEXBLU'!H17</f>
        <v>1.0000000000000001E-5</v>
      </c>
      <c r="C181" s="275">
        <f>C139</f>
        <v>0</v>
      </c>
      <c r="D181" s="275">
        <f>B181*C181</f>
        <v>0</v>
      </c>
      <c r="E181" s="275">
        <f>C140</f>
        <v>0</v>
      </c>
      <c r="F181" s="275">
        <f>B181*E181</f>
        <v>0</v>
      </c>
      <c r="G181" s="275">
        <f>C141</f>
        <v>0</v>
      </c>
      <c r="H181" s="275">
        <f>B181*G181</f>
        <v>0</v>
      </c>
      <c r="I181" s="275">
        <f>C142</f>
        <v>0</v>
      </c>
      <c r="J181" s="275">
        <f>B181*I181</f>
        <v>0</v>
      </c>
      <c r="K181" s="275">
        <f>C143</f>
        <v>0</v>
      </c>
      <c r="L181" s="275">
        <f>B181*K181</f>
        <v>0</v>
      </c>
      <c r="M181" s="275">
        <f>C144</f>
        <v>0</v>
      </c>
      <c r="N181" s="275">
        <f>B181*M181</f>
        <v>0</v>
      </c>
    </row>
    <row r="182" spans="1:16" x14ac:dyDescent="0.2">
      <c r="A182" s="276" t="s">
        <v>576</v>
      </c>
      <c r="B182" s="274">
        <f>B181/'Prod. GEXBLU'!O17</f>
        <v>5.5555555555555562E-7</v>
      </c>
      <c r="C182" s="275">
        <f>F141</f>
        <v>0</v>
      </c>
      <c r="D182" s="275">
        <f>B182*C182</f>
        <v>0</v>
      </c>
      <c r="E182" s="275">
        <f>F141</f>
        <v>0</v>
      </c>
      <c r="F182" s="275">
        <f>B182*E182</f>
        <v>0</v>
      </c>
      <c r="G182" s="275">
        <f>F141</f>
        <v>0</v>
      </c>
      <c r="H182" s="275">
        <f>B182*G182</f>
        <v>0</v>
      </c>
      <c r="I182" s="275">
        <f>F141</f>
        <v>0</v>
      </c>
      <c r="J182" s="275">
        <f>B182*I182</f>
        <v>0</v>
      </c>
      <c r="K182" s="275">
        <f>F141</f>
        <v>0</v>
      </c>
      <c r="L182" s="275">
        <f>B182*K182</f>
        <v>0</v>
      </c>
      <c r="M182" s="275">
        <f>F141</f>
        <v>0</v>
      </c>
      <c r="N182" s="275">
        <f>B182*M182</f>
        <v>0</v>
      </c>
    </row>
    <row r="183" spans="1:16" x14ac:dyDescent="0.2">
      <c r="A183" s="282" t="s">
        <v>587</v>
      </c>
      <c r="B183" s="286"/>
      <c r="C183" s="284"/>
      <c r="D183" s="285">
        <f>SUM(D181:D182)</f>
        <v>0</v>
      </c>
      <c r="E183" s="284"/>
      <c r="F183" s="285">
        <f>SUM(F181:F182)</f>
        <v>0</v>
      </c>
      <c r="G183" s="284"/>
      <c r="H183" s="285">
        <f>SUM(H181:H182)</f>
        <v>0</v>
      </c>
      <c r="I183" s="285"/>
      <c r="J183" s="285">
        <f>J181+J182</f>
        <v>0</v>
      </c>
      <c r="K183" s="284"/>
      <c r="L183" s="285">
        <f>SUM(L181:L182)</f>
        <v>0</v>
      </c>
      <c r="M183" s="284"/>
      <c r="N183" s="285">
        <f>SUM(N181:N182)</f>
        <v>0</v>
      </c>
    </row>
    <row r="184" spans="1:16" x14ac:dyDescent="0.2">
      <c r="A184" s="273" t="s">
        <v>588</v>
      </c>
      <c r="B184" s="280">
        <f>1/'Prod. GEXBLU'!I17</f>
        <v>1.6666666666666666E-4</v>
      </c>
      <c r="C184" s="275">
        <f>C139</f>
        <v>0</v>
      </c>
      <c r="D184" s="275">
        <f>B184*C184</f>
        <v>0</v>
      </c>
      <c r="E184" s="275">
        <f>C140</f>
        <v>0</v>
      </c>
      <c r="F184" s="275">
        <f>B184*E184</f>
        <v>0</v>
      </c>
      <c r="G184" s="275">
        <f>C141</f>
        <v>0</v>
      </c>
      <c r="H184" s="275">
        <f>B184*G184</f>
        <v>0</v>
      </c>
      <c r="I184" s="275">
        <f>C142</f>
        <v>0</v>
      </c>
      <c r="J184" s="275">
        <f>B184*I184</f>
        <v>0</v>
      </c>
      <c r="K184" s="275">
        <f>C143</f>
        <v>0</v>
      </c>
      <c r="L184" s="275">
        <f>B184*K184</f>
        <v>0</v>
      </c>
      <c r="M184" s="275">
        <f>C144</f>
        <v>0</v>
      </c>
      <c r="N184" s="275">
        <f>B184*M184</f>
        <v>0</v>
      </c>
    </row>
    <row r="185" spans="1:16" x14ac:dyDescent="0.2">
      <c r="A185" s="276" t="s">
        <v>576</v>
      </c>
      <c r="B185" s="274">
        <f>B184/'Prod. GEXBLU'!O17</f>
        <v>9.2592592592592591E-6</v>
      </c>
      <c r="C185" s="275">
        <f>F141</f>
        <v>0</v>
      </c>
      <c r="D185" s="275">
        <f>B185*C185</f>
        <v>0</v>
      </c>
      <c r="E185" s="275">
        <f>F141</f>
        <v>0</v>
      </c>
      <c r="F185" s="275">
        <f>B185*E185</f>
        <v>0</v>
      </c>
      <c r="G185" s="275">
        <f>F141</f>
        <v>0</v>
      </c>
      <c r="H185" s="275">
        <f>B185*G185</f>
        <v>0</v>
      </c>
      <c r="I185" s="275">
        <f>F141</f>
        <v>0</v>
      </c>
      <c r="J185" s="275">
        <f>B185*I185</f>
        <v>0</v>
      </c>
      <c r="K185" s="275">
        <f>F141</f>
        <v>0</v>
      </c>
      <c r="L185" s="275">
        <f>B185*K185</f>
        <v>0</v>
      </c>
      <c r="M185" s="275">
        <f>F141</f>
        <v>0</v>
      </c>
      <c r="N185" s="275">
        <f>B185*M185</f>
        <v>0</v>
      </c>
    </row>
    <row r="186" spans="1:16" x14ac:dyDescent="0.2">
      <c r="A186" s="282" t="s">
        <v>589</v>
      </c>
      <c r="B186" s="286"/>
      <c r="C186" s="284"/>
      <c r="D186" s="285">
        <f>SUM(D184:D185)</f>
        <v>0</v>
      </c>
      <c r="E186" s="284"/>
      <c r="F186" s="285">
        <f>SUM(F184:F185)</f>
        <v>0</v>
      </c>
      <c r="G186" s="284"/>
      <c r="H186" s="285">
        <f>SUM(H184:H185)</f>
        <v>0</v>
      </c>
      <c r="I186" s="285"/>
      <c r="J186" s="285">
        <f>J184+J185</f>
        <v>0</v>
      </c>
      <c r="K186" s="284"/>
      <c r="L186" s="285">
        <f>SUM(L184:L185)</f>
        <v>0</v>
      </c>
      <c r="M186" s="284"/>
      <c r="N186" s="285">
        <f>SUM(N184:N185)</f>
        <v>0</v>
      </c>
    </row>
    <row r="187" spans="1:16" x14ac:dyDescent="0.2">
      <c r="A187" s="249"/>
      <c r="B187" s="252"/>
      <c r="C187" s="252"/>
      <c r="D187" s="252"/>
      <c r="E187" s="252"/>
    </row>
    <row r="188" spans="1:16" ht="14.25" customHeight="1" x14ac:dyDescent="0.2">
      <c r="A188" s="1040" t="s">
        <v>590</v>
      </c>
      <c r="B188" s="1040"/>
      <c r="C188" s="1040" t="s">
        <v>566</v>
      </c>
      <c r="D188" s="1040"/>
      <c r="E188" s="1064" t="s">
        <v>567</v>
      </c>
      <c r="F188" s="1065"/>
      <c r="G188" s="1040" t="s">
        <v>568</v>
      </c>
      <c r="H188" s="1040"/>
      <c r="I188" s="1040" t="s">
        <v>620</v>
      </c>
      <c r="J188" s="1040"/>
      <c r="K188" s="1040" t="s">
        <v>569</v>
      </c>
      <c r="L188" s="1040"/>
      <c r="M188" s="1040" t="s">
        <v>570</v>
      </c>
      <c r="N188" s="1040"/>
    </row>
    <row r="189" spans="1:16" ht="38.25" x14ac:dyDescent="0.2">
      <c r="A189" s="271" t="s">
        <v>571</v>
      </c>
      <c r="B189" s="272" t="s">
        <v>579</v>
      </c>
      <c r="C189" s="272" t="s">
        <v>573</v>
      </c>
      <c r="D189" s="272" t="s">
        <v>574</v>
      </c>
      <c r="E189" s="272" t="s">
        <v>573</v>
      </c>
      <c r="F189" s="272" t="s">
        <v>574</v>
      </c>
      <c r="G189" s="272" t="s">
        <v>573</v>
      </c>
      <c r="H189" s="272" t="s">
        <v>574</v>
      </c>
      <c r="I189" s="272" t="s">
        <v>573</v>
      </c>
      <c r="J189" s="272" t="s">
        <v>574</v>
      </c>
      <c r="K189" s="272" t="s">
        <v>573</v>
      </c>
      <c r="L189" s="272" t="s">
        <v>574</v>
      </c>
      <c r="M189" s="272" t="s">
        <v>573</v>
      </c>
      <c r="N189" s="272" t="s">
        <v>574</v>
      </c>
    </row>
    <row r="190" spans="1:16" x14ac:dyDescent="0.2">
      <c r="A190" s="287" t="s">
        <v>591</v>
      </c>
      <c r="B190" s="280">
        <f>(1/'Prod. GEXBLU'!J17)*(1/(30/7*44*6))*8</f>
        <v>4.4191919191919199E-5</v>
      </c>
      <c r="C190" s="275">
        <f>E139</f>
        <v>0</v>
      </c>
      <c r="D190" s="275">
        <f>B190*C190</f>
        <v>0</v>
      </c>
      <c r="E190" s="275">
        <f>E140</f>
        <v>0</v>
      </c>
      <c r="F190" s="275">
        <f>B190*E190</f>
        <v>0</v>
      </c>
      <c r="G190" s="275">
        <f>E141</f>
        <v>0</v>
      </c>
      <c r="H190" s="275">
        <f>B190*G190</f>
        <v>0</v>
      </c>
      <c r="I190" s="275">
        <f>E142</f>
        <v>0</v>
      </c>
      <c r="J190" s="275">
        <f>B190*I190</f>
        <v>0</v>
      </c>
      <c r="K190" s="275">
        <f>E143</f>
        <v>0</v>
      </c>
      <c r="L190" s="275">
        <f>B190*K190</f>
        <v>0</v>
      </c>
      <c r="M190" s="275">
        <f>E144</f>
        <v>0</v>
      </c>
      <c r="N190" s="275">
        <f>B190*M190</f>
        <v>0</v>
      </c>
    </row>
    <row r="191" spans="1:16" x14ac:dyDescent="0.2">
      <c r="A191" s="276" t="s">
        <v>576</v>
      </c>
      <c r="B191" s="280">
        <f>B190/4</f>
        <v>1.10479797979798E-5</v>
      </c>
      <c r="C191" s="275">
        <f>F141</f>
        <v>0</v>
      </c>
      <c r="D191" s="275">
        <f>B191*C191</f>
        <v>0</v>
      </c>
      <c r="E191" s="275">
        <f>F141</f>
        <v>0</v>
      </c>
      <c r="F191" s="275">
        <f>B191*E191</f>
        <v>0</v>
      </c>
      <c r="G191" s="275">
        <f>F141</f>
        <v>0</v>
      </c>
      <c r="H191" s="275">
        <f>B191*G191</f>
        <v>0</v>
      </c>
      <c r="I191" s="275">
        <f>F141</f>
        <v>0</v>
      </c>
      <c r="J191" s="275">
        <f>B191*I191</f>
        <v>0</v>
      </c>
      <c r="K191" s="275">
        <f>F141</f>
        <v>0</v>
      </c>
      <c r="L191" s="275">
        <f>B191*K191</f>
        <v>0</v>
      </c>
      <c r="M191" s="275">
        <f>F141</f>
        <v>0</v>
      </c>
      <c r="N191" s="275">
        <f>B191*M191</f>
        <v>0</v>
      </c>
      <c r="O191" s="1068"/>
      <c r="P191" s="1069"/>
    </row>
    <row r="192" spans="1:16" x14ac:dyDescent="0.2">
      <c r="A192" s="288" t="s">
        <v>592</v>
      </c>
      <c r="B192" s="289"/>
      <c r="C192" s="290"/>
      <c r="D192" s="291">
        <f>SUM(D190:D191)</f>
        <v>0</v>
      </c>
      <c r="E192" s="290"/>
      <c r="F192" s="291">
        <f>SUM(F190:F191)</f>
        <v>0</v>
      </c>
      <c r="G192" s="290"/>
      <c r="H192" s="291">
        <f>SUM(H190:H191)</f>
        <v>0</v>
      </c>
      <c r="I192" s="291"/>
      <c r="J192" s="291">
        <f>J190+J191</f>
        <v>0</v>
      </c>
      <c r="K192" s="290"/>
      <c r="L192" s="291">
        <f>SUM(L190:L191)</f>
        <v>0</v>
      </c>
      <c r="M192" s="290"/>
      <c r="N192" s="291">
        <f>SUM(N190:N191)</f>
        <v>0</v>
      </c>
      <c r="O192" s="427"/>
      <c r="P192" s="428"/>
    </row>
    <row r="193" spans="1:16" x14ac:dyDescent="0.2">
      <c r="A193" s="287" t="s">
        <v>593</v>
      </c>
      <c r="B193" s="280">
        <f>1/'Prod. GEXBLU'!K17*16*(1/188.76)</f>
        <v>2.2306242401936183E-4</v>
      </c>
      <c r="C193" s="275">
        <f>C139</f>
        <v>0</v>
      </c>
      <c r="D193" s="275">
        <f>B193*C193</f>
        <v>0</v>
      </c>
      <c r="E193" s="275">
        <f>C140</f>
        <v>0</v>
      </c>
      <c r="F193" s="275">
        <f>B193*E193</f>
        <v>0</v>
      </c>
      <c r="G193" s="275">
        <f>C141</f>
        <v>0</v>
      </c>
      <c r="H193" s="275">
        <f>B193*G193</f>
        <v>0</v>
      </c>
      <c r="I193" s="275">
        <f>C142</f>
        <v>0</v>
      </c>
      <c r="J193" s="275">
        <f>B193*I193</f>
        <v>0</v>
      </c>
      <c r="K193" s="275">
        <f>C143</f>
        <v>0</v>
      </c>
      <c r="L193" s="275">
        <f>B193*K193</f>
        <v>0</v>
      </c>
      <c r="M193" s="275">
        <f>C144</f>
        <v>0</v>
      </c>
      <c r="N193" s="275">
        <f>B193*M193</f>
        <v>0</v>
      </c>
    </row>
    <row r="194" spans="1:16" x14ac:dyDescent="0.2">
      <c r="A194" s="276" t="s">
        <v>576</v>
      </c>
      <c r="B194" s="280">
        <f>1/('Prod. GEXBLU'!O17*'Prod. GEXBLU'!L17)*16*(1/188.76)</f>
        <v>1.2392356889964548E-5</v>
      </c>
      <c r="C194" s="275">
        <f>F141</f>
        <v>0</v>
      </c>
      <c r="D194" s="275">
        <f>B194*C194</f>
        <v>0</v>
      </c>
      <c r="E194" s="275">
        <f>F141</f>
        <v>0</v>
      </c>
      <c r="F194" s="275">
        <f>B194*E194</f>
        <v>0</v>
      </c>
      <c r="G194" s="275">
        <f>F141</f>
        <v>0</v>
      </c>
      <c r="H194" s="275">
        <f>B194*G194</f>
        <v>0</v>
      </c>
      <c r="I194" s="275">
        <f>F141</f>
        <v>0</v>
      </c>
      <c r="J194" s="275">
        <f>B194*I194</f>
        <v>0</v>
      </c>
      <c r="K194" s="275">
        <f>F141</f>
        <v>0</v>
      </c>
      <c r="L194" s="275">
        <f>B194*K194</f>
        <v>0</v>
      </c>
      <c r="M194" s="275">
        <f>F141</f>
        <v>0</v>
      </c>
      <c r="N194" s="275">
        <f>B194*M194</f>
        <v>0</v>
      </c>
      <c r="O194" s="1068"/>
      <c r="P194" s="1069"/>
    </row>
    <row r="195" spans="1:16" x14ac:dyDescent="0.2">
      <c r="A195" s="288" t="s">
        <v>594</v>
      </c>
      <c r="B195" s="289"/>
      <c r="C195" s="290"/>
      <c r="D195" s="291">
        <f>SUM(D193:D194)</f>
        <v>0</v>
      </c>
      <c r="E195" s="290"/>
      <c r="F195" s="291">
        <f>SUM(F193:F194)</f>
        <v>0</v>
      </c>
      <c r="G195" s="290"/>
      <c r="H195" s="291">
        <f>SUM(H193:H194)</f>
        <v>0</v>
      </c>
      <c r="I195" s="291"/>
      <c r="J195" s="291">
        <f>J193+J194</f>
        <v>0</v>
      </c>
      <c r="K195" s="290"/>
      <c r="L195" s="291">
        <f>SUM(L193:L194)</f>
        <v>0</v>
      </c>
      <c r="M195" s="290"/>
      <c r="N195" s="291">
        <f>SUM(N193:N194)</f>
        <v>0</v>
      </c>
      <c r="O195" s="427"/>
      <c r="P195" s="428"/>
    </row>
    <row r="196" spans="1:16" x14ac:dyDescent="0.2">
      <c r="A196" s="273" t="s">
        <v>595</v>
      </c>
      <c r="B196" s="280">
        <f>1/'Prod. GEXBLU'!L17*16*(1/188.76)</f>
        <v>2.2306242401936183E-4</v>
      </c>
      <c r="C196" s="275">
        <f>C139</f>
        <v>0</v>
      </c>
      <c r="D196" s="275">
        <f>B196*C196</f>
        <v>0</v>
      </c>
      <c r="E196" s="275">
        <f>C140</f>
        <v>0</v>
      </c>
      <c r="F196" s="275">
        <f>B196*E196</f>
        <v>0</v>
      </c>
      <c r="G196" s="275">
        <f>C141</f>
        <v>0</v>
      </c>
      <c r="H196" s="275">
        <f>B196*G196</f>
        <v>0</v>
      </c>
      <c r="I196" s="275">
        <f>C142</f>
        <v>0</v>
      </c>
      <c r="J196" s="275">
        <f>B196*I196</f>
        <v>0</v>
      </c>
      <c r="K196" s="275">
        <f>C143</f>
        <v>0</v>
      </c>
      <c r="L196" s="275">
        <f>B196*K196</f>
        <v>0</v>
      </c>
      <c r="M196" s="275">
        <f>C144</f>
        <v>0</v>
      </c>
      <c r="N196" s="275">
        <f>B196*M196</f>
        <v>0</v>
      </c>
    </row>
    <row r="197" spans="1:16" x14ac:dyDescent="0.2">
      <c r="A197" s="276" t="s">
        <v>576</v>
      </c>
      <c r="B197" s="280">
        <f>1/('Prod. GEXBLU'!O17*'Prod. GEXBLU'!L17)*16*(1/188.76)</f>
        <v>1.2392356889964548E-5</v>
      </c>
      <c r="C197" s="275">
        <f>F141</f>
        <v>0</v>
      </c>
      <c r="D197" s="275">
        <f>B197*C197</f>
        <v>0</v>
      </c>
      <c r="E197" s="275">
        <f>F141</f>
        <v>0</v>
      </c>
      <c r="F197" s="275">
        <f>B197*E197</f>
        <v>0</v>
      </c>
      <c r="G197" s="275">
        <f>F141</f>
        <v>0</v>
      </c>
      <c r="H197" s="275">
        <f>B197*G197</f>
        <v>0</v>
      </c>
      <c r="I197" s="275">
        <f>F141</f>
        <v>0</v>
      </c>
      <c r="J197" s="275">
        <f>B197*I197</f>
        <v>0</v>
      </c>
      <c r="K197" s="275">
        <f>F141</f>
        <v>0</v>
      </c>
      <c r="L197" s="275">
        <f>B197*K197</f>
        <v>0</v>
      </c>
      <c r="M197" s="275">
        <f>F141</f>
        <v>0</v>
      </c>
      <c r="N197" s="275">
        <f>B197*M197</f>
        <v>0</v>
      </c>
      <c r="O197" s="1068"/>
      <c r="P197" s="1069"/>
    </row>
    <row r="198" spans="1:16" x14ac:dyDescent="0.2">
      <c r="A198" s="288" t="s">
        <v>596</v>
      </c>
      <c r="B198" s="289"/>
      <c r="C198" s="290"/>
      <c r="D198" s="291">
        <f>SUM(D196:D197)</f>
        <v>0</v>
      </c>
      <c r="E198" s="290"/>
      <c r="F198" s="291">
        <f>SUM(F196:F197)</f>
        <v>0</v>
      </c>
      <c r="G198" s="290"/>
      <c r="H198" s="291">
        <f>SUM(H196:H197)</f>
        <v>0</v>
      </c>
      <c r="I198" s="291"/>
      <c r="J198" s="291">
        <f>J196+J197</f>
        <v>0</v>
      </c>
      <c r="K198" s="290"/>
      <c r="L198" s="291">
        <f>SUM(L196:L197)</f>
        <v>0</v>
      </c>
      <c r="M198" s="290"/>
      <c r="N198" s="291">
        <f>SUM(N196:N197)</f>
        <v>0</v>
      </c>
      <c r="O198" s="427"/>
      <c r="P198" s="428"/>
    </row>
    <row r="199" spans="1:16" x14ac:dyDescent="0.2">
      <c r="A199" s="248"/>
    </row>
  </sheetData>
  <mergeCells count="75">
    <mergeCell ref="I188:J188"/>
    <mergeCell ref="A21:F21"/>
    <mergeCell ref="I158:J158"/>
    <mergeCell ref="I164:J164"/>
    <mergeCell ref="I170:J170"/>
    <mergeCell ref="I176:J176"/>
    <mergeCell ref="A128:B128"/>
    <mergeCell ref="A50:B50"/>
    <mergeCell ref="A51:F51"/>
    <mergeCell ref="A61:B61"/>
    <mergeCell ref="A62:F62"/>
    <mergeCell ref="A92:B92"/>
    <mergeCell ref="A115:A120"/>
    <mergeCell ref="A123:F123"/>
    <mergeCell ref="A124:F124"/>
    <mergeCell ref="A125:B125"/>
    <mergeCell ref="A1:F1"/>
    <mergeCell ref="A2:F2"/>
    <mergeCell ref="A3:F3"/>
    <mergeCell ref="A9:F9"/>
    <mergeCell ref="A20:B20"/>
    <mergeCell ref="A126:B126"/>
    <mergeCell ref="A127:B127"/>
    <mergeCell ref="E152:F152"/>
    <mergeCell ref="A129:B129"/>
    <mergeCell ref="A130:B130"/>
    <mergeCell ref="A131:B131"/>
    <mergeCell ref="A132:B132"/>
    <mergeCell ref="A133:B133"/>
    <mergeCell ref="A134:B134"/>
    <mergeCell ref="A135:B135"/>
    <mergeCell ref="A137:B137"/>
    <mergeCell ref="A138:B138"/>
    <mergeCell ref="A152:B152"/>
    <mergeCell ref="C152:D152"/>
    <mergeCell ref="A158:B158"/>
    <mergeCell ref="C158:D158"/>
    <mergeCell ref="E158:F158"/>
    <mergeCell ref="G158:H158"/>
    <mergeCell ref="K158:L158"/>
    <mergeCell ref="M164:N164"/>
    <mergeCell ref="G152:H152"/>
    <mergeCell ref="K152:L152"/>
    <mergeCell ref="M152:N152"/>
    <mergeCell ref="O155:P155"/>
    <mergeCell ref="M158:N158"/>
    <mergeCell ref="A164:B164"/>
    <mergeCell ref="C164:D164"/>
    <mergeCell ref="E164:F164"/>
    <mergeCell ref="G164:H164"/>
    <mergeCell ref="K164:L164"/>
    <mergeCell ref="K176:L176"/>
    <mergeCell ref="M176:N176"/>
    <mergeCell ref="A170:B170"/>
    <mergeCell ref="C170:D170"/>
    <mergeCell ref="E170:F170"/>
    <mergeCell ref="G170:H170"/>
    <mergeCell ref="K170:L170"/>
    <mergeCell ref="M170:N170"/>
    <mergeCell ref="O191:P191"/>
    <mergeCell ref="O194:P194"/>
    <mergeCell ref="O197:P197"/>
    <mergeCell ref="I152:J152"/>
    <mergeCell ref="A136:B136"/>
    <mergeCell ref="O179:P179"/>
    <mergeCell ref="A188:B188"/>
    <mergeCell ref="C188:D188"/>
    <mergeCell ref="E188:F188"/>
    <mergeCell ref="G188:H188"/>
    <mergeCell ref="K188:L188"/>
    <mergeCell ref="M188:N188"/>
    <mergeCell ref="A176:B176"/>
    <mergeCell ref="C176:D176"/>
    <mergeCell ref="E176:F176"/>
    <mergeCell ref="G176:H176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02779F605D534DA1B3FC3D1B1B4DA1" ma:contentTypeVersion="4" ma:contentTypeDescription="Crie um novo documento." ma:contentTypeScope="" ma:versionID="0befc87c81429b8c0833552f2f2d2d5a">
  <xsd:schema xmlns:xsd="http://www.w3.org/2001/XMLSchema" xmlns:xs="http://www.w3.org/2001/XMLSchema" xmlns:p="http://schemas.microsoft.com/office/2006/metadata/properties" xmlns:ns2="c3daeb68-ee4a-4fef-ab94-779009af24c2" xmlns:ns3="a1fdbba4-714c-4189-ada0-32d20d17b811" targetNamespace="http://schemas.microsoft.com/office/2006/metadata/properties" ma:root="true" ma:fieldsID="72e0f711d003ad403bb959cc4c81b406" ns2:_="" ns3:_="">
    <xsd:import namespace="c3daeb68-ee4a-4fef-ab94-779009af24c2"/>
    <xsd:import namespace="a1fdbba4-714c-4189-ada0-32d20d17b8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aeb68-ee4a-4fef-ab94-779009af2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dbba4-714c-4189-ada0-32d20d17b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C9F62-CCDF-46E7-9726-75185F356D3A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1fdbba4-714c-4189-ada0-32d20d17b811"/>
    <ds:schemaRef ds:uri="c3daeb68-ee4a-4fef-ab94-779009af24c2"/>
  </ds:schemaRefs>
</ds:datastoreItem>
</file>

<file path=customXml/itemProps2.xml><?xml version="1.0" encoding="utf-8"?>
<ds:datastoreItem xmlns:ds="http://schemas.openxmlformats.org/officeDocument/2006/customXml" ds:itemID="{E85D858B-AF11-493D-80EE-03BC8AF89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59729C-E2F2-4C06-8D7A-9C5C8AE4C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daeb68-ee4a-4fef-ab94-779009af24c2"/>
    <ds:schemaRef ds:uri="a1fdbba4-714c-4189-ada0-32d20d17b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11</vt:i4>
      </vt:variant>
    </vt:vector>
  </HeadingPairs>
  <TitlesOfParts>
    <vt:vector size="25" baseType="lpstr">
      <vt:lpstr>Modelo de Proposta</vt:lpstr>
      <vt:lpstr>MC</vt:lpstr>
      <vt:lpstr>Insumos</vt:lpstr>
      <vt:lpstr>Resumo Proposta</vt:lpstr>
      <vt:lpstr>Prod. GEXFLO</vt:lpstr>
      <vt:lpstr>GEXFLO Limp.Ord.</vt:lpstr>
      <vt:lpstr>GEXFLO Covid</vt:lpstr>
      <vt:lpstr>Prod. GEXBLU</vt:lpstr>
      <vt:lpstr>GEXBLU Limp.Ord. </vt:lpstr>
      <vt:lpstr>GEXBLU Covid</vt:lpstr>
      <vt:lpstr>Prod. GEXJVL</vt:lpstr>
      <vt:lpstr>GEXJVL Limp.Ord.</vt:lpstr>
      <vt:lpstr>GEXJVL Covid</vt:lpstr>
      <vt:lpstr>GEXJVL L.Ord e Covid - APS PR</vt:lpstr>
      <vt:lpstr>'Prod. GEXBLU'!_FiltrarBancodeDados</vt:lpstr>
      <vt:lpstr>'Prod. GEXJVL'!_FiltrarBancodeDados</vt:lpstr>
      <vt:lpstr>'Modelo de Proposta'!Area_de_impressao</vt:lpstr>
      <vt:lpstr>'GEXBLU Covid'!Print_Area</vt:lpstr>
      <vt:lpstr>'GEXBLU Limp.Ord. '!Print_Area</vt:lpstr>
      <vt:lpstr>'GEXFLO Covid'!Print_Area</vt:lpstr>
      <vt:lpstr>'GEXFLO Limp.Ord.'!Print_Area</vt:lpstr>
      <vt:lpstr>'GEXJVL Covid'!Print_Area</vt:lpstr>
      <vt:lpstr>'GEXJVL L.Ord e Covid - APS PR'!Print_Area</vt:lpstr>
      <vt:lpstr>'GEXJVL Limp.Ord.'!Print_Area</vt:lpstr>
      <vt:lpstr>MC!Print_Area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Carolina Alves Miranda</dc:creator>
  <cp:lastModifiedBy>quelc</cp:lastModifiedBy>
  <cp:revision>89</cp:revision>
  <dcterms:created xsi:type="dcterms:W3CDTF">2020-03-17T09:48:25Z</dcterms:created>
  <dcterms:modified xsi:type="dcterms:W3CDTF">2022-06-30T13:36:22Z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0x0101002802779F605D534DA1B3FC3D1B1B4DA1</vt:lpwstr>
  </property>
</Properties>
</file>