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ss\Desktop\propostas\"/>
    </mc:Choice>
  </mc:AlternateContent>
  <bookViews>
    <workbookView xWindow="0" yWindow="0" windowWidth="29010" windowHeight="11985" tabRatio="764"/>
  </bookViews>
  <sheets>
    <sheet name="Modelo de Proposta" sheetId="21" r:id="rId1"/>
    <sheet name="MC" sheetId="1" r:id="rId2"/>
    <sheet name="Insumos" sheetId="20" r:id="rId3"/>
    <sheet name="Resumo Proposta" sheetId="5" r:id="rId4"/>
    <sheet name="Prod. GEXCAS" sheetId="6" r:id="rId5"/>
    <sheet name="GEXCAS Limp.Ord." sheetId="7" r:id="rId6"/>
    <sheet name="GEXCAS Covid" sheetId="12" r:id="rId7"/>
    <sheet name="Prod. GEXLON" sheetId="9" r:id="rId8"/>
    <sheet name="GEXLON Limp.Ord. " sheetId="13" r:id="rId9"/>
    <sheet name="GEXLON Covid " sheetId="14" r:id="rId10"/>
    <sheet name="Prod. GEXMRG" sheetId="16" r:id="rId11"/>
    <sheet name="GEXMRG Limp.Ord. " sheetId="17" r:id="rId12"/>
    <sheet name="GEXMRG Covid " sheetId="18" r:id="rId13"/>
  </sheets>
  <definedNames>
    <definedName name="_xlnm._FilterDatabase" localSheetId="7">'Prod. GEXLON'!$A$2:$V$2</definedName>
    <definedName name="_xlnm.Print_Area" localSheetId="0">'Modelo de Proposta'!$B$1:$H$30</definedName>
    <definedName name="Print_Area" localSheetId="6">'GEXCAS Covid'!$A$1:$D$144</definedName>
    <definedName name="Print_Area" localSheetId="5">'GEXCAS Limp.Ord.'!$A$1:$D$192</definedName>
    <definedName name="Print_Area" localSheetId="9">'GEXLON Covid '!$A$1:$D$144</definedName>
    <definedName name="Print_Area" localSheetId="8">'GEXLON Limp.Ord. '!$A$1:$D$192</definedName>
    <definedName name="Print_Area" localSheetId="12">'GEXMRG Covid '!$A$1:$D$144</definedName>
    <definedName name="Print_Area" localSheetId="11">'GEXMRG Limp.Ord. '!$A$1:$D$192</definedName>
    <definedName name="Print_Area" localSheetId="1">MC!$A$3:$V$19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6" i="20" l="1"/>
  <c r="K68" i="1" l="1"/>
  <c r="F18" i="16"/>
  <c r="E91" i="1"/>
  <c r="E68" i="1"/>
  <c r="E95" i="20"/>
  <c r="D95" i="20"/>
  <c r="C95" i="20"/>
  <c r="H146" i="20"/>
  <c r="H145" i="20" s="1"/>
  <c r="G133" i="20"/>
  <c r="H133" i="20" s="1"/>
  <c r="G132" i="20"/>
  <c r="D132" i="20"/>
  <c r="C132" i="20"/>
  <c r="G131" i="20"/>
  <c r="H131" i="20" s="1"/>
  <c r="G130" i="20"/>
  <c r="I130" i="20" s="1"/>
  <c r="G127" i="20"/>
  <c r="D127" i="20"/>
  <c r="C127" i="20"/>
  <c r="G126" i="20"/>
  <c r="D126" i="20"/>
  <c r="C126" i="20"/>
  <c r="G125" i="20"/>
  <c r="D125" i="20"/>
  <c r="C125" i="20"/>
  <c r="G124" i="20"/>
  <c r="D124" i="20"/>
  <c r="C124" i="20"/>
  <c r="G123" i="20"/>
  <c r="D123" i="20"/>
  <c r="C123" i="20"/>
  <c r="F116" i="20"/>
  <c r="G116" i="20" s="1"/>
  <c r="F115" i="20"/>
  <c r="F114" i="20"/>
  <c r="F113" i="20"/>
  <c r="G113" i="20" s="1"/>
  <c r="F111" i="20"/>
  <c r="F110" i="20"/>
  <c r="G110" i="20" s="1"/>
  <c r="F109" i="20"/>
  <c r="F108" i="20"/>
  <c r="F107" i="20"/>
  <c r="F106" i="20"/>
  <c r="G106" i="20" s="1"/>
  <c r="K96" i="20"/>
  <c r="J96" i="20"/>
  <c r="I96" i="20"/>
  <c r="H95" i="20"/>
  <c r="J95" i="20" s="1"/>
  <c r="K95" i="20"/>
  <c r="H94" i="20"/>
  <c r="J94" i="20" s="1"/>
  <c r="H93" i="20"/>
  <c r="H92" i="20"/>
  <c r="J92" i="20" s="1"/>
  <c r="H91" i="20"/>
  <c r="K91" i="20" s="1"/>
  <c r="H90" i="20"/>
  <c r="J90" i="20" s="1"/>
  <c r="H89" i="20"/>
  <c r="I89" i="20" s="1"/>
  <c r="H88" i="20"/>
  <c r="K88" i="20" s="1"/>
  <c r="H87" i="20"/>
  <c r="I87" i="20" s="1"/>
  <c r="F68" i="20"/>
  <c r="C68" i="20"/>
  <c r="F66" i="20"/>
  <c r="C66" i="20"/>
  <c r="F65" i="20"/>
  <c r="G65" i="20" s="1"/>
  <c r="F64" i="20"/>
  <c r="C64" i="20"/>
  <c r="F63" i="20"/>
  <c r="C63" i="20"/>
  <c r="F57" i="20"/>
  <c r="G57" i="20" s="1"/>
  <c r="F56" i="20"/>
  <c r="G56" i="20" s="1"/>
  <c r="F55" i="20"/>
  <c r="G55" i="20" s="1"/>
  <c r="F54" i="20"/>
  <c r="G54" i="20" s="1"/>
  <c r="F53" i="20"/>
  <c r="G53" i="20" s="1"/>
  <c r="F52" i="20"/>
  <c r="G52" i="20" s="1"/>
  <c r="F51" i="20"/>
  <c r="G51" i="20" s="1"/>
  <c r="F50" i="20"/>
  <c r="G50" i="20" s="1"/>
  <c r="F49" i="20"/>
  <c r="G49" i="20" s="1"/>
  <c r="F48" i="20"/>
  <c r="G48" i="20" s="1"/>
  <c r="F47" i="20"/>
  <c r="G47" i="20" s="1"/>
  <c r="F46" i="20"/>
  <c r="G46" i="20" s="1"/>
  <c r="F45" i="20"/>
  <c r="G45" i="20" s="1"/>
  <c r="F44" i="20"/>
  <c r="G44" i="20" s="1"/>
  <c r="F43" i="20"/>
  <c r="G43" i="20" s="1"/>
  <c r="F42" i="20"/>
  <c r="G42" i="20" s="1"/>
  <c r="F41" i="20"/>
  <c r="G41" i="20" s="1"/>
  <c r="F40" i="20"/>
  <c r="G40" i="20" s="1"/>
  <c r="F39" i="20"/>
  <c r="G39" i="20" s="1"/>
  <c r="F36" i="20"/>
  <c r="G36" i="20" s="1"/>
  <c r="F35" i="20"/>
  <c r="G35" i="20" s="1"/>
  <c r="F34" i="20"/>
  <c r="G34" i="20" s="1"/>
  <c r="F33" i="20"/>
  <c r="G33" i="20" s="1"/>
  <c r="F32" i="20"/>
  <c r="G32" i="20" s="1"/>
  <c r="F31" i="20"/>
  <c r="G31" i="20" s="1"/>
  <c r="F30" i="20"/>
  <c r="G30" i="20" s="1"/>
  <c r="F29" i="20"/>
  <c r="G29" i="20" s="1"/>
  <c r="F28" i="20"/>
  <c r="G28" i="20" s="1"/>
  <c r="F27" i="20"/>
  <c r="G27" i="20" s="1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F14" i="20"/>
  <c r="G14" i="20" s="1"/>
  <c r="F13" i="20"/>
  <c r="G13" i="20" s="1"/>
  <c r="F12" i="20"/>
  <c r="G12" i="20" s="1"/>
  <c r="F11" i="20"/>
  <c r="G11" i="20" s="1"/>
  <c r="F10" i="20"/>
  <c r="G10" i="20" s="1"/>
  <c r="F9" i="20"/>
  <c r="G9" i="20" s="1"/>
  <c r="F8" i="20"/>
  <c r="G8" i="20" s="1"/>
  <c r="F7" i="20"/>
  <c r="G7" i="20" s="1"/>
  <c r="F6" i="20"/>
  <c r="G6" i="20" s="1"/>
  <c r="F5" i="20"/>
  <c r="G5" i="20" s="1"/>
  <c r="F4" i="20"/>
  <c r="G4" i="20" s="1"/>
  <c r="F3" i="20"/>
  <c r="G3" i="20" s="1"/>
  <c r="F89" i="17" l="1"/>
  <c r="F89" i="7"/>
  <c r="B89" i="13"/>
  <c r="G89" i="13" s="1"/>
  <c r="B89" i="7"/>
  <c r="B89" i="17"/>
  <c r="G68" i="20"/>
  <c r="I133" i="20"/>
  <c r="G64" i="20"/>
  <c r="H126" i="20"/>
  <c r="I124" i="20"/>
  <c r="J91" i="20"/>
  <c r="I123" i="20"/>
  <c r="I127" i="20"/>
  <c r="H127" i="20"/>
  <c r="H132" i="20"/>
  <c r="I90" i="20"/>
  <c r="H124" i="20"/>
  <c r="G66" i="20"/>
  <c r="K92" i="20"/>
  <c r="I132" i="20"/>
  <c r="G58" i="20"/>
  <c r="I131" i="20"/>
  <c r="G63" i="20"/>
  <c r="K87" i="20"/>
  <c r="J88" i="20"/>
  <c r="G109" i="20"/>
  <c r="H123" i="20"/>
  <c r="H130" i="20"/>
  <c r="J87" i="20"/>
  <c r="I88" i="20"/>
  <c r="I126" i="20"/>
  <c r="G108" i="20"/>
  <c r="K89" i="20"/>
  <c r="J89" i="20"/>
  <c r="K90" i="20"/>
  <c r="G37" i="20"/>
  <c r="K93" i="20"/>
  <c r="J93" i="20"/>
  <c r="K94" i="20"/>
  <c r="G115" i="20"/>
  <c r="I125" i="20"/>
  <c r="H125" i="20"/>
  <c r="G107" i="20"/>
  <c r="G111" i="20"/>
  <c r="G114" i="20"/>
  <c r="G69" i="20" l="1"/>
  <c r="G59" i="20"/>
  <c r="H122" i="20"/>
  <c r="I129" i="20"/>
  <c r="H129" i="20"/>
  <c r="G112" i="20"/>
  <c r="G118" i="20" s="1"/>
  <c r="J97" i="20"/>
  <c r="J98" i="20" s="1"/>
  <c r="I122" i="20"/>
  <c r="G105" i="20"/>
  <c r="G117" i="20" s="1"/>
  <c r="K97" i="20"/>
  <c r="K98" i="20" s="1"/>
  <c r="I91" i="20"/>
  <c r="C87" i="17" l="1"/>
  <c r="C87" i="7"/>
  <c r="C87" i="13"/>
  <c r="E87" i="13"/>
  <c r="D87" i="17"/>
  <c r="D87" i="7"/>
  <c r="D87" i="13"/>
  <c r="C87" i="18"/>
  <c r="C87" i="12"/>
  <c r="C87" i="14"/>
  <c r="D87" i="14"/>
  <c r="D87" i="18"/>
  <c r="D87" i="12"/>
  <c r="F84" i="7"/>
  <c r="F84" i="17"/>
  <c r="G84" i="13"/>
  <c r="B84" i="14"/>
  <c r="B84" i="7"/>
  <c r="B84" i="18"/>
  <c r="B84" i="12"/>
  <c r="B84" i="17"/>
  <c r="B84" i="13"/>
  <c r="J99" i="20"/>
  <c r="B86" i="13" s="1"/>
  <c r="K99" i="20"/>
  <c r="B86" i="17" s="1"/>
  <c r="B85" i="18"/>
  <c r="B85" i="14"/>
  <c r="B85" i="12"/>
  <c r="B85" i="17"/>
  <c r="B85" i="13"/>
  <c r="B85" i="7"/>
  <c r="I92" i="20"/>
  <c r="D84" i="18" l="1"/>
  <c r="C84" i="18"/>
  <c r="F84" i="13"/>
  <c r="E84" i="13"/>
  <c r="D84" i="13"/>
  <c r="C84" i="13"/>
  <c r="C84" i="7"/>
  <c r="D84" i="7"/>
  <c r="E84" i="7"/>
  <c r="D84" i="12"/>
  <c r="C84" i="12"/>
  <c r="E84" i="17"/>
  <c r="D84" i="17"/>
  <c r="C84" i="17"/>
  <c r="C84" i="14"/>
  <c r="D84" i="14"/>
  <c r="D86" i="17"/>
  <c r="C86" i="17"/>
  <c r="E86" i="13"/>
  <c r="D86" i="13"/>
  <c r="C86" i="13"/>
  <c r="D85" i="14"/>
  <c r="C85" i="14"/>
  <c r="D85" i="18"/>
  <c r="C85" i="18"/>
  <c r="D85" i="7"/>
  <c r="C85" i="7"/>
  <c r="E85" i="13"/>
  <c r="D85" i="13"/>
  <c r="C85" i="13"/>
  <c r="C85" i="17"/>
  <c r="D85" i="17"/>
  <c r="I93" i="20"/>
  <c r="I94" i="20" l="1"/>
  <c r="I95" i="20"/>
  <c r="I97" i="20" l="1"/>
  <c r="I98" i="20" s="1"/>
  <c r="B5" i="16" l="1"/>
  <c r="B6" i="16"/>
  <c r="B7" i="16"/>
  <c r="B8" i="16"/>
  <c r="B9" i="16"/>
  <c r="B10" i="16"/>
  <c r="B11" i="16"/>
  <c r="B12" i="16"/>
  <c r="B13" i="16"/>
  <c r="B14" i="16"/>
  <c r="B15" i="16"/>
  <c r="B16" i="16"/>
  <c r="B17" i="16"/>
  <c r="B4" i="16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4" i="9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4" i="6"/>
  <c r="E78" i="13"/>
  <c r="F11" i="1"/>
  <c r="E5" i="13" s="1"/>
  <c r="E13" i="13" s="1"/>
  <c r="E19" i="13" s="1"/>
  <c r="E25" i="5"/>
  <c r="G25" i="5"/>
  <c r="I25" i="5"/>
  <c r="K25" i="5"/>
  <c r="M25" i="5"/>
  <c r="O25" i="5"/>
  <c r="Q25" i="5"/>
  <c r="S25" i="5"/>
  <c r="U25" i="5"/>
  <c r="W25" i="5"/>
  <c r="D26" i="5"/>
  <c r="AC26" i="5"/>
  <c r="AC41" i="5" s="1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AC42" i="5"/>
  <c r="AC56" i="5" s="1"/>
  <c r="E8" i="13"/>
  <c r="E7" i="13"/>
  <c r="E6" i="13"/>
  <c r="O19" i="9"/>
  <c r="AC6" i="5"/>
  <c r="AC25" i="5" s="1"/>
  <c r="AC58" i="5" s="1"/>
  <c r="G12" i="21" s="1"/>
  <c r="H12" i="21" s="1"/>
  <c r="B189" i="17"/>
  <c r="B186" i="17"/>
  <c r="B183" i="17"/>
  <c r="B177" i="17"/>
  <c r="B174" i="17"/>
  <c r="B171" i="17"/>
  <c r="B165" i="17"/>
  <c r="B159" i="17"/>
  <c r="B153" i="17"/>
  <c r="B147" i="17"/>
  <c r="E92" i="1"/>
  <c r="F92" i="1" s="1"/>
  <c r="E93" i="1"/>
  <c r="E94" i="1"/>
  <c r="E95" i="1"/>
  <c r="E96" i="1"/>
  <c r="F96" i="1" s="1"/>
  <c r="E97" i="1"/>
  <c r="E98" i="1"/>
  <c r="E99" i="1"/>
  <c r="E100" i="1"/>
  <c r="E101" i="1"/>
  <c r="E102" i="1"/>
  <c r="E103" i="1"/>
  <c r="F103" i="1" s="1"/>
  <c r="E104" i="1"/>
  <c r="D121" i="18"/>
  <c r="C121" i="18"/>
  <c r="B110" i="18"/>
  <c r="B109" i="18"/>
  <c r="B107" i="18"/>
  <c r="B106" i="18"/>
  <c r="B104" i="18"/>
  <c r="B103" i="18"/>
  <c r="B101" i="18"/>
  <c r="B100" i="18"/>
  <c r="B98" i="18"/>
  <c r="B97" i="18"/>
  <c r="D78" i="18"/>
  <c r="B78" i="18"/>
  <c r="B74" i="18"/>
  <c r="B79" i="18" s="1"/>
  <c r="C72" i="18"/>
  <c r="C78" i="18" s="1"/>
  <c r="B67" i="18"/>
  <c r="B66" i="18"/>
  <c r="B64" i="18"/>
  <c r="B59" i="18"/>
  <c r="B57" i="18"/>
  <c r="B54" i="18"/>
  <c r="B40" i="18"/>
  <c r="B36" i="18"/>
  <c r="B24" i="18"/>
  <c r="B23" i="18"/>
  <c r="D8" i="18"/>
  <c r="C8" i="18"/>
  <c r="D7" i="18"/>
  <c r="C7" i="18"/>
  <c r="D6" i="18"/>
  <c r="C6" i="18"/>
  <c r="F121" i="17"/>
  <c r="E121" i="17"/>
  <c r="D121" i="17"/>
  <c r="C121" i="17"/>
  <c r="B110" i="17"/>
  <c r="B109" i="17"/>
  <c r="B107" i="17"/>
  <c r="B106" i="17"/>
  <c r="B104" i="17"/>
  <c r="B103" i="17"/>
  <c r="B101" i="17"/>
  <c r="B100" i="17"/>
  <c r="B98" i="17"/>
  <c r="B97" i="17"/>
  <c r="B96" i="17"/>
  <c r="B95" i="17"/>
  <c r="F78" i="17"/>
  <c r="E78" i="17"/>
  <c r="D78" i="17"/>
  <c r="B78" i="17"/>
  <c r="B74" i="17"/>
  <c r="B79" i="17" s="1"/>
  <c r="C72" i="17"/>
  <c r="C78" i="17" s="1"/>
  <c r="B67" i="17"/>
  <c r="B66" i="17"/>
  <c r="B64" i="17"/>
  <c r="B59" i="17"/>
  <c r="B57" i="17"/>
  <c r="B54" i="17"/>
  <c r="B40" i="17"/>
  <c r="B36" i="17"/>
  <c r="B24" i="17"/>
  <c r="B23" i="17"/>
  <c r="E18" i="17"/>
  <c r="F8" i="17"/>
  <c r="E8" i="17"/>
  <c r="D8" i="17"/>
  <c r="C8" i="17"/>
  <c r="F7" i="17"/>
  <c r="E7" i="17"/>
  <c r="D7" i="17"/>
  <c r="C7" i="17"/>
  <c r="F6" i="17"/>
  <c r="E6" i="17"/>
  <c r="D6" i="17"/>
  <c r="C6" i="17"/>
  <c r="E5" i="17"/>
  <c r="E13" i="17" s="1"/>
  <c r="J29" i="16"/>
  <c r="L29" i="16" s="1"/>
  <c r="L30" i="16" s="1"/>
  <c r="J22" i="16" s="1"/>
  <c r="L22" i="16"/>
  <c r="I22" i="16"/>
  <c r="H22" i="16"/>
  <c r="G22" i="16"/>
  <c r="F22" i="16"/>
  <c r="E22" i="16"/>
  <c r="D22" i="16"/>
  <c r="C22" i="16"/>
  <c r="U18" i="16"/>
  <c r="T18" i="16"/>
  <c r="S18" i="16"/>
  <c r="R18" i="16"/>
  <c r="Q18" i="16"/>
  <c r="P18" i="16"/>
  <c r="Q19" i="16" s="1"/>
  <c r="O18" i="16"/>
  <c r="O20" i="16" s="1"/>
  <c r="N18" i="16"/>
  <c r="L18" i="16"/>
  <c r="L20" i="16" s="1"/>
  <c r="K18" i="16"/>
  <c r="K20" i="16" s="1"/>
  <c r="J18" i="16"/>
  <c r="I18" i="16"/>
  <c r="H18" i="16"/>
  <c r="G18" i="16"/>
  <c r="E18" i="16"/>
  <c r="D18" i="16"/>
  <c r="C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5" i="16"/>
  <c r="M4" i="16"/>
  <c r="M18" i="16" s="1"/>
  <c r="B153" i="13"/>
  <c r="B165" i="7"/>
  <c r="B147" i="7"/>
  <c r="D87" i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E76" i="1"/>
  <c r="F76" i="1" s="1"/>
  <c r="E77" i="1"/>
  <c r="F77" i="1" s="1"/>
  <c r="E78" i="1"/>
  <c r="E79" i="1"/>
  <c r="E80" i="1"/>
  <c r="F80" i="1" s="1"/>
  <c r="E81" i="1"/>
  <c r="E82" i="1"/>
  <c r="F82" i="1" s="1"/>
  <c r="E83" i="1"/>
  <c r="E84" i="1"/>
  <c r="F84" i="1" s="1"/>
  <c r="E85" i="1"/>
  <c r="E86" i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42" i="5"/>
  <c r="G90" i="13"/>
  <c r="W56" i="5"/>
  <c r="U56" i="5"/>
  <c r="S56" i="5"/>
  <c r="Q56" i="5"/>
  <c r="O56" i="5"/>
  <c r="M56" i="5"/>
  <c r="K56" i="5"/>
  <c r="I56" i="5"/>
  <c r="G56" i="5"/>
  <c r="E56" i="5"/>
  <c r="D105" i="1"/>
  <c r="F104" i="1"/>
  <c r="F97" i="1"/>
  <c r="F94" i="1"/>
  <c r="F93" i="1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6" i="5"/>
  <c r="U19" i="9"/>
  <c r="T19" i="9"/>
  <c r="S19" i="9"/>
  <c r="B189" i="13"/>
  <c r="B186" i="13"/>
  <c r="B183" i="7"/>
  <c r="B183" i="13"/>
  <c r="B177" i="13"/>
  <c r="B174" i="13"/>
  <c r="B171" i="13"/>
  <c r="B165" i="13"/>
  <c r="B159" i="13"/>
  <c r="B147" i="13"/>
  <c r="D121" i="14"/>
  <c r="C121" i="14"/>
  <c r="B110" i="14"/>
  <c r="B109" i="14"/>
  <c r="B107" i="14"/>
  <c r="B106" i="14"/>
  <c r="B104" i="14"/>
  <c r="B103" i="14"/>
  <c r="B101" i="14"/>
  <c r="B100" i="14"/>
  <c r="B98" i="14"/>
  <c r="B97" i="14"/>
  <c r="D78" i="14"/>
  <c r="B78" i="14"/>
  <c r="B74" i="14"/>
  <c r="B79" i="14" s="1"/>
  <c r="C72" i="14"/>
  <c r="C78" i="14" s="1"/>
  <c r="B67" i="14"/>
  <c r="B66" i="14"/>
  <c r="B64" i="14"/>
  <c r="B59" i="14"/>
  <c r="B57" i="14"/>
  <c r="B54" i="14"/>
  <c r="B40" i="14"/>
  <c r="B36" i="14"/>
  <c r="B24" i="14"/>
  <c r="B23" i="14"/>
  <c r="D8" i="14"/>
  <c r="C8" i="14"/>
  <c r="D7" i="14"/>
  <c r="C7" i="14"/>
  <c r="D6" i="14"/>
  <c r="C6" i="14"/>
  <c r="G121" i="13"/>
  <c r="F121" i="13"/>
  <c r="D121" i="13"/>
  <c r="C121" i="13"/>
  <c r="B110" i="13"/>
  <c r="B109" i="13"/>
  <c r="B107" i="13"/>
  <c r="B106" i="13"/>
  <c r="B104" i="13"/>
  <c r="B103" i="13"/>
  <c r="B101" i="13"/>
  <c r="B100" i="13"/>
  <c r="B98" i="13"/>
  <c r="B97" i="13"/>
  <c r="B96" i="13"/>
  <c r="B95" i="13"/>
  <c r="G78" i="13"/>
  <c r="F78" i="13"/>
  <c r="D78" i="13"/>
  <c r="B78" i="13"/>
  <c r="B74" i="13"/>
  <c r="B79" i="13" s="1"/>
  <c r="C72" i="13"/>
  <c r="C78" i="13" s="1"/>
  <c r="B67" i="13"/>
  <c r="B66" i="13"/>
  <c r="B64" i="13"/>
  <c r="B59" i="13"/>
  <c r="B57" i="13"/>
  <c r="B54" i="13"/>
  <c r="B40" i="13"/>
  <c r="B36" i="13"/>
  <c r="B24" i="13"/>
  <c r="B23" i="13"/>
  <c r="F18" i="13"/>
  <c r="G8" i="13"/>
  <c r="F8" i="13"/>
  <c r="D8" i="13"/>
  <c r="C8" i="13"/>
  <c r="G7" i="13"/>
  <c r="F7" i="13"/>
  <c r="D7" i="13"/>
  <c r="C7" i="13"/>
  <c r="G6" i="13"/>
  <c r="F6" i="13"/>
  <c r="D6" i="13"/>
  <c r="C6" i="13"/>
  <c r="F5" i="13"/>
  <c r="F13" i="13" s="1"/>
  <c r="B96" i="7"/>
  <c r="B95" i="7"/>
  <c r="T23" i="6"/>
  <c r="S23" i="6"/>
  <c r="R23" i="6"/>
  <c r="E5" i="7"/>
  <c r="E6" i="7"/>
  <c r="F6" i="7"/>
  <c r="E7" i="7"/>
  <c r="F7" i="7"/>
  <c r="E8" i="7"/>
  <c r="F8" i="7"/>
  <c r="E13" i="7"/>
  <c r="E14" i="7" s="1"/>
  <c r="E18" i="7"/>
  <c r="E78" i="7"/>
  <c r="F78" i="7"/>
  <c r="E121" i="7"/>
  <c r="F121" i="7"/>
  <c r="D121" i="12"/>
  <c r="C121" i="12"/>
  <c r="B110" i="12"/>
  <c r="B109" i="12"/>
  <c r="B107" i="12"/>
  <c r="B106" i="12"/>
  <c r="B104" i="12"/>
  <c r="B103" i="12"/>
  <c r="B101" i="12"/>
  <c r="B100" i="12"/>
  <c r="B98" i="12"/>
  <c r="B97" i="12"/>
  <c r="D78" i="12"/>
  <c r="B78" i="12"/>
  <c r="B74" i="12"/>
  <c r="B79" i="12" s="1"/>
  <c r="C72" i="12"/>
  <c r="C78" i="12" s="1"/>
  <c r="B67" i="12"/>
  <c r="B66" i="12"/>
  <c r="B64" i="12"/>
  <c r="B59" i="12"/>
  <c r="B57" i="12"/>
  <c r="B54" i="12"/>
  <c r="B40" i="12"/>
  <c r="B36" i="12"/>
  <c r="B24" i="12"/>
  <c r="B23" i="12"/>
  <c r="D8" i="12"/>
  <c r="C8" i="12"/>
  <c r="D7" i="12"/>
  <c r="C7" i="12"/>
  <c r="D6" i="12"/>
  <c r="C6" i="12"/>
  <c r="E13" i="1"/>
  <c r="B74" i="7"/>
  <c r="B67" i="7"/>
  <c r="B66" i="7"/>
  <c r="D17" i="1"/>
  <c r="E17" i="1"/>
  <c r="D12" i="1"/>
  <c r="F5" i="17" s="1"/>
  <c r="F13" i="17" s="1"/>
  <c r="E11" i="1"/>
  <c r="D11" i="1"/>
  <c r="B189" i="7"/>
  <c r="B186" i="7"/>
  <c r="B177" i="7"/>
  <c r="B174" i="7"/>
  <c r="B171" i="7"/>
  <c r="D7" i="5"/>
  <c r="J30" i="9"/>
  <c r="L30" i="9" s="1"/>
  <c r="L31" i="9" s="1"/>
  <c r="J23" i="9" s="1"/>
  <c r="I23" i="9"/>
  <c r="H23" i="9"/>
  <c r="G23" i="9"/>
  <c r="F23" i="9"/>
  <c r="E23" i="9"/>
  <c r="D23" i="9"/>
  <c r="C23" i="9"/>
  <c r="V19" i="9"/>
  <c r="R19" i="9"/>
  <c r="Q19" i="9"/>
  <c r="P19" i="9"/>
  <c r="N19" i="9"/>
  <c r="J19" i="9"/>
  <c r="I19" i="9"/>
  <c r="G19" i="9"/>
  <c r="M18" i="9"/>
  <c r="M17" i="9"/>
  <c r="M16" i="9"/>
  <c r="M15" i="9"/>
  <c r="M14" i="9"/>
  <c r="M13" i="9"/>
  <c r="M12" i="9"/>
  <c r="M11" i="9"/>
  <c r="M9" i="9"/>
  <c r="M7" i="9"/>
  <c r="K19" i="9"/>
  <c r="K21" i="9" s="1"/>
  <c r="F19" i="9"/>
  <c r="E19" i="9"/>
  <c r="B159" i="7"/>
  <c r="B153" i="7"/>
  <c r="D121" i="7"/>
  <c r="C121" i="7"/>
  <c r="B110" i="7"/>
  <c r="B109" i="7"/>
  <c r="B107" i="7"/>
  <c r="B106" i="7"/>
  <c r="B104" i="7"/>
  <c r="B103" i="7"/>
  <c r="B101" i="7"/>
  <c r="B100" i="7"/>
  <c r="B98" i="7"/>
  <c r="B97" i="7"/>
  <c r="D78" i="7"/>
  <c r="B78" i="7"/>
  <c r="B79" i="7"/>
  <c r="C72" i="7"/>
  <c r="C78" i="7" s="1"/>
  <c r="B64" i="7"/>
  <c r="B59" i="7"/>
  <c r="B57" i="7"/>
  <c r="B54" i="7"/>
  <c r="B40" i="7"/>
  <c r="B36" i="7"/>
  <c r="B24" i="7"/>
  <c r="B23" i="7"/>
  <c r="D8" i="7"/>
  <c r="C8" i="7"/>
  <c r="D7" i="7"/>
  <c r="C7" i="7"/>
  <c r="D6" i="7"/>
  <c r="C6" i="7"/>
  <c r="J34" i="6"/>
  <c r="L34" i="6" s="1"/>
  <c r="L35" i="6" s="1"/>
  <c r="J27" i="6" s="1"/>
  <c r="I27" i="6"/>
  <c r="H27" i="6"/>
  <c r="G27" i="6"/>
  <c r="F27" i="6"/>
  <c r="E27" i="6"/>
  <c r="D27" i="6"/>
  <c r="C27" i="6"/>
  <c r="U23" i="6"/>
  <c r="Q23" i="6"/>
  <c r="P23" i="6"/>
  <c r="O23" i="6"/>
  <c r="N23" i="6"/>
  <c r="L23" i="6"/>
  <c r="K23" i="6"/>
  <c r="J23" i="6"/>
  <c r="I23" i="6"/>
  <c r="H23" i="6"/>
  <c r="G23" i="6"/>
  <c r="F23" i="6"/>
  <c r="E23" i="6"/>
  <c r="D23" i="6"/>
  <c r="C23" i="6"/>
  <c r="M4" i="6"/>
  <c r="W41" i="5"/>
  <c r="S41" i="5"/>
  <c r="Q41" i="5"/>
  <c r="M41" i="5"/>
  <c r="U41" i="5"/>
  <c r="K41" i="5"/>
  <c r="I41" i="5"/>
  <c r="J83" i="1"/>
  <c r="K82" i="1"/>
  <c r="L82" i="1" s="1"/>
  <c r="K81" i="1"/>
  <c r="L81" i="1" s="1"/>
  <c r="K80" i="1"/>
  <c r="K79" i="1"/>
  <c r="L79" i="1" s="1"/>
  <c r="K78" i="1"/>
  <c r="L78" i="1" s="1"/>
  <c r="K77" i="1"/>
  <c r="L77" i="1" s="1"/>
  <c r="K76" i="1"/>
  <c r="L76" i="1" s="1"/>
  <c r="K75" i="1"/>
  <c r="K74" i="1"/>
  <c r="L74" i="1" s="1"/>
  <c r="K73" i="1"/>
  <c r="L73" i="1" s="1"/>
  <c r="K72" i="1"/>
  <c r="K71" i="1"/>
  <c r="L71" i="1" s="1"/>
  <c r="K70" i="1"/>
  <c r="L70" i="1" s="1"/>
  <c r="K69" i="1"/>
  <c r="L69" i="1" s="1"/>
  <c r="E51" i="1"/>
  <c r="E24" i="1"/>
  <c r="E23" i="1"/>
  <c r="E21" i="1"/>
  <c r="E16" i="1"/>
  <c r="E19" i="7" l="1"/>
  <c r="E123" i="7" s="1"/>
  <c r="E87" i="1"/>
  <c r="P21" i="9"/>
  <c r="K23" i="9"/>
  <c r="L23" i="9"/>
  <c r="O19" i="16"/>
  <c r="K22" i="16"/>
  <c r="K84" i="1"/>
  <c r="P20" i="9"/>
  <c r="B172" i="13" s="1"/>
  <c r="M23" i="6"/>
  <c r="O25" i="6"/>
  <c r="K27" i="6"/>
  <c r="L27" i="6"/>
  <c r="L28" i="6" s="1"/>
  <c r="E39" i="13"/>
  <c r="C39" i="18"/>
  <c r="F39" i="17"/>
  <c r="E39" i="17"/>
  <c r="C39" i="17"/>
  <c r="E40" i="17"/>
  <c r="F40" i="13"/>
  <c r="B41" i="18"/>
  <c r="B41" i="17"/>
  <c r="B42" i="18"/>
  <c r="B42" i="17"/>
  <c r="D42" i="17" s="1"/>
  <c r="B65" i="18"/>
  <c r="B65" i="17"/>
  <c r="C5" i="18"/>
  <c r="C13" i="18" s="1"/>
  <c r="C5" i="17"/>
  <c r="C13" i="17" s="1"/>
  <c r="C14" i="17" s="1"/>
  <c r="C19" i="17" s="1"/>
  <c r="C23" i="17" s="1"/>
  <c r="D5" i="18"/>
  <c r="D13" i="18" s="1"/>
  <c r="D5" i="17"/>
  <c r="D13" i="17" s="1"/>
  <c r="D39" i="18"/>
  <c r="D39" i="17"/>
  <c r="F91" i="17"/>
  <c r="F127" i="17" s="1"/>
  <c r="J26" i="6"/>
  <c r="J25" i="6"/>
  <c r="E23" i="13"/>
  <c r="E123" i="13"/>
  <c r="E59" i="13"/>
  <c r="E57" i="13"/>
  <c r="E54" i="13"/>
  <c r="E24" i="13"/>
  <c r="E105" i="1"/>
  <c r="B190" i="17"/>
  <c r="B187" i="17"/>
  <c r="B178" i="17"/>
  <c r="B175" i="17"/>
  <c r="B172" i="17"/>
  <c r="B166" i="17"/>
  <c r="B160" i="17"/>
  <c r="B154" i="17"/>
  <c r="B148" i="17"/>
  <c r="C14" i="18"/>
  <c r="C19" i="18" s="1"/>
  <c r="C23" i="18" s="1"/>
  <c r="D14" i="18"/>
  <c r="D19" i="18" s="1"/>
  <c r="D23" i="18" s="1"/>
  <c r="B25" i="18"/>
  <c r="B46" i="18" s="1"/>
  <c r="B58" i="18"/>
  <c r="B47" i="18"/>
  <c r="D41" i="18"/>
  <c r="C41" i="18"/>
  <c r="D42" i="18"/>
  <c r="C42" i="18"/>
  <c r="B55" i="18"/>
  <c r="B69" i="18"/>
  <c r="B77" i="18" s="1"/>
  <c r="D14" i="17"/>
  <c r="D19" i="17" s="1"/>
  <c r="E14" i="17"/>
  <c r="E19" i="17" s="1"/>
  <c r="F14" i="17"/>
  <c r="F19" i="17" s="1"/>
  <c r="F23" i="17" s="1"/>
  <c r="B25" i="17"/>
  <c r="B46" i="17" s="1"/>
  <c r="E23" i="17"/>
  <c r="D23" i="17"/>
  <c r="B58" i="17"/>
  <c r="B47" i="17"/>
  <c r="F41" i="17"/>
  <c r="E41" i="17"/>
  <c r="D41" i="17"/>
  <c r="C41" i="17"/>
  <c r="E42" i="17"/>
  <c r="B55" i="17"/>
  <c r="B69" i="17"/>
  <c r="B77" i="17" s="1"/>
  <c r="B184" i="17"/>
  <c r="C20" i="16"/>
  <c r="D20" i="16"/>
  <c r="E20" i="16"/>
  <c r="F20" i="16"/>
  <c r="G20" i="16"/>
  <c r="H20" i="16"/>
  <c r="I20" i="16"/>
  <c r="J21" i="16"/>
  <c r="J20" i="16"/>
  <c r="C23" i="16"/>
  <c r="D23" i="16"/>
  <c r="E23" i="16"/>
  <c r="F23" i="16"/>
  <c r="G23" i="16"/>
  <c r="H23" i="16"/>
  <c r="I23" i="16"/>
  <c r="J23" i="16"/>
  <c r="K23" i="16"/>
  <c r="L23" i="16"/>
  <c r="J21" i="9"/>
  <c r="J22" i="9"/>
  <c r="F91" i="1"/>
  <c r="F105" i="1" s="1"/>
  <c r="D106" i="1" s="1"/>
  <c r="C39" i="14"/>
  <c r="G39" i="13"/>
  <c r="F39" i="13"/>
  <c r="C39" i="13"/>
  <c r="E40" i="7"/>
  <c r="B41" i="12"/>
  <c r="B41" i="14"/>
  <c r="B41" i="13"/>
  <c r="E41" i="13" s="1"/>
  <c r="B42" i="12"/>
  <c r="D42" i="12" s="1"/>
  <c r="B42" i="14"/>
  <c r="B42" i="13"/>
  <c r="E42" i="13" s="1"/>
  <c r="B65" i="14"/>
  <c r="B65" i="13"/>
  <c r="C5" i="14"/>
  <c r="C13" i="14" s="1"/>
  <c r="C5" i="13"/>
  <c r="C13" i="13" s="1"/>
  <c r="D5" i="14"/>
  <c r="D13" i="14" s="1"/>
  <c r="D14" i="14" s="1"/>
  <c r="D19" i="14" s="1"/>
  <c r="D23" i="14" s="1"/>
  <c r="D5" i="13"/>
  <c r="D13" i="13" s="1"/>
  <c r="F5" i="7"/>
  <c r="F13" i="7" s="1"/>
  <c r="G5" i="13"/>
  <c r="G13" i="13" s="1"/>
  <c r="D39" i="14"/>
  <c r="D39" i="13"/>
  <c r="R20" i="9"/>
  <c r="C14" i="14"/>
  <c r="C19" i="14" s="1"/>
  <c r="B25" i="14"/>
  <c r="B46" i="14" s="1"/>
  <c r="C23" i="14"/>
  <c r="B58" i="14"/>
  <c r="B47" i="14"/>
  <c r="D41" i="14"/>
  <c r="C41" i="14"/>
  <c r="D42" i="14"/>
  <c r="C42" i="14"/>
  <c r="B55" i="14"/>
  <c r="B69" i="14"/>
  <c r="B77" i="14" s="1"/>
  <c r="C14" i="13"/>
  <c r="C19" i="13" s="1"/>
  <c r="C23" i="13" s="1"/>
  <c r="D14" i="13"/>
  <c r="D19" i="13" s="1"/>
  <c r="F14" i="13"/>
  <c r="F19" i="13" s="1"/>
  <c r="G14" i="13"/>
  <c r="G19" i="13" s="1"/>
  <c r="G23" i="13" s="1"/>
  <c r="B25" i="13"/>
  <c r="B46" i="13" s="1"/>
  <c r="F23" i="13"/>
  <c r="D23" i="13"/>
  <c r="B58" i="13"/>
  <c r="E58" i="13" s="1"/>
  <c r="B47" i="13"/>
  <c r="G41" i="13"/>
  <c r="F41" i="13"/>
  <c r="D41" i="13"/>
  <c r="C41" i="13"/>
  <c r="G42" i="13"/>
  <c r="F42" i="13"/>
  <c r="D42" i="13"/>
  <c r="C42" i="13"/>
  <c r="B55" i="13"/>
  <c r="E55" i="13" s="1"/>
  <c r="B69" i="13"/>
  <c r="B77" i="13" s="1"/>
  <c r="B184" i="13"/>
  <c r="E39" i="7"/>
  <c r="F39" i="7"/>
  <c r="C39" i="12"/>
  <c r="C39" i="7"/>
  <c r="B65" i="12"/>
  <c r="B65" i="7"/>
  <c r="C5" i="12"/>
  <c r="C13" i="12" s="1"/>
  <c r="C14" i="12" s="1"/>
  <c r="C19" i="12" s="1"/>
  <c r="C23" i="12" s="1"/>
  <c r="C5" i="7"/>
  <c r="C13" i="7" s="1"/>
  <c r="D5" i="12"/>
  <c r="D13" i="12" s="1"/>
  <c r="D5" i="7"/>
  <c r="D13" i="7" s="1"/>
  <c r="F14" i="7"/>
  <c r="F19" i="7" s="1"/>
  <c r="D39" i="12"/>
  <c r="D39" i="7"/>
  <c r="E23" i="7"/>
  <c r="E24" i="7"/>
  <c r="E54" i="7"/>
  <c r="E57" i="7"/>
  <c r="E59" i="7"/>
  <c r="B184" i="7"/>
  <c r="D14" i="12"/>
  <c r="D19" i="12" s="1"/>
  <c r="D23" i="12" s="1"/>
  <c r="B25" i="12"/>
  <c r="B46" i="12" s="1"/>
  <c r="B58" i="12"/>
  <c r="B47" i="12"/>
  <c r="D41" i="12"/>
  <c r="C41" i="12"/>
  <c r="B55" i="12"/>
  <c r="B69" i="12"/>
  <c r="B77" i="12" s="1"/>
  <c r="O24" i="6"/>
  <c r="Q24" i="6"/>
  <c r="B41" i="7"/>
  <c r="B42" i="7"/>
  <c r="F68" i="1"/>
  <c r="L68" i="1"/>
  <c r="O41" i="5"/>
  <c r="G41" i="5"/>
  <c r="C25" i="6"/>
  <c r="D25" i="6"/>
  <c r="E25" i="6"/>
  <c r="F25" i="6"/>
  <c r="G25" i="6"/>
  <c r="H25" i="6"/>
  <c r="I25" i="6"/>
  <c r="K25" i="6"/>
  <c r="L25" i="6"/>
  <c r="C28" i="6"/>
  <c r="D28" i="6"/>
  <c r="E28" i="6"/>
  <c r="F28" i="6"/>
  <c r="G28" i="6"/>
  <c r="H28" i="6"/>
  <c r="I28" i="6"/>
  <c r="J28" i="6"/>
  <c r="K28" i="6"/>
  <c r="B25" i="7"/>
  <c r="B46" i="7" s="1"/>
  <c r="B58" i="7"/>
  <c r="B47" i="7"/>
  <c r="B55" i="7"/>
  <c r="B69" i="7"/>
  <c r="B77" i="7" s="1"/>
  <c r="H19" i="9"/>
  <c r="M4" i="9"/>
  <c r="D19" i="9"/>
  <c r="M5" i="9"/>
  <c r="E21" i="9"/>
  <c r="F21" i="9"/>
  <c r="C19" i="9"/>
  <c r="M6" i="9"/>
  <c r="M8" i="9"/>
  <c r="G21" i="9"/>
  <c r="I21" i="9"/>
  <c r="C24" i="9"/>
  <c r="D24" i="9"/>
  <c r="E24" i="9"/>
  <c r="F24" i="9"/>
  <c r="G24" i="9"/>
  <c r="H24" i="9"/>
  <c r="I24" i="9"/>
  <c r="J24" i="9"/>
  <c r="K24" i="9"/>
  <c r="L24" i="9"/>
  <c r="C42" i="12" l="1"/>
  <c r="F42" i="17"/>
  <c r="C42" i="17"/>
  <c r="F123" i="7"/>
  <c r="F23" i="7"/>
  <c r="F54" i="7"/>
  <c r="F59" i="7"/>
  <c r="F24" i="7"/>
  <c r="F57" i="7"/>
  <c r="B166" i="7"/>
  <c r="I99" i="20"/>
  <c r="B86" i="7" s="1"/>
  <c r="B160" i="7"/>
  <c r="B175" i="7"/>
  <c r="B178" i="7"/>
  <c r="B154" i="7"/>
  <c r="B166" i="13"/>
  <c r="B178" i="13"/>
  <c r="B160" i="13"/>
  <c r="B175" i="13"/>
  <c r="B172" i="7"/>
  <c r="L84" i="1"/>
  <c r="J84" i="1" s="1"/>
  <c r="B38" i="13" s="1"/>
  <c r="E38" i="13" s="1"/>
  <c r="E44" i="13" s="1"/>
  <c r="E48" i="13" s="1"/>
  <c r="B38" i="17"/>
  <c r="B38" i="18"/>
  <c r="B148" i="7"/>
  <c r="E25" i="13"/>
  <c r="B154" i="13"/>
  <c r="B148" i="13"/>
  <c r="F87" i="1"/>
  <c r="D88" i="1" s="1"/>
  <c r="D55" i="18"/>
  <c r="C55" i="18"/>
  <c r="B60" i="18"/>
  <c r="D58" i="18"/>
  <c r="C58" i="18"/>
  <c r="D123" i="18"/>
  <c r="D59" i="18"/>
  <c r="D57" i="18"/>
  <c r="D54" i="18"/>
  <c r="D24" i="18"/>
  <c r="D25" i="18" s="1"/>
  <c r="C123" i="18"/>
  <c r="C59" i="18"/>
  <c r="C57" i="18"/>
  <c r="C54" i="18"/>
  <c r="C24" i="18"/>
  <c r="C25" i="18" s="1"/>
  <c r="F55" i="17"/>
  <c r="E55" i="17"/>
  <c r="D55" i="17"/>
  <c r="C55" i="17"/>
  <c r="B60" i="17"/>
  <c r="F58" i="17"/>
  <c r="E58" i="17"/>
  <c r="D58" i="17"/>
  <c r="C58" i="17"/>
  <c r="F123" i="17"/>
  <c r="F59" i="17"/>
  <c r="F57" i="17"/>
  <c r="F54" i="17"/>
  <c r="F24" i="17"/>
  <c r="F25" i="17" s="1"/>
  <c r="E123" i="17"/>
  <c r="E59" i="17"/>
  <c r="E57" i="17"/>
  <c r="E54" i="17"/>
  <c r="E24" i="17"/>
  <c r="E25" i="17" s="1"/>
  <c r="D123" i="17"/>
  <c r="D59" i="17"/>
  <c r="D57" i="17"/>
  <c r="D54" i="17"/>
  <c r="D24" i="17"/>
  <c r="D25" i="17" s="1"/>
  <c r="C123" i="17"/>
  <c r="C59" i="17"/>
  <c r="C57" i="17"/>
  <c r="C54" i="17"/>
  <c r="C24" i="17"/>
  <c r="C25" i="17" s="1"/>
  <c r="M20" i="16"/>
  <c r="B38" i="14"/>
  <c r="C38" i="14" s="1"/>
  <c r="C44" i="14" s="1"/>
  <c r="C48" i="14" s="1"/>
  <c r="D38" i="14"/>
  <c r="D44" i="14" s="1"/>
  <c r="D48" i="14" s="1"/>
  <c r="B190" i="13"/>
  <c r="B187" i="13"/>
  <c r="D55" i="14"/>
  <c r="C55" i="14"/>
  <c r="B60" i="14"/>
  <c r="D58" i="14"/>
  <c r="C58" i="14"/>
  <c r="D123" i="14"/>
  <c r="D59" i="14"/>
  <c r="D57" i="14"/>
  <c r="D54" i="14"/>
  <c r="D24" i="14"/>
  <c r="D25" i="14" s="1"/>
  <c r="C123" i="14"/>
  <c r="C59" i="14"/>
  <c r="C57" i="14"/>
  <c r="C54" i="14"/>
  <c r="C24" i="14"/>
  <c r="C25" i="14" s="1"/>
  <c r="G55" i="13"/>
  <c r="F55" i="13"/>
  <c r="D55" i="13"/>
  <c r="C55" i="13"/>
  <c r="B60" i="13"/>
  <c r="G58" i="13"/>
  <c r="F58" i="13"/>
  <c r="D58" i="13"/>
  <c r="C58" i="13"/>
  <c r="G123" i="13"/>
  <c r="G59" i="13"/>
  <c r="G57" i="13"/>
  <c r="G54" i="13"/>
  <c r="G24" i="13"/>
  <c r="G25" i="13" s="1"/>
  <c r="F123" i="13"/>
  <c r="F59" i="13"/>
  <c r="F57" i="13"/>
  <c r="F54" i="13"/>
  <c r="F24" i="13"/>
  <c r="F25" i="13" s="1"/>
  <c r="D123" i="13"/>
  <c r="D59" i="13"/>
  <c r="D57" i="13"/>
  <c r="D54" i="13"/>
  <c r="D24" i="13"/>
  <c r="D25" i="13" s="1"/>
  <c r="C123" i="13"/>
  <c r="C59" i="13"/>
  <c r="C57" i="13"/>
  <c r="C54" i="13"/>
  <c r="C24" i="13"/>
  <c r="C25" i="13" s="1"/>
  <c r="E55" i="7"/>
  <c r="F55" i="7"/>
  <c r="E58" i="7"/>
  <c r="F58" i="7"/>
  <c r="E42" i="7"/>
  <c r="F42" i="7"/>
  <c r="E41" i="7"/>
  <c r="F41" i="7"/>
  <c r="F25" i="7"/>
  <c r="E25" i="7"/>
  <c r="D55" i="12"/>
  <c r="C55" i="12"/>
  <c r="B60" i="12"/>
  <c r="D58" i="12"/>
  <c r="C58" i="12"/>
  <c r="D123" i="12"/>
  <c r="D59" i="12"/>
  <c r="D57" i="12"/>
  <c r="D54" i="12"/>
  <c r="D24" i="12"/>
  <c r="D25" i="12" s="1"/>
  <c r="C123" i="12"/>
  <c r="C59" i="12"/>
  <c r="C57" i="12"/>
  <c r="C54" i="12"/>
  <c r="C24" i="12"/>
  <c r="C25" i="12" s="1"/>
  <c r="B187" i="7"/>
  <c r="B190" i="7"/>
  <c r="L19" i="9"/>
  <c r="M10" i="9"/>
  <c r="M19" i="9" s="1"/>
  <c r="C21" i="9"/>
  <c r="D21" i="9"/>
  <c r="H21" i="9"/>
  <c r="B60" i="7"/>
  <c r="M25" i="6"/>
  <c r="D42" i="7"/>
  <c r="C42" i="7"/>
  <c r="D41" i="7"/>
  <c r="C41" i="7"/>
  <c r="D86" i="7" l="1"/>
  <c r="C86" i="7"/>
  <c r="G91" i="13"/>
  <c r="G127" i="13" s="1"/>
  <c r="F91" i="7"/>
  <c r="F127" i="7" s="1"/>
  <c r="L26" i="6"/>
  <c r="K26" i="6"/>
  <c r="C26" i="6"/>
  <c r="D26" i="6"/>
  <c r="E26" i="6"/>
  <c r="F26" i="6"/>
  <c r="G26" i="6"/>
  <c r="H26" i="6"/>
  <c r="I26" i="6"/>
  <c r="E46" i="13"/>
  <c r="E29" i="13"/>
  <c r="E30" i="13"/>
  <c r="E31" i="13"/>
  <c r="E32" i="13"/>
  <c r="E33" i="13"/>
  <c r="E34" i="13"/>
  <c r="E35" i="13"/>
  <c r="E56" i="13" s="1"/>
  <c r="E60" i="13" s="1"/>
  <c r="E125" i="13" s="1"/>
  <c r="E28" i="13"/>
  <c r="F38" i="17"/>
  <c r="F44" i="17" s="1"/>
  <c r="F48" i="17" s="1"/>
  <c r="E38" i="17"/>
  <c r="E44" i="17" s="1"/>
  <c r="E48" i="17" s="1"/>
  <c r="D38" i="17"/>
  <c r="D44" i="17" s="1"/>
  <c r="D48" i="17" s="1"/>
  <c r="C38" i="17"/>
  <c r="C44" i="17" s="1"/>
  <c r="C48" i="17" s="1"/>
  <c r="D38" i="18"/>
  <c r="D44" i="18" s="1"/>
  <c r="D48" i="18" s="1"/>
  <c r="C38" i="18"/>
  <c r="C44" i="18" s="1"/>
  <c r="C48" i="18" s="1"/>
  <c r="B38" i="12"/>
  <c r="D38" i="12" s="1"/>
  <c r="D44" i="12" s="1"/>
  <c r="D48" i="12" s="1"/>
  <c r="B38" i="7"/>
  <c r="C46" i="18"/>
  <c r="C35" i="18"/>
  <c r="C56" i="18" s="1"/>
  <c r="C60" i="18" s="1"/>
  <c r="C125" i="18" s="1"/>
  <c r="C34" i="18"/>
  <c r="C33" i="18"/>
  <c r="C32" i="18"/>
  <c r="C31" i="18"/>
  <c r="C30" i="18"/>
  <c r="C29" i="18"/>
  <c r="C28" i="18"/>
  <c r="D46" i="18"/>
  <c r="D35" i="18"/>
  <c r="D56" i="18" s="1"/>
  <c r="D34" i="18"/>
  <c r="D33" i="18"/>
  <c r="D32" i="18"/>
  <c r="D31" i="18"/>
  <c r="D30" i="18"/>
  <c r="D29" i="18"/>
  <c r="D28" i="18"/>
  <c r="D60" i="18"/>
  <c r="D125" i="18" s="1"/>
  <c r="C46" i="17"/>
  <c r="C35" i="17"/>
  <c r="C56" i="17" s="1"/>
  <c r="C60" i="17" s="1"/>
  <c r="C125" i="17" s="1"/>
  <c r="C34" i="17"/>
  <c r="C33" i="17"/>
  <c r="C32" i="17"/>
  <c r="C31" i="17"/>
  <c r="C30" i="17"/>
  <c r="C29" i="17"/>
  <c r="C28" i="17"/>
  <c r="D46" i="17"/>
  <c r="D35" i="17"/>
  <c r="D56" i="17" s="1"/>
  <c r="D34" i="17"/>
  <c r="D33" i="17"/>
  <c r="D32" i="17"/>
  <c r="D31" i="17"/>
  <c r="D30" i="17"/>
  <c r="D29" i="17"/>
  <c r="D28" i="17"/>
  <c r="D60" i="17"/>
  <c r="D125" i="17" s="1"/>
  <c r="E46" i="17"/>
  <c r="E35" i="17"/>
  <c r="E56" i="17" s="1"/>
  <c r="E60" i="17" s="1"/>
  <c r="E125" i="17" s="1"/>
  <c r="E34" i="17"/>
  <c r="E33" i="17"/>
  <c r="E32" i="17"/>
  <c r="E31" i="17"/>
  <c r="E30" i="17"/>
  <c r="E29" i="17"/>
  <c r="E28" i="17"/>
  <c r="F46" i="17"/>
  <c r="F35" i="17"/>
  <c r="F56" i="17" s="1"/>
  <c r="F34" i="17"/>
  <c r="F33" i="17"/>
  <c r="F32" i="17"/>
  <c r="F31" i="17"/>
  <c r="F30" i="17"/>
  <c r="F29" i="17"/>
  <c r="F28" i="17"/>
  <c r="F60" i="17"/>
  <c r="F125" i="17" s="1"/>
  <c r="L21" i="16"/>
  <c r="K21" i="16"/>
  <c r="C21" i="16"/>
  <c r="D21" i="16"/>
  <c r="E21" i="16"/>
  <c r="F21" i="16"/>
  <c r="G21" i="16"/>
  <c r="H21" i="16"/>
  <c r="I21" i="16"/>
  <c r="G38" i="13"/>
  <c r="G44" i="13" s="1"/>
  <c r="G48" i="13" s="1"/>
  <c r="F38" i="13"/>
  <c r="F44" i="13" s="1"/>
  <c r="F48" i="13" s="1"/>
  <c r="D38" i="13"/>
  <c r="D44" i="13" s="1"/>
  <c r="D48" i="13" s="1"/>
  <c r="C38" i="13"/>
  <c r="C44" i="13" s="1"/>
  <c r="C48" i="13" s="1"/>
  <c r="C46" i="14"/>
  <c r="C35" i="14"/>
  <c r="C56" i="14" s="1"/>
  <c r="C34" i="14"/>
  <c r="C33" i="14"/>
  <c r="C32" i="14"/>
  <c r="C31" i="14"/>
  <c r="C30" i="14"/>
  <c r="C29" i="14"/>
  <c r="C28" i="14"/>
  <c r="C36" i="14" s="1"/>
  <c r="C60" i="14"/>
  <c r="C125" i="14" s="1"/>
  <c r="D46" i="14"/>
  <c r="D35" i="14"/>
  <c r="D56" i="14" s="1"/>
  <c r="D34" i="14"/>
  <c r="D33" i="14"/>
  <c r="D32" i="14"/>
  <c r="D31" i="14"/>
  <c r="D30" i="14"/>
  <c r="D29" i="14"/>
  <c r="D28" i="14"/>
  <c r="D60" i="14"/>
  <c r="D125" i="14" s="1"/>
  <c r="C46" i="13"/>
  <c r="C35" i="13"/>
  <c r="C56" i="13" s="1"/>
  <c r="C34" i="13"/>
  <c r="C33" i="13"/>
  <c r="C32" i="13"/>
  <c r="C31" i="13"/>
  <c r="C30" i="13"/>
  <c r="C29" i="13"/>
  <c r="C28" i="13"/>
  <c r="C36" i="13" s="1"/>
  <c r="C60" i="13"/>
  <c r="C125" i="13" s="1"/>
  <c r="D46" i="13"/>
  <c r="D35" i="13"/>
  <c r="D56" i="13" s="1"/>
  <c r="D34" i="13"/>
  <c r="D33" i="13"/>
  <c r="D32" i="13"/>
  <c r="D31" i="13"/>
  <c r="D30" i="13"/>
  <c r="D29" i="13"/>
  <c r="D28" i="13"/>
  <c r="D60" i="13"/>
  <c r="D125" i="13" s="1"/>
  <c r="F46" i="13"/>
  <c r="F35" i="13"/>
  <c r="F56" i="13" s="1"/>
  <c r="F34" i="13"/>
  <c r="F33" i="13"/>
  <c r="F32" i="13"/>
  <c r="F31" i="13"/>
  <c r="F30" i="13"/>
  <c r="F29" i="13"/>
  <c r="F28" i="13"/>
  <c r="F36" i="13" s="1"/>
  <c r="F60" i="13"/>
  <c r="F125" i="13" s="1"/>
  <c r="G46" i="13"/>
  <c r="G35" i="13"/>
  <c r="G56" i="13" s="1"/>
  <c r="G34" i="13"/>
  <c r="G33" i="13"/>
  <c r="G32" i="13"/>
  <c r="G31" i="13"/>
  <c r="G30" i="13"/>
  <c r="G29" i="13"/>
  <c r="G28" i="13"/>
  <c r="G60" i="13"/>
  <c r="G125" i="13" s="1"/>
  <c r="C38" i="12"/>
  <c r="C44" i="12" s="1"/>
  <c r="C48" i="12" s="1"/>
  <c r="E28" i="7"/>
  <c r="E29" i="7"/>
  <c r="E30" i="7"/>
  <c r="E31" i="7"/>
  <c r="E32" i="7"/>
  <c r="E33" i="7"/>
  <c r="E34" i="7"/>
  <c r="E35" i="7"/>
  <c r="E56" i="7" s="1"/>
  <c r="E60" i="7" s="1"/>
  <c r="E125" i="7" s="1"/>
  <c r="E46" i="7"/>
  <c r="F28" i="7"/>
  <c r="F29" i="7"/>
  <c r="F30" i="7"/>
  <c r="F31" i="7"/>
  <c r="F32" i="7"/>
  <c r="F33" i="7"/>
  <c r="F34" i="7"/>
  <c r="F35" i="7"/>
  <c r="F56" i="7" s="1"/>
  <c r="F60" i="7" s="1"/>
  <c r="F125" i="7" s="1"/>
  <c r="F46" i="7"/>
  <c r="C46" i="12"/>
  <c r="C35" i="12"/>
  <c r="C56" i="12" s="1"/>
  <c r="C34" i="12"/>
  <c r="C33" i="12"/>
  <c r="C32" i="12"/>
  <c r="C31" i="12"/>
  <c r="C30" i="12"/>
  <c r="C29" i="12"/>
  <c r="C28" i="12"/>
  <c r="C60" i="12"/>
  <c r="C125" i="12" s="1"/>
  <c r="D46" i="12"/>
  <c r="D35" i="12"/>
  <c r="D56" i="12" s="1"/>
  <c r="D34" i="12"/>
  <c r="D33" i="12"/>
  <c r="D32" i="12"/>
  <c r="D31" i="12"/>
  <c r="D30" i="12"/>
  <c r="D29" i="12"/>
  <c r="D28" i="12"/>
  <c r="D60" i="12"/>
  <c r="D125" i="12" s="1"/>
  <c r="C14" i="7"/>
  <c r="C19" i="7" s="1"/>
  <c r="D14" i="7"/>
  <c r="D19" i="7" s="1"/>
  <c r="D38" i="7"/>
  <c r="D44" i="7" s="1"/>
  <c r="D48" i="7" s="1"/>
  <c r="C38" i="7"/>
  <c r="C44" i="7" s="1"/>
  <c r="C48" i="7" s="1"/>
  <c r="L21" i="9"/>
  <c r="M21" i="9" s="1"/>
  <c r="C36" i="12" l="1"/>
  <c r="E36" i="17"/>
  <c r="C36" i="17"/>
  <c r="C36" i="18"/>
  <c r="C74" i="18" s="1"/>
  <c r="C79" i="18" s="1"/>
  <c r="G36" i="13"/>
  <c r="D36" i="13"/>
  <c r="D36" i="14"/>
  <c r="E36" i="13"/>
  <c r="E74" i="13" s="1"/>
  <c r="E79" i="13" s="1"/>
  <c r="D36" i="12"/>
  <c r="F36" i="17"/>
  <c r="D36" i="17"/>
  <c r="D47" i="17" s="1"/>
  <c r="D49" i="17" s="1"/>
  <c r="D36" i="18"/>
  <c r="D47" i="18" s="1"/>
  <c r="D49" i="18" s="1"/>
  <c r="M21" i="16"/>
  <c r="E91" i="13"/>
  <c r="E127" i="13" s="1"/>
  <c r="M26" i="6"/>
  <c r="E47" i="13"/>
  <c r="E49" i="13" s="1"/>
  <c r="E38" i="7"/>
  <c r="E44" i="7" s="1"/>
  <c r="E48" i="7" s="1"/>
  <c r="F38" i="7"/>
  <c r="F44" i="7" s="1"/>
  <c r="F48" i="7" s="1"/>
  <c r="D91" i="17"/>
  <c r="D127" i="17" s="1"/>
  <c r="C91" i="17"/>
  <c r="C127" i="17" s="1"/>
  <c r="D91" i="18"/>
  <c r="D127" i="18" s="1"/>
  <c r="C91" i="18"/>
  <c r="C127" i="18" s="1"/>
  <c r="C47" i="18"/>
  <c r="C49" i="18" s="1"/>
  <c r="F47" i="17"/>
  <c r="F49" i="17" s="1"/>
  <c r="F74" i="17"/>
  <c r="F79" i="17" s="1"/>
  <c r="E47" i="17"/>
  <c r="E74" i="17"/>
  <c r="E79" i="17" s="1"/>
  <c r="E49" i="17"/>
  <c r="D74" i="17"/>
  <c r="D79" i="17" s="1"/>
  <c r="C47" i="17"/>
  <c r="C49" i="17" s="1"/>
  <c r="C74" i="17"/>
  <c r="C79" i="17" s="1"/>
  <c r="L22" i="9"/>
  <c r="K22" i="9"/>
  <c r="E22" i="9"/>
  <c r="F22" i="9"/>
  <c r="G22" i="9"/>
  <c r="I22" i="9"/>
  <c r="C22" i="9"/>
  <c r="D22" i="9"/>
  <c r="H22" i="9"/>
  <c r="D91" i="14"/>
  <c r="D127" i="14" s="1"/>
  <c r="C91" i="14"/>
  <c r="C127" i="14" s="1"/>
  <c r="C91" i="13"/>
  <c r="C127" i="13" s="1"/>
  <c r="D91" i="13"/>
  <c r="D127" i="13" s="1"/>
  <c r="D47" i="14"/>
  <c r="D49" i="14" s="1"/>
  <c r="D74" i="14"/>
  <c r="D79" i="14" s="1"/>
  <c r="C47" i="14"/>
  <c r="C49" i="14" s="1"/>
  <c r="C74" i="14"/>
  <c r="C79" i="14" s="1"/>
  <c r="G47" i="13"/>
  <c r="G74" i="13"/>
  <c r="G79" i="13" s="1"/>
  <c r="G49" i="13"/>
  <c r="F47" i="13"/>
  <c r="F74" i="13"/>
  <c r="F79" i="13" s="1"/>
  <c r="F49" i="13"/>
  <c r="D47" i="13"/>
  <c r="D49" i="13" s="1"/>
  <c r="D74" i="13"/>
  <c r="D79" i="13" s="1"/>
  <c r="C47" i="13"/>
  <c r="C49" i="13" s="1"/>
  <c r="C74" i="13"/>
  <c r="C79" i="13" s="1"/>
  <c r="F36" i="7"/>
  <c r="E36" i="7"/>
  <c r="D59" i="7"/>
  <c r="D57" i="7"/>
  <c r="D54" i="7"/>
  <c r="D55" i="7"/>
  <c r="D58" i="7"/>
  <c r="D47" i="12"/>
  <c r="D74" i="12"/>
  <c r="D79" i="12" s="1"/>
  <c r="D49" i="12"/>
  <c r="C47" i="12"/>
  <c r="C49" i="12" s="1"/>
  <c r="C74" i="12"/>
  <c r="C79" i="12" s="1"/>
  <c r="D123" i="7"/>
  <c r="D24" i="7"/>
  <c r="D23" i="7"/>
  <c r="C123" i="7"/>
  <c r="C59" i="7"/>
  <c r="C57" i="7"/>
  <c r="C54" i="7"/>
  <c r="C24" i="7"/>
  <c r="C23" i="7"/>
  <c r="C25" i="7" s="1"/>
  <c r="C55" i="7"/>
  <c r="C58" i="7"/>
  <c r="D74" i="18" l="1"/>
  <c r="D79" i="18" s="1"/>
  <c r="D25" i="7"/>
  <c r="E124" i="13"/>
  <c r="E65" i="13"/>
  <c r="E66" i="13"/>
  <c r="E67" i="13"/>
  <c r="E64" i="13"/>
  <c r="C124" i="18"/>
  <c r="C64" i="18"/>
  <c r="C65" i="18"/>
  <c r="C66" i="18"/>
  <c r="C67" i="18"/>
  <c r="D124" i="18"/>
  <c r="D64" i="18"/>
  <c r="D65" i="18"/>
  <c r="D66" i="18"/>
  <c r="D67" i="18"/>
  <c r="C124" i="17"/>
  <c r="C64" i="17"/>
  <c r="C65" i="17"/>
  <c r="C66" i="17"/>
  <c r="C67" i="17"/>
  <c r="D124" i="17"/>
  <c r="D64" i="17"/>
  <c r="D65" i="17"/>
  <c r="D66" i="17"/>
  <c r="D67" i="17"/>
  <c r="E124" i="17"/>
  <c r="E88" i="17" s="1"/>
  <c r="E64" i="17"/>
  <c r="E65" i="17"/>
  <c r="E66" i="17"/>
  <c r="E67" i="17"/>
  <c r="E68" i="17"/>
  <c r="F124" i="17"/>
  <c r="F64" i="17"/>
  <c r="F65" i="17"/>
  <c r="F66" i="17"/>
  <c r="F67" i="17"/>
  <c r="D85" i="12"/>
  <c r="D91" i="12" s="1"/>
  <c r="D127" i="12" s="1"/>
  <c r="C85" i="12"/>
  <c r="C91" i="12" s="1"/>
  <c r="C127" i="12" s="1"/>
  <c r="D91" i="7"/>
  <c r="D127" i="7" s="1"/>
  <c r="C91" i="7"/>
  <c r="C127" i="7" s="1"/>
  <c r="M22" i="9"/>
  <c r="C124" i="14"/>
  <c r="C64" i="14"/>
  <c r="C65" i="14"/>
  <c r="C66" i="14"/>
  <c r="C67" i="14"/>
  <c r="D124" i="14"/>
  <c r="D64" i="14"/>
  <c r="D65" i="14"/>
  <c r="D66" i="14"/>
  <c r="D67" i="14"/>
  <c r="C124" i="13"/>
  <c r="C64" i="13"/>
  <c r="C65" i="13"/>
  <c r="C66" i="13"/>
  <c r="C67" i="13"/>
  <c r="D124" i="13"/>
  <c r="D64" i="13"/>
  <c r="D65" i="13"/>
  <c r="D66" i="13"/>
  <c r="D67" i="13"/>
  <c r="F124" i="13"/>
  <c r="F88" i="13" s="1"/>
  <c r="F64" i="13"/>
  <c r="F65" i="13"/>
  <c r="F66" i="13"/>
  <c r="F67" i="13"/>
  <c r="F68" i="13"/>
  <c r="G124" i="13"/>
  <c r="G64" i="13"/>
  <c r="G65" i="13"/>
  <c r="G66" i="13"/>
  <c r="G67" i="13"/>
  <c r="E47" i="7"/>
  <c r="E49" i="7" s="1"/>
  <c r="E74" i="7"/>
  <c r="E79" i="7" s="1"/>
  <c r="F47" i="7"/>
  <c r="F49" i="7" s="1"/>
  <c r="F74" i="7"/>
  <c r="F79" i="7" s="1"/>
  <c r="C124" i="12"/>
  <c r="C64" i="12"/>
  <c r="C65" i="12"/>
  <c r="C66" i="12"/>
  <c r="C67" i="12"/>
  <c r="D124" i="12"/>
  <c r="D64" i="12"/>
  <c r="D65" i="12"/>
  <c r="D66" i="12"/>
  <c r="D67" i="12"/>
  <c r="C46" i="7"/>
  <c r="C35" i="7"/>
  <c r="C56" i="7" s="1"/>
  <c r="C34" i="7"/>
  <c r="C33" i="7"/>
  <c r="C32" i="7"/>
  <c r="C31" i="7"/>
  <c r="C30" i="7"/>
  <c r="C29" i="7"/>
  <c r="C28" i="7"/>
  <c r="C60" i="7"/>
  <c r="C125" i="7" s="1"/>
  <c r="D46" i="7"/>
  <c r="D35" i="7"/>
  <c r="D56" i="7" s="1"/>
  <c r="D34" i="7"/>
  <c r="D33" i="7"/>
  <c r="D32" i="7"/>
  <c r="D31" i="7"/>
  <c r="D30" i="7"/>
  <c r="D29" i="7"/>
  <c r="D28" i="7"/>
  <c r="D60" i="7"/>
  <c r="D125" i="7" s="1"/>
  <c r="D36" i="7" l="1"/>
  <c r="C36" i="7"/>
  <c r="E69" i="13"/>
  <c r="E77" i="13" s="1"/>
  <c r="E80" i="13" s="1"/>
  <c r="E126" i="13" s="1"/>
  <c r="E128" i="13" s="1"/>
  <c r="D69" i="18"/>
  <c r="D77" i="18" s="1"/>
  <c r="D80" i="18" s="1"/>
  <c r="C69" i="18"/>
  <c r="C77" i="18" s="1"/>
  <c r="C80" i="18" s="1"/>
  <c r="F69" i="17"/>
  <c r="E69" i="17"/>
  <c r="E77" i="17" s="1"/>
  <c r="E80" i="17" s="1"/>
  <c r="E91" i="17"/>
  <c r="E127" i="17" s="1"/>
  <c r="D69" i="17"/>
  <c r="D77" i="17" s="1"/>
  <c r="D80" i="17" s="1"/>
  <c r="C69" i="17"/>
  <c r="C77" i="17" s="1"/>
  <c r="C80" i="17" s="1"/>
  <c r="D69" i="14"/>
  <c r="D77" i="14" s="1"/>
  <c r="D80" i="14" s="1"/>
  <c r="C69" i="14"/>
  <c r="C77" i="14" s="1"/>
  <c r="C80" i="14" s="1"/>
  <c r="G69" i="13"/>
  <c r="F69" i="13"/>
  <c r="F77" i="13" s="1"/>
  <c r="F80" i="13" s="1"/>
  <c r="D69" i="13"/>
  <c r="D77" i="13" s="1"/>
  <c r="D80" i="13" s="1"/>
  <c r="D95" i="13" s="1"/>
  <c r="C69" i="13"/>
  <c r="C77" i="13" s="1"/>
  <c r="C80" i="13" s="1"/>
  <c r="F124" i="7"/>
  <c r="F64" i="7"/>
  <c r="F65" i="7"/>
  <c r="F66" i="7"/>
  <c r="F67" i="7"/>
  <c r="E68" i="7"/>
  <c r="E124" i="7"/>
  <c r="E88" i="7" s="1"/>
  <c r="E64" i="7"/>
  <c r="E65" i="7"/>
  <c r="E66" i="7"/>
  <c r="E67" i="7"/>
  <c r="D69" i="12"/>
  <c r="D77" i="12" s="1"/>
  <c r="D80" i="12" s="1"/>
  <c r="C69" i="12"/>
  <c r="C77" i="12" s="1"/>
  <c r="C80" i="12" s="1"/>
  <c r="D47" i="7"/>
  <c r="D49" i="7" s="1"/>
  <c r="D74" i="7"/>
  <c r="D79" i="7" s="1"/>
  <c r="C47" i="7"/>
  <c r="C74" i="7"/>
  <c r="C79" i="7" s="1"/>
  <c r="C49" i="7"/>
  <c r="E95" i="13" l="1"/>
  <c r="E96" i="13" s="1"/>
  <c r="C126" i="18"/>
  <c r="C128" i="18" s="1"/>
  <c r="C95" i="18"/>
  <c r="D126" i="18"/>
  <c r="D128" i="18" s="1"/>
  <c r="D95" i="18"/>
  <c r="C126" i="17"/>
  <c r="C128" i="17" s="1"/>
  <c r="C95" i="17"/>
  <c r="D126" i="17"/>
  <c r="D128" i="17" s="1"/>
  <c r="D95" i="17"/>
  <c r="E126" i="17"/>
  <c r="E128" i="17" s="1"/>
  <c r="E95" i="17"/>
  <c r="F126" i="17"/>
  <c r="F128" i="17" s="1"/>
  <c r="F77" i="17"/>
  <c r="F80" i="17" s="1"/>
  <c r="C126" i="14"/>
  <c r="C128" i="14" s="1"/>
  <c r="C95" i="14"/>
  <c r="D126" i="14"/>
  <c r="D128" i="14" s="1"/>
  <c r="D95" i="14"/>
  <c r="C126" i="13"/>
  <c r="C128" i="13" s="1"/>
  <c r="C95" i="13"/>
  <c r="D126" i="13"/>
  <c r="D128" i="13" s="1"/>
  <c r="F126" i="13"/>
  <c r="G126" i="13"/>
  <c r="G128" i="13" s="1"/>
  <c r="G77" i="13"/>
  <c r="G80" i="13" s="1"/>
  <c r="E69" i="7"/>
  <c r="E77" i="7" s="1"/>
  <c r="E80" i="7" s="1"/>
  <c r="E91" i="7"/>
  <c r="E127" i="7" s="1"/>
  <c r="F69" i="7"/>
  <c r="C126" i="12"/>
  <c r="C128" i="12" s="1"/>
  <c r="C95" i="12"/>
  <c r="D126" i="12"/>
  <c r="D128" i="12" s="1"/>
  <c r="D95" i="12"/>
  <c r="C124" i="7"/>
  <c r="C64" i="7"/>
  <c r="C65" i="7"/>
  <c r="C66" i="7"/>
  <c r="C67" i="7"/>
  <c r="D124" i="7"/>
  <c r="D64" i="7"/>
  <c r="D65" i="7"/>
  <c r="D66" i="7"/>
  <c r="D67" i="7"/>
  <c r="E111" i="13" l="1"/>
  <c r="E110" i="13"/>
  <c r="E109" i="13"/>
  <c r="E116" i="13" s="1"/>
  <c r="E133" i="13" s="1"/>
  <c r="E138" i="13" s="1"/>
  <c r="E108" i="13"/>
  <c r="E107" i="13"/>
  <c r="E106" i="13"/>
  <c r="E115" i="13" s="1"/>
  <c r="E132" i="13" s="1"/>
  <c r="E137" i="13" s="1"/>
  <c r="E105" i="13"/>
  <c r="E104" i="13"/>
  <c r="E103" i="13"/>
  <c r="E114" i="13" s="1"/>
  <c r="E131" i="13" s="1"/>
  <c r="E136" i="13" s="1"/>
  <c r="E102" i="13"/>
  <c r="E101" i="13"/>
  <c r="E100" i="13"/>
  <c r="E113" i="13" s="1"/>
  <c r="E130" i="13" s="1"/>
  <c r="E135" i="13" s="1"/>
  <c r="E99" i="13"/>
  <c r="E98" i="13"/>
  <c r="E97" i="13"/>
  <c r="E112" i="13" s="1"/>
  <c r="E129" i="13" s="1"/>
  <c r="E134" i="13" s="1"/>
  <c r="D96" i="18"/>
  <c r="C96" i="18"/>
  <c r="F95" i="17"/>
  <c r="E96" i="17"/>
  <c r="D96" i="17"/>
  <c r="C96" i="17"/>
  <c r="D96" i="14"/>
  <c r="C96" i="14"/>
  <c r="G95" i="13"/>
  <c r="D96" i="13"/>
  <c r="C96" i="13"/>
  <c r="F77" i="7"/>
  <c r="F80" i="7" s="1"/>
  <c r="F126" i="7"/>
  <c r="F128" i="7" s="1"/>
  <c r="E126" i="7"/>
  <c r="E128" i="7" s="1"/>
  <c r="E95" i="7"/>
  <c r="E96" i="7" s="1"/>
  <c r="E99" i="7" s="1"/>
  <c r="D96" i="12"/>
  <c r="C96" i="12"/>
  <c r="D69" i="7"/>
  <c r="C69" i="7"/>
  <c r="E97" i="7" l="1"/>
  <c r="E112" i="7" s="1"/>
  <c r="E129" i="7" s="1"/>
  <c r="E134" i="7" s="1"/>
  <c r="C183" i="7" s="1"/>
  <c r="E106" i="7"/>
  <c r="E108" i="7"/>
  <c r="E102" i="7"/>
  <c r="E98" i="7"/>
  <c r="E101" i="7"/>
  <c r="E110" i="7"/>
  <c r="E105" i="7"/>
  <c r="E100" i="7"/>
  <c r="E109" i="7"/>
  <c r="E116" i="7" s="1"/>
  <c r="E133" i="7" s="1"/>
  <c r="E138" i="7" s="1"/>
  <c r="K183" i="7" s="1"/>
  <c r="E104" i="7"/>
  <c r="E111" i="7"/>
  <c r="E107" i="7"/>
  <c r="E103" i="7"/>
  <c r="E114" i="7" s="1"/>
  <c r="E131" i="7" s="1"/>
  <c r="E136" i="7" s="1"/>
  <c r="G183" i="7" s="1"/>
  <c r="C111" i="18"/>
  <c r="C110" i="18"/>
  <c r="C109" i="18"/>
  <c r="C116" i="18" s="1"/>
  <c r="C133" i="18" s="1"/>
  <c r="C138" i="18" s="1"/>
  <c r="C108" i="18"/>
  <c r="C107" i="18"/>
  <c r="C106" i="18"/>
  <c r="C115" i="18" s="1"/>
  <c r="C132" i="18" s="1"/>
  <c r="C137" i="18" s="1"/>
  <c r="C105" i="18"/>
  <c r="C104" i="18"/>
  <c r="C103" i="18"/>
  <c r="C114" i="18" s="1"/>
  <c r="C131" i="18" s="1"/>
  <c r="C136" i="18" s="1"/>
  <c r="C141" i="18" s="1"/>
  <c r="C102" i="18"/>
  <c r="C101" i="18"/>
  <c r="C100" i="18"/>
  <c r="C113" i="18" s="1"/>
  <c r="C130" i="18" s="1"/>
  <c r="C135" i="18" s="1"/>
  <c r="C99" i="18"/>
  <c r="C98" i="18"/>
  <c r="C97" i="18"/>
  <c r="C112" i="18" s="1"/>
  <c r="C129" i="18" s="1"/>
  <c r="C134" i="18" s="1"/>
  <c r="C139" i="18" s="1"/>
  <c r="D111" i="18"/>
  <c r="D110" i="18"/>
  <c r="D109" i="18"/>
  <c r="D116" i="18" s="1"/>
  <c r="D133" i="18" s="1"/>
  <c r="D138" i="18" s="1"/>
  <c r="D108" i="18"/>
  <c r="D107" i="18"/>
  <c r="D106" i="18"/>
  <c r="D115" i="18" s="1"/>
  <c r="D132" i="18" s="1"/>
  <c r="D137" i="18" s="1"/>
  <c r="D105" i="18"/>
  <c r="D104" i="18"/>
  <c r="D103" i="18"/>
  <c r="D114" i="18" s="1"/>
  <c r="D131" i="18" s="1"/>
  <c r="D136" i="18" s="1"/>
  <c r="D102" i="18"/>
  <c r="D101" i="18"/>
  <c r="D100" i="18"/>
  <c r="D113" i="18" s="1"/>
  <c r="D130" i="18" s="1"/>
  <c r="D135" i="18" s="1"/>
  <c r="D99" i="18"/>
  <c r="D98" i="18"/>
  <c r="D97" i="18"/>
  <c r="D112" i="18" s="1"/>
  <c r="D129" i="18" s="1"/>
  <c r="D134" i="18" s="1"/>
  <c r="C111" i="17"/>
  <c r="C110" i="17"/>
  <c r="C109" i="17"/>
  <c r="C116" i="17" s="1"/>
  <c r="C133" i="17" s="1"/>
  <c r="C138" i="17" s="1"/>
  <c r="C108" i="17"/>
  <c r="C107" i="17"/>
  <c r="C106" i="17"/>
  <c r="C115" i="17" s="1"/>
  <c r="C132" i="17" s="1"/>
  <c r="C137" i="17" s="1"/>
  <c r="C105" i="17"/>
  <c r="C104" i="17"/>
  <c r="C103" i="17"/>
  <c r="C114" i="17" s="1"/>
  <c r="C131" i="17" s="1"/>
  <c r="C136" i="17" s="1"/>
  <c r="C102" i="17"/>
  <c r="C101" i="17"/>
  <c r="C100" i="17"/>
  <c r="C113" i="17" s="1"/>
  <c r="C130" i="17" s="1"/>
  <c r="C135" i="17" s="1"/>
  <c r="C99" i="17"/>
  <c r="C98" i="17"/>
  <c r="C97" i="17"/>
  <c r="C112" i="17" s="1"/>
  <c r="C129" i="17" s="1"/>
  <c r="C134" i="17" s="1"/>
  <c r="D111" i="17"/>
  <c r="D110" i="17"/>
  <c r="D109" i="17"/>
  <c r="D116" i="17" s="1"/>
  <c r="D133" i="17" s="1"/>
  <c r="D138" i="17" s="1"/>
  <c r="D108" i="17"/>
  <c r="D107" i="17"/>
  <c r="D106" i="17"/>
  <c r="D115" i="17" s="1"/>
  <c r="D132" i="17" s="1"/>
  <c r="D137" i="17" s="1"/>
  <c r="D105" i="17"/>
  <c r="D104" i="17"/>
  <c r="D103" i="17"/>
  <c r="D114" i="17" s="1"/>
  <c r="D131" i="17" s="1"/>
  <c r="D136" i="17" s="1"/>
  <c r="D102" i="17"/>
  <c r="D101" i="17"/>
  <c r="D100" i="17"/>
  <c r="D113" i="17" s="1"/>
  <c r="D130" i="17" s="1"/>
  <c r="D135" i="17" s="1"/>
  <c r="D99" i="17"/>
  <c r="D98" i="17"/>
  <c r="D97" i="17"/>
  <c r="D112" i="17" s="1"/>
  <c r="D129" i="17" s="1"/>
  <c r="D134" i="17" s="1"/>
  <c r="E111" i="17"/>
  <c r="E110" i="17"/>
  <c r="E109" i="17"/>
  <c r="E116" i="17" s="1"/>
  <c r="E133" i="17" s="1"/>
  <c r="E138" i="17" s="1"/>
  <c r="K183" i="17" s="1"/>
  <c r="E108" i="17"/>
  <c r="E107" i="17"/>
  <c r="E106" i="17"/>
  <c r="E115" i="17" s="1"/>
  <c r="E132" i="17" s="1"/>
  <c r="E137" i="17" s="1"/>
  <c r="I183" i="17" s="1"/>
  <c r="E105" i="17"/>
  <c r="E104" i="17"/>
  <c r="E103" i="17"/>
  <c r="E114" i="17" s="1"/>
  <c r="E131" i="17" s="1"/>
  <c r="E136" i="17" s="1"/>
  <c r="G183" i="17" s="1"/>
  <c r="E102" i="17"/>
  <c r="E101" i="17"/>
  <c r="E100" i="17"/>
  <c r="E113" i="17" s="1"/>
  <c r="E130" i="17" s="1"/>
  <c r="E135" i="17" s="1"/>
  <c r="E183" i="17" s="1"/>
  <c r="E99" i="17"/>
  <c r="E98" i="17"/>
  <c r="E97" i="17"/>
  <c r="E112" i="17" s="1"/>
  <c r="E129" i="17" s="1"/>
  <c r="E134" i="17" s="1"/>
  <c r="C183" i="17" s="1"/>
  <c r="F96" i="17"/>
  <c r="C111" i="14"/>
  <c r="C110" i="14"/>
  <c r="C109" i="14"/>
  <c r="C116" i="14" s="1"/>
  <c r="C133" i="14" s="1"/>
  <c r="C138" i="14" s="1"/>
  <c r="C108" i="14"/>
  <c r="C107" i="14"/>
  <c r="C106" i="14"/>
  <c r="C115" i="14" s="1"/>
  <c r="C132" i="14" s="1"/>
  <c r="C137" i="14" s="1"/>
  <c r="C142" i="14" s="1"/>
  <c r="AB30" i="5" s="1"/>
  <c r="C105" i="14"/>
  <c r="C104" i="14"/>
  <c r="C103" i="14"/>
  <c r="C114" i="14" s="1"/>
  <c r="C131" i="14" s="1"/>
  <c r="C136" i="14" s="1"/>
  <c r="C102" i="14"/>
  <c r="C101" i="14"/>
  <c r="C100" i="14"/>
  <c r="C113" i="14" s="1"/>
  <c r="C130" i="14" s="1"/>
  <c r="C135" i="14" s="1"/>
  <c r="C140" i="14" s="1"/>
  <c r="AB27" i="5" s="1"/>
  <c r="C99" i="14"/>
  <c r="C98" i="14"/>
  <c r="C97" i="14"/>
  <c r="C112" i="14" s="1"/>
  <c r="C129" i="14" s="1"/>
  <c r="C134" i="14" s="1"/>
  <c r="C139" i="14" s="1"/>
  <c r="D111" i="14"/>
  <c r="D110" i="14"/>
  <c r="D109" i="14"/>
  <c r="D116" i="14" s="1"/>
  <c r="D133" i="14" s="1"/>
  <c r="D138" i="14" s="1"/>
  <c r="D108" i="14"/>
  <c r="D107" i="14"/>
  <c r="D106" i="14"/>
  <c r="D115" i="14" s="1"/>
  <c r="D132" i="14" s="1"/>
  <c r="D137" i="14" s="1"/>
  <c r="D105" i="14"/>
  <c r="D104" i="14"/>
  <c r="D103" i="14"/>
  <c r="D114" i="14" s="1"/>
  <c r="D131" i="14" s="1"/>
  <c r="D136" i="14" s="1"/>
  <c r="D102" i="14"/>
  <c r="D101" i="14"/>
  <c r="D100" i="14"/>
  <c r="D113" i="14" s="1"/>
  <c r="D130" i="14" s="1"/>
  <c r="D135" i="14" s="1"/>
  <c r="D99" i="14"/>
  <c r="D98" i="14"/>
  <c r="D97" i="14"/>
  <c r="D112" i="14" s="1"/>
  <c r="D129" i="14" s="1"/>
  <c r="D134" i="14" s="1"/>
  <c r="C111" i="13"/>
  <c r="C110" i="13"/>
  <c r="C109" i="13"/>
  <c r="C116" i="13" s="1"/>
  <c r="C133" i="13" s="1"/>
  <c r="C138" i="13" s="1"/>
  <c r="C108" i="13"/>
  <c r="C107" i="13"/>
  <c r="C106" i="13"/>
  <c r="C115" i="13" s="1"/>
  <c r="C132" i="13" s="1"/>
  <c r="C137" i="13" s="1"/>
  <c r="C105" i="13"/>
  <c r="C104" i="13"/>
  <c r="C103" i="13"/>
  <c r="C114" i="13" s="1"/>
  <c r="C131" i="13" s="1"/>
  <c r="C136" i="13" s="1"/>
  <c r="C102" i="13"/>
  <c r="C101" i="13"/>
  <c r="C100" i="13"/>
  <c r="C113" i="13" s="1"/>
  <c r="C130" i="13" s="1"/>
  <c r="C135" i="13" s="1"/>
  <c r="C99" i="13"/>
  <c r="C98" i="13"/>
  <c r="C97" i="13"/>
  <c r="C112" i="13" s="1"/>
  <c r="C129" i="13" s="1"/>
  <c r="C134" i="13" s="1"/>
  <c r="D111" i="13"/>
  <c r="D110" i="13"/>
  <c r="D109" i="13"/>
  <c r="D116" i="13" s="1"/>
  <c r="D133" i="13" s="1"/>
  <c r="D138" i="13" s="1"/>
  <c r="D108" i="13"/>
  <c r="D107" i="13"/>
  <c r="D106" i="13"/>
  <c r="D115" i="13" s="1"/>
  <c r="D132" i="13" s="1"/>
  <c r="D137" i="13" s="1"/>
  <c r="D105" i="13"/>
  <c r="D104" i="13"/>
  <c r="D103" i="13"/>
  <c r="D114" i="13" s="1"/>
  <c r="D131" i="13" s="1"/>
  <c r="D136" i="13" s="1"/>
  <c r="D102" i="13"/>
  <c r="D101" i="13"/>
  <c r="D100" i="13"/>
  <c r="D113" i="13" s="1"/>
  <c r="D130" i="13" s="1"/>
  <c r="D135" i="13" s="1"/>
  <c r="D99" i="13"/>
  <c r="D98" i="13"/>
  <c r="D97" i="13"/>
  <c r="D112" i="13" s="1"/>
  <c r="D129" i="13" s="1"/>
  <c r="D134" i="13" s="1"/>
  <c r="G96" i="13"/>
  <c r="E113" i="7"/>
  <c r="E130" i="7" s="1"/>
  <c r="E135" i="7" s="1"/>
  <c r="E183" i="7" s="1"/>
  <c r="E115" i="7"/>
  <c r="E132" i="7" s="1"/>
  <c r="E137" i="7" s="1"/>
  <c r="I183" i="7" s="1"/>
  <c r="F95" i="7"/>
  <c r="F96" i="7" s="1"/>
  <c r="F99" i="7" s="1"/>
  <c r="C111" i="12"/>
  <c r="C110" i="12"/>
  <c r="C109" i="12"/>
  <c r="C116" i="12" s="1"/>
  <c r="C133" i="12" s="1"/>
  <c r="C138" i="12" s="1"/>
  <c r="C108" i="12"/>
  <c r="C107" i="12"/>
  <c r="C106" i="12"/>
  <c r="C115" i="12" s="1"/>
  <c r="C132" i="12" s="1"/>
  <c r="C137" i="12" s="1"/>
  <c r="C105" i="12"/>
  <c r="C104" i="12"/>
  <c r="C103" i="12"/>
  <c r="C114" i="12" s="1"/>
  <c r="C131" i="12" s="1"/>
  <c r="C136" i="12" s="1"/>
  <c r="C102" i="12"/>
  <c r="C101" i="12"/>
  <c r="C100" i="12"/>
  <c r="C113" i="12" s="1"/>
  <c r="C130" i="12" s="1"/>
  <c r="C135" i="12" s="1"/>
  <c r="C99" i="12"/>
  <c r="C98" i="12"/>
  <c r="C97" i="12"/>
  <c r="C112" i="12" s="1"/>
  <c r="C129" i="12" s="1"/>
  <c r="C134" i="12" s="1"/>
  <c r="D111" i="12"/>
  <c r="D110" i="12"/>
  <c r="D109" i="12"/>
  <c r="D116" i="12" s="1"/>
  <c r="D133" i="12" s="1"/>
  <c r="D138" i="12" s="1"/>
  <c r="D108" i="12"/>
  <c r="D107" i="12"/>
  <c r="D106" i="12"/>
  <c r="D115" i="12" s="1"/>
  <c r="D132" i="12" s="1"/>
  <c r="D137" i="12" s="1"/>
  <c r="D105" i="12"/>
  <c r="D104" i="12"/>
  <c r="D103" i="12"/>
  <c r="D114" i="12" s="1"/>
  <c r="D131" i="12" s="1"/>
  <c r="D136" i="12" s="1"/>
  <c r="D102" i="12"/>
  <c r="D101" i="12"/>
  <c r="D100" i="12"/>
  <c r="D113" i="12" s="1"/>
  <c r="D130" i="12" s="1"/>
  <c r="D135" i="12" s="1"/>
  <c r="D99" i="12"/>
  <c r="D98" i="12"/>
  <c r="D97" i="12"/>
  <c r="D112" i="12" s="1"/>
  <c r="D129" i="12" s="1"/>
  <c r="D134" i="12" s="1"/>
  <c r="C77" i="7"/>
  <c r="C80" i="7" s="1"/>
  <c r="D77" i="7"/>
  <c r="D80" i="7" s="1"/>
  <c r="F105" i="7" l="1"/>
  <c r="F97" i="7"/>
  <c r="F104" i="7"/>
  <c r="F109" i="7"/>
  <c r="F116" i="7" s="1"/>
  <c r="F133" i="7" s="1"/>
  <c r="F138" i="7" s="1"/>
  <c r="F98" i="7"/>
  <c r="F108" i="7"/>
  <c r="F100" i="7"/>
  <c r="F113" i="7" s="1"/>
  <c r="F130" i="7" s="1"/>
  <c r="F135" i="7" s="1"/>
  <c r="F101" i="7"/>
  <c r="F111" i="7"/>
  <c r="F107" i="7"/>
  <c r="F103" i="7"/>
  <c r="F114" i="7" s="1"/>
  <c r="F131" i="7" s="1"/>
  <c r="F136" i="7" s="1"/>
  <c r="F110" i="7"/>
  <c r="F106" i="7"/>
  <c r="F115" i="7" s="1"/>
  <c r="F132" i="7" s="1"/>
  <c r="F137" i="7" s="1"/>
  <c r="F102" i="7"/>
  <c r="Z12" i="5"/>
  <c r="Z15" i="5"/>
  <c r="Z9" i="5"/>
  <c r="Z27" i="5"/>
  <c r="Z30" i="5"/>
  <c r="E165" i="13"/>
  <c r="F165" i="13" s="1"/>
  <c r="Z42" i="5"/>
  <c r="Z48" i="5"/>
  <c r="C140" i="18"/>
  <c r="Z46" i="5"/>
  <c r="AB50" i="5"/>
  <c r="C142" i="18"/>
  <c r="Z47" i="5"/>
  <c r="C143" i="18"/>
  <c r="Z44" i="5"/>
  <c r="Z43" i="5"/>
  <c r="Z18" i="5"/>
  <c r="Z17" i="5"/>
  <c r="Z11" i="5"/>
  <c r="Z14" i="5"/>
  <c r="Z10" i="5"/>
  <c r="Z8" i="5"/>
  <c r="Z29" i="5"/>
  <c r="Z36" i="5"/>
  <c r="Z37" i="5"/>
  <c r="Z39" i="5"/>
  <c r="C143" i="14"/>
  <c r="Z28" i="5"/>
  <c r="Z31" i="5"/>
  <c r="F111" i="17"/>
  <c r="F110" i="17"/>
  <c r="F109" i="17"/>
  <c r="F116" i="17" s="1"/>
  <c r="F133" i="17" s="1"/>
  <c r="F138" i="17" s="1"/>
  <c r="F108" i="17"/>
  <c r="F107" i="17"/>
  <c r="F106" i="17"/>
  <c r="F115" i="17" s="1"/>
  <c r="F132" i="17" s="1"/>
  <c r="F137" i="17" s="1"/>
  <c r="F105" i="17"/>
  <c r="F104" i="17"/>
  <c r="F103" i="17"/>
  <c r="F114" i="17" s="1"/>
  <c r="F131" i="17" s="1"/>
  <c r="F136" i="17" s="1"/>
  <c r="F102" i="17"/>
  <c r="F101" i="17"/>
  <c r="F100" i="17"/>
  <c r="F113" i="17" s="1"/>
  <c r="F130" i="17" s="1"/>
  <c r="F135" i="17" s="1"/>
  <c r="F99" i="17"/>
  <c r="F98" i="17"/>
  <c r="F97" i="17"/>
  <c r="F112" i="17" s="1"/>
  <c r="F129" i="17" s="1"/>
  <c r="F134" i="17" s="1"/>
  <c r="C189" i="17"/>
  <c r="D189" i="17" s="1"/>
  <c r="C186" i="17"/>
  <c r="D186" i="17" s="1"/>
  <c r="D183" i="17"/>
  <c r="C177" i="17"/>
  <c r="D177" i="17" s="1"/>
  <c r="C174" i="17"/>
  <c r="D174" i="17" s="1"/>
  <c r="C171" i="17"/>
  <c r="D171" i="17" s="1"/>
  <c r="C165" i="17"/>
  <c r="D165" i="17" s="1"/>
  <c r="C159" i="17"/>
  <c r="D159" i="17" s="1"/>
  <c r="C153" i="17"/>
  <c r="D153" i="17" s="1"/>
  <c r="C147" i="17"/>
  <c r="D147" i="17" s="1"/>
  <c r="C139" i="17"/>
  <c r="E189" i="17"/>
  <c r="F189" i="17" s="1"/>
  <c r="E186" i="17"/>
  <c r="F186" i="17" s="1"/>
  <c r="F183" i="17"/>
  <c r="E177" i="17"/>
  <c r="F177" i="17" s="1"/>
  <c r="E174" i="17"/>
  <c r="F174" i="17" s="1"/>
  <c r="E171" i="17"/>
  <c r="F171" i="17" s="1"/>
  <c r="E165" i="17"/>
  <c r="F165" i="17" s="1"/>
  <c r="E159" i="17"/>
  <c r="F159" i="17" s="1"/>
  <c r="E153" i="17"/>
  <c r="F153" i="17" s="1"/>
  <c r="E147" i="17"/>
  <c r="F147" i="17" s="1"/>
  <c r="C140" i="17"/>
  <c r="G189" i="17"/>
  <c r="H189" i="17" s="1"/>
  <c r="G186" i="17"/>
  <c r="H186" i="17" s="1"/>
  <c r="H183" i="17"/>
  <c r="G177" i="17"/>
  <c r="H177" i="17" s="1"/>
  <c r="G174" i="17"/>
  <c r="H174" i="17" s="1"/>
  <c r="G171" i="17"/>
  <c r="H171" i="17" s="1"/>
  <c r="G165" i="17"/>
  <c r="H165" i="17" s="1"/>
  <c r="G159" i="17"/>
  <c r="H159" i="17" s="1"/>
  <c r="G153" i="17"/>
  <c r="H153" i="17" s="1"/>
  <c r="G147" i="17"/>
  <c r="H147" i="17" s="1"/>
  <c r="C141" i="17"/>
  <c r="AA50" i="5" s="1"/>
  <c r="I189" i="17"/>
  <c r="J189" i="17" s="1"/>
  <c r="I186" i="17"/>
  <c r="J186" i="17" s="1"/>
  <c r="J183" i="17"/>
  <c r="I177" i="17"/>
  <c r="J177" i="17" s="1"/>
  <c r="I174" i="17"/>
  <c r="J174" i="17" s="1"/>
  <c r="I171" i="17"/>
  <c r="J171" i="17" s="1"/>
  <c r="I165" i="17"/>
  <c r="J165" i="17" s="1"/>
  <c r="I159" i="17"/>
  <c r="J159" i="17" s="1"/>
  <c r="I153" i="17"/>
  <c r="J153" i="17" s="1"/>
  <c r="I147" i="17"/>
  <c r="J147" i="17" s="1"/>
  <c r="C142" i="17"/>
  <c r="K189" i="17"/>
  <c r="L189" i="17" s="1"/>
  <c r="K186" i="17"/>
  <c r="L186" i="17" s="1"/>
  <c r="L183" i="17"/>
  <c r="K177" i="17"/>
  <c r="L177" i="17" s="1"/>
  <c r="K174" i="17"/>
  <c r="L174" i="17" s="1"/>
  <c r="K171" i="17"/>
  <c r="L171" i="17" s="1"/>
  <c r="K165" i="17"/>
  <c r="L165" i="17" s="1"/>
  <c r="K159" i="17"/>
  <c r="L159" i="17" s="1"/>
  <c r="K153" i="17"/>
  <c r="L153" i="17" s="1"/>
  <c r="K147" i="17"/>
  <c r="L147" i="17" s="1"/>
  <c r="C143" i="17"/>
  <c r="C141" i="14"/>
  <c r="G111" i="13"/>
  <c r="G110" i="13"/>
  <c r="G109" i="13"/>
  <c r="G116" i="13" s="1"/>
  <c r="G133" i="13" s="1"/>
  <c r="G138" i="13" s="1"/>
  <c r="G108" i="13"/>
  <c r="G107" i="13"/>
  <c r="G106" i="13"/>
  <c r="G115" i="13" s="1"/>
  <c r="G132" i="13" s="1"/>
  <c r="G137" i="13" s="1"/>
  <c r="G105" i="13"/>
  <c r="G104" i="13"/>
  <c r="G103" i="13"/>
  <c r="G114" i="13" s="1"/>
  <c r="G131" i="13" s="1"/>
  <c r="G136" i="13" s="1"/>
  <c r="G102" i="13"/>
  <c r="G101" i="13"/>
  <c r="G100" i="13"/>
  <c r="G113" i="13" s="1"/>
  <c r="G130" i="13" s="1"/>
  <c r="G135" i="13" s="1"/>
  <c r="G99" i="13"/>
  <c r="G98" i="13"/>
  <c r="G97" i="13"/>
  <c r="G112" i="13" s="1"/>
  <c r="G129" i="13" s="1"/>
  <c r="G134" i="13" s="1"/>
  <c r="C189" i="13"/>
  <c r="D189" i="13" s="1"/>
  <c r="C186" i="13"/>
  <c r="D186" i="13" s="1"/>
  <c r="C177" i="13"/>
  <c r="D177" i="13" s="1"/>
  <c r="C174" i="13"/>
  <c r="D174" i="13" s="1"/>
  <c r="C171" i="13"/>
  <c r="D171" i="13" s="1"/>
  <c r="C165" i="13"/>
  <c r="D165" i="13" s="1"/>
  <c r="C159" i="13"/>
  <c r="D159" i="13" s="1"/>
  <c r="C153" i="13"/>
  <c r="D153" i="13" s="1"/>
  <c r="C147" i="13"/>
  <c r="D147" i="13" s="1"/>
  <c r="C139" i="13"/>
  <c r="E189" i="13"/>
  <c r="F189" i="13" s="1"/>
  <c r="E186" i="13"/>
  <c r="F186" i="13" s="1"/>
  <c r="E177" i="13"/>
  <c r="F177" i="13" s="1"/>
  <c r="E174" i="13"/>
  <c r="F174" i="13" s="1"/>
  <c r="E171" i="13"/>
  <c r="F171" i="13" s="1"/>
  <c r="E159" i="13"/>
  <c r="F159" i="13" s="1"/>
  <c r="E153" i="13"/>
  <c r="F153" i="13" s="1"/>
  <c r="E147" i="13"/>
  <c r="F147" i="13" s="1"/>
  <c r="C140" i="13"/>
  <c r="AA27" i="5" s="1"/>
  <c r="G189" i="13"/>
  <c r="H189" i="13" s="1"/>
  <c r="G186" i="13"/>
  <c r="H186" i="13" s="1"/>
  <c r="G177" i="13"/>
  <c r="H177" i="13" s="1"/>
  <c r="G174" i="13"/>
  <c r="H174" i="13" s="1"/>
  <c r="G171" i="13"/>
  <c r="H171" i="13" s="1"/>
  <c r="G165" i="13"/>
  <c r="H165" i="13" s="1"/>
  <c r="G159" i="13"/>
  <c r="H159" i="13" s="1"/>
  <c r="G153" i="13"/>
  <c r="H153" i="13" s="1"/>
  <c r="G147" i="13"/>
  <c r="H147" i="13" s="1"/>
  <c r="C141" i="13"/>
  <c r="I189" i="13"/>
  <c r="J189" i="13" s="1"/>
  <c r="I186" i="13"/>
  <c r="J186" i="13" s="1"/>
  <c r="I177" i="13"/>
  <c r="J177" i="13" s="1"/>
  <c r="I174" i="13"/>
  <c r="J174" i="13" s="1"/>
  <c r="I171" i="13"/>
  <c r="J171" i="13" s="1"/>
  <c r="I165" i="13"/>
  <c r="J165" i="13" s="1"/>
  <c r="I159" i="13"/>
  <c r="J159" i="13" s="1"/>
  <c r="I153" i="13"/>
  <c r="J153" i="13" s="1"/>
  <c r="I147" i="13"/>
  <c r="J147" i="13" s="1"/>
  <c r="C142" i="13"/>
  <c r="AA30" i="5" s="1"/>
  <c r="K189" i="13"/>
  <c r="L189" i="13" s="1"/>
  <c r="K186" i="13"/>
  <c r="L186" i="13" s="1"/>
  <c r="K177" i="13"/>
  <c r="L177" i="13" s="1"/>
  <c r="K174" i="13"/>
  <c r="L174" i="13" s="1"/>
  <c r="K171" i="13"/>
  <c r="L171" i="13" s="1"/>
  <c r="K165" i="13"/>
  <c r="L165" i="13" s="1"/>
  <c r="K159" i="13"/>
  <c r="L159" i="13" s="1"/>
  <c r="K153" i="13"/>
  <c r="L153" i="13" s="1"/>
  <c r="K147" i="13"/>
  <c r="L147" i="13" s="1"/>
  <c r="C143" i="13"/>
  <c r="F112" i="7"/>
  <c r="F129" i="7" s="1"/>
  <c r="F134" i="7" s="1"/>
  <c r="C139" i="12"/>
  <c r="C140" i="12"/>
  <c r="C141" i="12"/>
  <c r="C142" i="12"/>
  <c r="C143" i="12"/>
  <c r="AB22" i="5" s="1"/>
  <c r="D126" i="7"/>
  <c r="D128" i="7" s="1"/>
  <c r="D95" i="7"/>
  <c r="C126" i="7"/>
  <c r="C128" i="7" s="1"/>
  <c r="C95" i="7"/>
  <c r="Z41" i="5" l="1"/>
  <c r="K190" i="17"/>
  <c r="L190" i="17" s="1"/>
  <c r="L191" i="17" s="1"/>
  <c r="C190" i="17"/>
  <c r="C187" i="17"/>
  <c r="D187" i="17" s="1"/>
  <c r="D188" i="17" s="1"/>
  <c r="E184" i="17"/>
  <c r="F184" i="17" s="1"/>
  <c r="F185" i="17" s="1"/>
  <c r="G178" i="17"/>
  <c r="H178" i="17" s="1"/>
  <c r="H179" i="17" s="1"/>
  <c r="R50" i="5" s="1"/>
  <c r="I175" i="17"/>
  <c r="J175" i="17" s="1"/>
  <c r="J176" i="17" s="1"/>
  <c r="I172" i="17"/>
  <c r="J172" i="17" s="1"/>
  <c r="J173" i="17" s="1"/>
  <c r="I166" i="17"/>
  <c r="J166" i="17" s="1"/>
  <c r="J167" i="17" s="1"/>
  <c r="I160" i="17"/>
  <c r="K154" i="17"/>
  <c r="K148" i="17"/>
  <c r="L148" i="17" s="1"/>
  <c r="L149" i="17" s="1"/>
  <c r="I190" i="17"/>
  <c r="J190" i="17" s="1"/>
  <c r="J191" i="17" s="1"/>
  <c r="K187" i="17"/>
  <c r="K184" i="17"/>
  <c r="L184" i="17" s="1"/>
  <c r="L185" i="17" s="1"/>
  <c r="C184" i="17"/>
  <c r="D184" i="17" s="1"/>
  <c r="D185" i="17" s="1"/>
  <c r="E178" i="17"/>
  <c r="F178" i="17" s="1"/>
  <c r="F179" i="17" s="1"/>
  <c r="G175" i="17"/>
  <c r="G172" i="17"/>
  <c r="H172" i="17" s="1"/>
  <c r="H173" i="17" s="1"/>
  <c r="N50" i="5" s="1"/>
  <c r="G166" i="17"/>
  <c r="H166" i="17" s="1"/>
  <c r="H167" i="17" s="1"/>
  <c r="L50" i="5" s="1"/>
  <c r="G160" i="17"/>
  <c r="H160" i="17" s="1"/>
  <c r="H161" i="17" s="1"/>
  <c r="J50" i="5" s="1"/>
  <c r="I154" i="17"/>
  <c r="J154" i="17" s="1"/>
  <c r="J155" i="17" s="1"/>
  <c r="I148" i="17"/>
  <c r="J148" i="17" s="1"/>
  <c r="J149" i="17" s="1"/>
  <c r="G190" i="17"/>
  <c r="H190" i="17" s="1"/>
  <c r="H191" i="17" s="1"/>
  <c r="X50" i="5" s="1"/>
  <c r="I187" i="17"/>
  <c r="J187" i="17" s="1"/>
  <c r="J188" i="17" s="1"/>
  <c r="I184" i="17"/>
  <c r="J184" i="17" s="1"/>
  <c r="J185" i="17" s="1"/>
  <c r="K178" i="17"/>
  <c r="L178" i="17" s="1"/>
  <c r="L179" i="17" s="1"/>
  <c r="C178" i="17"/>
  <c r="D178" i="17" s="1"/>
  <c r="D179" i="17" s="1"/>
  <c r="C175" i="17"/>
  <c r="D175" i="17" s="1"/>
  <c r="D176" i="17" s="1"/>
  <c r="C172" i="17"/>
  <c r="D172" i="17" s="1"/>
  <c r="D173" i="17" s="1"/>
  <c r="C166" i="17"/>
  <c r="D166" i="17" s="1"/>
  <c r="D167" i="17" s="1"/>
  <c r="E160" i="17"/>
  <c r="F160" i="17" s="1"/>
  <c r="F161" i="17" s="1"/>
  <c r="G154" i="17"/>
  <c r="H154" i="17" s="1"/>
  <c r="H155" i="17" s="1"/>
  <c r="G148" i="17"/>
  <c r="H148" i="17" s="1"/>
  <c r="H149" i="17" s="1"/>
  <c r="F50" i="5" s="1"/>
  <c r="E190" i="17"/>
  <c r="F190" i="17" s="1"/>
  <c r="F191" i="17" s="1"/>
  <c r="G187" i="17"/>
  <c r="H187" i="17" s="1"/>
  <c r="H188" i="17" s="1"/>
  <c r="V50" i="5" s="1"/>
  <c r="G184" i="17"/>
  <c r="H184" i="17" s="1"/>
  <c r="H185" i="17" s="1"/>
  <c r="T50" i="5" s="1"/>
  <c r="I178" i="17"/>
  <c r="J178" i="17" s="1"/>
  <c r="J179" i="17" s="1"/>
  <c r="K175" i="17"/>
  <c r="K172" i="17"/>
  <c r="L172" i="17" s="1"/>
  <c r="L173" i="17" s="1"/>
  <c r="K166" i="17"/>
  <c r="L166" i="17" s="1"/>
  <c r="L167" i="17" s="1"/>
  <c r="K160" i="17"/>
  <c r="L160" i="17" s="1"/>
  <c r="L161" i="17" s="1"/>
  <c r="C160" i="17"/>
  <c r="D160" i="17" s="1"/>
  <c r="D161" i="17" s="1"/>
  <c r="C154" i="17"/>
  <c r="D154" i="17" s="1"/>
  <c r="D155" i="17" s="1"/>
  <c r="C148" i="17"/>
  <c r="AB32" i="5"/>
  <c r="AB34" i="5"/>
  <c r="AB33" i="5"/>
  <c r="AB40" i="5"/>
  <c r="AB36" i="5"/>
  <c r="AB28" i="5"/>
  <c r="AB37" i="5"/>
  <c r="AB39" i="5"/>
  <c r="AB35" i="5"/>
  <c r="AB31" i="5"/>
  <c r="AB38" i="5"/>
  <c r="AB26" i="5"/>
  <c r="AB29" i="5"/>
  <c r="Z25" i="5"/>
  <c r="K190" i="7"/>
  <c r="I190" i="7"/>
  <c r="G190" i="7"/>
  <c r="E190" i="7"/>
  <c r="F190" i="7" s="1"/>
  <c r="C190" i="7"/>
  <c r="K187" i="7"/>
  <c r="I187" i="7"/>
  <c r="E187" i="7"/>
  <c r="F187" i="7" s="1"/>
  <c r="C187" i="7"/>
  <c r="K184" i="7"/>
  <c r="I184" i="7"/>
  <c r="G184" i="7"/>
  <c r="E184" i="7"/>
  <c r="F184" i="7" s="1"/>
  <c r="C184" i="7"/>
  <c r="K178" i="7"/>
  <c r="I178" i="7"/>
  <c r="E178" i="7"/>
  <c r="F178" i="7" s="1"/>
  <c r="C178" i="7"/>
  <c r="K175" i="7"/>
  <c r="I175" i="7"/>
  <c r="E175" i="7"/>
  <c r="F175" i="7" s="1"/>
  <c r="C175" i="7"/>
  <c r="K172" i="7"/>
  <c r="I172" i="7"/>
  <c r="E172" i="7"/>
  <c r="F172" i="7" s="1"/>
  <c r="C172" i="7"/>
  <c r="K166" i="7"/>
  <c r="I166" i="7"/>
  <c r="E166" i="7"/>
  <c r="F166" i="7" s="1"/>
  <c r="C166" i="7"/>
  <c r="K160" i="7"/>
  <c r="I160" i="7"/>
  <c r="G160" i="7"/>
  <c r="E160" i="7"/>
  <c r="C160" i="7"/>
  <c r="K154" i="7"/>
  <c r="I154" i="7"/>
  <c r="E154" i="7"/>
  <c r="C154" i="7"/>
  <c r="C148" i="7"/>
  <c r="K148" i="7"/>
  <c r="I148" i="7"/>
  <c r="G148" i="7"/>
  <c r="E148" i="7"/>
  <c r="F148" i="7" s="1"/>
  <c r="I190" i="13"/>
  <c r="J190" i="13" s="1"/>
  <c r="J191" i="13" s="1"/>
  <c r="X30" i="5" s="1"/>
  <c r="G190" i="13"/>
  <c r="E190" i="13"/>
  <c r="C190" i="13"/>
  <c r="D190" i="13" s="1"/>
  <c r="D191" i="13" s="1"/>
  <c r="I187" i="13"/>
  <c r="J187" i="13" s="1"/>
  <c r="J188" i="13" s="1"/>
  <c r="V30" i="5" s="1"/>
  <c r="G187" i="13"/>
  <c r="H187" i="13" s="1"/>
  <c r="H188" i="13" s="1"/>
  <c r="E187" i="13"/>
  <c r="F187" i="13" s="1"/>
  <c r="F188" i="13" s="1"/>
  <c r="V27" i="5" s="1"/>
  <c r="C187" i="13"/>
  <c r="D187" i="13" s="1"/>
  <c r="D188" i="13" s="1"/>
  <c r="K184" i="13"/>
  <c r="L184" i="13" s="1"/>
  <c r="I184" i="13"/>
  <c r="J184" i="13" s="1"/>
  <c r="G184" i="13"/>
  <c r="H184" i="13" s="1"/>
  <c r="E184" i="13"/>
  <c r="F184" i="13" s="1"/>
  <c r="C184" i="13"/>
  <c r="D184" i="13" s="1"/>
  <c r="I178" i="13"/>
  <c r="J178" i="13" s="1"/>
  <c r="J179" i="13" s="1"/>
  <c r="R30" i="5" s="1"/>
  <c r="G178" i="13"/>
  <c r="H178" i="13" s="1"/>
  <c r="H179" i="13" s="1"/>
  <c r="E178" i="13"/>
  <c r="F178" i="13" s="1"/>
  <c r="F179" i="13" s="1"/>
  <c r="R27" i="5" s="1"/>
  <c r="C178" i="13"/>
  <c r="D178" i="13" s="1"/>
  <c r="D179" i="13" s="1"/>
  <c r="K175" i="13"/>
  <c r="I175" i="13"/>
  <c r="J175" i="13" s="1"/>
  <c r="J176" i="13" s="1"/>
  <c r="P30" i="5" s="1"/>
  <c r="G175" i="13"/>
  <c r="H175" i="13" s="1"/>
  <c r="H176" i="13" s="1"/>
  <c r="E175" i="13"/>
  <c r="F175" i="13" s="1"/>
  <c r="F176" i="13" s="1"/>
  <c r="P27" i="5" s="1"/>
  <c r="C175" i="13"/>
  <c r="D175" i="13" s="1"/>
  <c r="D176" i="13" s="1"/>
  <c r="I172" i="13"/>
  <c r="G172" i="13"/>
  <c r="H172" i="13" s="1"/>
  <c r="H173" i="13" s="1"/>
  <c r="E172" i="13"/>
  <c r="F172" i="13" s="1"/>
  <c r="F173" i="13" s="1"/>
  <c r="N27" i="5" s="1"/>
  <c r="C172" i="13"/>
  <c r="D172" i="13" s="1"/>
  <c r="D173" i="13" s="1"/>
  <c r="K166" i="13"/>
  <c r="L166" i="13" s="1"/>
  <c r="L167" i="13" s="1"/>
  <c r="I166" i="13"/>
  <c r="J166" i="13" s="1"/>
  <c r="J167" i="13" s="1"/>
  <c r="L30" i="5" s="1"/>
  <c r="G166" i="13"/>
  <c r="H166" i="13" s="1"/>
  <c r="H167" i="13" s="1"/>
  <c r="E166" i="13"/>
  <c r="F166" i="13" s="1"/>
  <c r="F167" i="13" s="1"/>
  <c r="L27" i="5" s="1"/>
  <c r="C166" i="13"/>
  <c r="K160" i="13"/>
  <c r="L160" i="13" s="1"/>
  <c r="L161" i="13" s="1"/>
  <c r="I160" i="13"/>
  <c r="J160" i="13" s="1"/>
  <c r="J161" i="13" s="1"/>
  <c r="G160" i="13"/>
  <c r="H160" i="13" s="1"/>
  <c r="H161" i="13" s="1"/>
  <c r="E160" i="13"/>
  <c r="C160" i="13"/>
  <c r="D160" i="13" s="1"/>
  <c r="D161" i="13" s="1"/>
  <c r="K154" i="13"/>
  <c r="L154" i="13" s="1"/>
  <c r="L155" i="13" s="1"/>
  <c r="I154" i="13"/>
  <c r="J154" i="13" s="1"/>
  <c r="J155" i="13" s="1"/>
  <c r="H30" i="5" s="1"/>
  <c r="G154" i="13"/>
  <c r="E154" i="13"/>
  <c r="F154" i="13" s="1"/>
  <c r="F155" i="13" s="1"/>
  <c r="H27" i="5" s="1"/>
  <c r="C154" i="13"/>
  <c r="D154" i="13" s="1"/>
  <c r="D155" i="13" s="1"/>
  <c r="I148" i="13"/>
  <c r="G148" i="13"/>
  <c r="H148" i="13" s="1"/>
  <c r="H149" i="13" s="1"/>
  <c r="E148" i="13"/>
  <c r="F148" i="13" s="1"/>
  <c r="F149" i="13" s="1"/>
  <c r="F27" i="5" s="1"/>
  <c r="C148" i="13"/>
  <c r="D148" i="13" s="1"/>
  <c r="D149" i="13" s="1"/>
  <c r="K148" i="13"/>
  <c r="L148" i="13" s="1"/>
  <c r="L149" i="13" s="1"/>
  <c r="AA53" i="5"/>
  <c r="AA48" i="5"/>
  <c r="AA44" i="5"/>
  <c r="AA43" i="5"/>
  <c r="AA52" i="5"/>
  <c r="AA49" i="5"/>
  <c r="AA47" i="5"/>
  <c r="AA45" i="5"/>
  <c r="AA55" i="5"/>
  <c r="AA54" i="5"/>
  <c r="AA51" i="5"/>
  <c r="AA46" i="5"/>
  <c r="AA42" i="5"/>
  <c r="AB53" i="5"/>
  <c r="AB48" i="5"/>
  <c r="AB44" i="5"/>
  <c r="AB43" i="5"/>
  <c r="AB52" i="5"/>
  <c r="AB49" i="5"/>
  <c r="AB47" i="5"/>
  <c r="AB45" i="5"/>
  <c r="AB55" i="5"/>
  <c r="AB54" i="5"/>
  <c r="AB51" i="5"/>
  <c r="AB46" i="5"/>
  <c r="AB42" i="5"/>
  <c r="Z56" i="5"/>
  <c r="AA40" i="5"/>
  <c r="AA39" i="5"/>
  <c r="AA38" i="5"/>
  <c r="AA37" i="5"/>
  <c r="AA36" i="5"/>
  <c r="AA35" i="5"/>
  <c r="AA31" i="5"/>
  <c r="AA29" i="5"/>
  <c r="AA28" i="5"/>
  <c r="AA26" i="5"/>
  <c r="AA34" i="5"/>
  <c r="AA33" i="5"/>
  <c r="AA32" i="5"/>
  <c r="AB15" i="5"/>
  <c r="AB9" i="5"/>
  <c r="AB7" i="5"/>
  <c r="AB23" i="5"/>
  <c r="AB21" i="5"/>
  <c r="AB20" i="5"/>
  <c r="AB19" i="5"/>
  <c r="AB18" i="5"/>
  <c r="AB17" i="5"/>
  <c r="AB16" i="5"/>
  <c r="AB14" i="5"/>
  <c r="AB13" i="5"/>
  <c r="AB11" i="5"/>
  <c r="AB10" i="5"/>
  <c r="AB8" i="5"/>
  <c r="AB6" i="5"/>
  <c r="AB24" i="5"/>
  <c r="AB12" i="5"/>
  <c r="D190" i="17"/>
  <c r="D191" i="17" s="1"/>
  <c r="D148" i="17"/>
  <c r="D149" i="17" s="1"/>
  <c r="E187" i="17"/>
  <c r="F187" i="17" s="1"/>
  <c r="F188" i="17" s="1"/>
  <c r="E175" i="17"/>
  <c r="F175" i="17" s="1"/>
  <c r="F176" i="17" s="1"/>
  <c r="E172" i="17"/>
  <c r="F172" i="17" s="1"/>
  <c r="F173" i="17" s="1"/>
  <c r="E166" i="17"/>
  <c r="F166" i="17" s="1"/>
  <c r="F167" i="17" s="1"/>
  <c r="E154" i="17"/>
  <c r="F154" i="17" s="1"/>
  <c r="F155" i="17" s="1"/>
  <c r="E148" i="17"/>
  <c r="F148" i="17" s="1"/>
  <c r="F149" i="17" s="1"/>
  <c r="H175" i="17"/>
  <c r="H176" i="17" s="1"/>
  <c r="P50" i="5" s="1"/>
  <c r="J160" i="17"/>
  <c r="J161" i="17" s="1"/>
  <c r="L187" i="17"/>
  <c r="L188" i="17" s="1"/>
  <c r="L175" i="17"/>
  <c r="L176" i="17" s="1"/>
  <c r="L154" i="17"/>
  <c r="L155" i="17" s="1"/>
  <c r="D166" i="13"/>
  <c r="D167" i="13" s="1"/>
  <c r="F190" i="13"/>
  <c r="F191" i="13" s="1"/>
  <c r="X27" i="5" s="1"/>
  <c r="F160" i="13"/>
  <c r="F161" i="13" s="1"/>
  <c r="J27" i="5" s="1"/>
  <c r="H190" i="13"/>
  <c r="H191" i="13" s="1"/>
  <c r="H154" i="13"/>
  <c r="H155" i="13" s="1"/>
  <c r="J172" i="13"/>
  <c r="J173" i="13" s="1"/>
  <c r="N30" i="5" s="1"/>
  <c r="J148" i="13"/>
  <c r="J149" i="13" s="1"/>
  <c r="F30" i="5" s="1"/>
  <c r="K190" i="13"/>
  <c r="L190" i="13" s="1"/>
  <c r="L191" i="13" s="1"/>
  <c r="K187" i="13"/>
  <c r="L187" i="13" s="1"/>
  <c r="L188" i="13" s="1"/>
  <c r="K178" i="13"/>
  <c r="L178" i="13" s="1"/>
  <c r="L179" i="13" s="1"/>
  <c r="L175" i="13"/>
  <c r="L176" i="13" s="1"/>
  <c r="K172" i="13"/>
  <c r="L172" i="13" s="1"/>
  <c r="L173" i="13" s="1"/>
  <c r="F154" i="7"/>
  <c r="F160" i="7"/>
  <c r="C96" i="7"/>
  <c r="D96" i="7"/>
  <c r="Z58" i="5" l="1"/>
  <c r="G9" i="21" s="1"/>
  <c r="H9" i="21" s="1"/>
  <c r="AB41" i="5"/>
  <c r="AB56" i="5"/>
  <c r="J34" i="5"/>
  <c r="J33" i="5"/>
  <c r="J32" i="5"/>
  <c r="F53" i="5"/>
  <c r="F48" i="5"/>
  <c r="F44" i="5"/>
  <c r="F43" i="5"/>
  <c r="H53" i="5"/>
  <c r="H48" i="5"/>
  <c r="H44" i="5"/>
  <c r="H43" i="5"/>
  <c r="J53" i="5"/>
  <c r="J48" i="5"/>
  <c r="J44" i="5"/>
  <c r="J43" i="5"/>
  <c r="L53" i="5"/>
  <c r="L48" i="5"/>
  <c r="L44" i="5"/>
  <c r="L43" i="5"/>
  <c r="N53" i="5"/>
  <c r="N48" i="5"/>
  <c r="N44" i="5"/>
  <c r="N43" i="5"/>
  <c r="P53" i="5"/>
  <c r="P48" i="5"/>
  <c r="P44" i="5"/>
  <c r="P43" i="5"/>
  <c r="R53" i="5"/>
  <c r="R48" i="5"/>
  <c r="R44" i="5"/>
  <c r="R43" i="5"/>
  <c r="T53" i="5"/>
  <c r="T48" i="5"/>
  <c r="T44" i="5"/>
  <c r="T43" i="5"/>
  <c r="V53" i="5"/>
  <c r="V48" i="5"/>
  <c r="V44" i="5"/>
  <c r="V43" i="5"/>
  <c r="X53" i="5"/>
  <c r="X48" i="5"/>
  <c r="X44" i="5"/>
  <c r="X43" i="5"/>
  <c r="F52" i="5"/>
  <c r="F49" i="5"/>
  <c r="F47" i="5"/>
  <c r="F45" i="5"/>
  <c r="H52" i="5"/>
  <c r="H49" i="5"/>
  <c r="H47" i="5"/>
  <c r="H45" i="5"/>
  <c r="J52" i="5"/>
  <c r="J49" i="5"/>
  <c r="J47" i="5"/>
  <c r="J45" i="5"/>
  <c r="L52" i="5"/>
  <c r="L49" i="5"/>
  <c r="L47" i="5"/>
  <c r="L45" i="5"/>
  <c r="N52" i="5"/>
  <c r="N49" i="5"/>
  <c r="N47" i="5"/>
  <c r="N45" i="5"/>
  <c r="P52" i="5"/>
  <c r="P49" i="5"/>
  <c r="P47" i="5"/>
  <c r="P45" i="5"/>
  <c r="R52" i="5"/>
  <c r="R49" i="5"/>
  <c r="R47" i="5"/>
  <c r="R45" i="5"/>
  <c r="T52" i="5"/>
  <c r="T49" i="5"/>
  <c r="T47" i="5"/>
  <c r="T45" i="5"/>
  <c r="V52" i="5"/>
  <c r="V49" i="5"/>
  <c r="V47" i="5"/>
  <c r="V45" i="5"/>
  <c r="X52" i="5"/>
  <c r="X49" i="5"/>
  <c r="X47" i="5"/>
  <c r="X45" i="5"/>
  <c r="H50" i="5"/>
  <c r="Y50" i="5" s="1"/>
  <c r="H55" i="5"/>
  <c r="H54" i="5"/>
  <c r="H51" i="5"/>
  <c r="H46" i="5"/>
  <c r="H42" i="5"/>
  <c r="F55" i="5"/>
  <c r="F54" i="5"/>
  <c r="F51" i="5"/>
  <c r="F46" i="5"/>
  <c r="F42" i="5"/>
  <c r="J51" i="5"/>
  <c r="J54" i="5"/>
  <c r="J55" i="5"/>
  <c r="J46" i="5"/>
  <c r="J42" i="5"/>
  <c r="L55" i="5"/>
  <c r="L54" i="5"/>
  <c r="L51" i="5"/>
  <c r="L46" i="5"/>
  <c r="L42" i="5"/>
  <c r="N55" i="5"/>
  <c r="N54" i="5"/>
  <c r="N51" i="5"/>
  <c r="N46" i="5"/>
  <c r="N42" i="5"/>
  <c r="P55" i="5"/>
  <c r="P54" i="5"/>
  <c r="P51" i="5"/>
  <c r="P46" i="5"/>
  <c r="P42" i="5"/>
  <c r="R55" i="5"/>
  <c r="R54" i="5"/>
  <c r="R51" i="5"/>
  <c r="R46" i="5"/>
  <c r="R42" i="5"/>
  <c r="T55" i="5"/>
  <c r="T54" i="5"/>
  <c r="T51" i="5"/>
  <c r="T46" i="5"/>
  <c r="T42" i="5"/>
  <c r="V55" i="5"/>
  <c r="V54" i="5"/>
  <c r="V51" i="5"/>
  <c r="V46" i="5"/>
  <c r="V42" i="5"/>
  <c r="X55" i="5"/>
  <c r="X54" i="5"/>
  <c r="X51" i="5"/>
  <c r="X46" i="5"/>
  <c r="X42" i="5"/>
  <c r="F26" i="5"/>
  <c r="F28" i="5"/>
  <c r="F29" i="5"/>
  <c r="F31" i="5"/>
  <c r="F35" i="5"/>
  <c r="F36" i="5"/>
  <c r="F37" i="5"/>
  <c r="F38" i="5"/>
  <c r="F39" i="5"/>
  <c r="F40" i="5"/>
  <c r="H26" i="5"/>
  <c r="H28" i="5"/>
  <c r="H29" i="5"/>
  <c r="H31" i="5"/>
  <c r="H35" i="5"/>
  <c r="H36" i="5"/>
  <c r="H37" i="5"/>
  <c r="H38" i="5"/>
  <c r="H39" i="5"/>
  <c r="H40" i="5"/>
  <c r="J26" i="5"/>
  <c r="J28" i="5"/>
  <c r="J29" i="5"/>
  <c r="J31" i="5"/>
  <c r="J35" i="5"/>
  <c r="J36" i="5"/>
  <c r="J37" i="5"/>
  <c r="J38" i="5"/>
  <c r="J39" i="5"/>
  <c r="J40" i="5"/>
  <c r="L26" i="5"/>
  <c r="L28" i="5"/>
  <c r="L29" i="5"/>
  <c r="L31" i="5"/>
  <c r="L35" i="5"/>
  <c r="L36" i="5"/>
  <c r="L37" i="5"/>
  <c r="L38" i="5"/>
  <c r="L39" i="5"/>
  <c r="L40" i="5"/>
  <c r="N26" i="5"/>
  <c r="N28" i="5"/>
  <c r="N29" i="5"/>
  <c r="N31" i="5"/>
  <c r="N35" i="5"/>
  <c r="N36" i="5"/>
  <c r="N37" i="5"/>
  <c r="N38" i="5"/>
  <c r="N39" i="5"/>
  <c r="N40" i="5"/>
  <c r="P26" i="5"/>
  <c r="P28" i="5"/>
  <c r="P29" i="5"/>
  <c r="P31" i="5"/>
  <c r="P35" i="5"/>
  <c r="P36" i="5"/>
  <c r="P37" i="5"/>
  <c r="P38" i="5"/>
  <c r="P39" i="5"/>
  <c r="P40" i="5"/>
  <c r="R26" i="5"/>
  <c r="R28" i="5"/>
  <c r="R29" i="5"/>
  <c r="R31" i="5"/>
  <c r="R35" i="5"/>
  <c r="R36" i="5"/>
  <c r="R37" i="5"/>
  <c r="R38" i="5"/>
  <c r="R39" i="5"/>
  <c r="R40" i="5"/>
  <c r="V26" i="5"/>
  <c r="V28" i="5"/>
  <c r="V29" i="5"/>
  <c r="V31" i="5"/>
  <c r="V35" i="5"/>
  <c r="V36" i="5"/>
  <c r="V37" i="5"/>
  <c r="V38" i="5"/>
  <c r="V39" i="5"/>
  <c r="V40" i="5"/>
  <c r="X26" i="5"/>
  <c r="X28" i="5"/>
  <c r="X29" i="5"/>
  <c r="X31" i="5"/>
  <c r="X35" i="5"/>
  <c r="X36" i="5"/>
  <c r="X37" i="5"/>
  <c r="X38" i="5"/>
  <c r="X39" i="5"/>
  <c r="X40" i="5"/>
  <c r="J30" i="5"/>
  <c r="F32" i="5"/>
  <c r="F33" i="5"/>
  <c r="F34" i="5"/>
  <c r="H32" i="5"/>
  <c r="H33" i="5"/>
  <c r="H34" i="5"/>
  <c r="L32" i="5"/>
  <c r="L33" i="5"/>
  <c r="L34" i="5"/>
  <c r="N32" i="5"/>
  <c r="N33" i="5"/>
  <c r="N34" i="5"/>
  <c r="P32" i="5"/>
  <c r="P33" i="5"/>
  <c r="P34" i="5"/>
  <c r="R32" i="5"/>
  <c r="R33" i="5"/>
  <c r="R34" i="5"/>
  <c r="V32" i="5"/>
  <c r="V33" i="5"/>
  <c r="V34" i="5"/>
  <c r="X32" i="5"/>
  <c r="X33" i="5"/>
  <c r="X34" i="5"/>
  <c r="AB25" i="5"/>
  <c r="AB58" i="5" s="1"/>
  <c r="G11" i="21" s="1"/>
  <c r="H11" i="21" s="1"/>
  <c r="AA41" i="5"/>
  <c r="D111" i="7"/>
  <c r="D110" i="7"/>
  <c r="D109" i="7"/>
  <c r="D116" i="7" s="1"/>
  <c r="D133" i="7" s="1"/>
  <c r="D138" i="7" s="1"/>
  <c r="D108" i="7"/>
  <c r="D107" i="7"/>
  <c r="D106" i="7"/>
  <c r="D115" i="7" s="1"/>
  <c r="D132" i="7" s="1"/>
  <c r="D137" i="7" s="1"/>
  <c r="D105" i="7"/>
  <c r="D104" i="7"/>
  <c r="D103" i="7"/>
  <c r="D114" i="7" s="1"/>
  <c r="D131" i="7" s="1"/>
  <c r="D136" i="7" s="1"/>
  <c r="D102" i="7"/>
  <c r="D101" i="7"/>
  <c r="D100" i="7"/>
  <c r="D113" i="7" s="1"/>
  <c r="D130" i="7" s="1"/>
  <c r="D135" i="7" s="1"/>
  <c r="D99" i="7"/>
  <c r="D98" i="7"/>
  <c r="D97" i="7"/>
  <c r="D112" i="7" s="1"/>
  <c r="D129" i="7" s="1"/>
  <c r="D134" i="7" s="1"/>
  <c r="C111" i="7"/>
  <c r="C110" i="7"/>
  <c r="C109" i="7"/>
  <c r="C116" i="7" s="1"/>
  <c r="C133" i="7" s="1"/>
  <c r="C138" i="7" s="1"/>
  <c r="K186" i="7" s="1"/>
  <c r="L186" i="7" s="1"/>
  <c r="C108" i="7"/>
  <c r="C107" i="7"/>
  <c r="C106" i="7"/>
  <c r="C115" i="7" s="1"/>
  <c r="C132" i="7" s="1"/>
  <c r="C137" i="7" s="1"/>
  <c r="I177" i="7" s="1"/>
  <c r="J177" i="7" s="1"/>
  <c r="C105" i="7"/>
  <c r="C104" i="7"/>
  <c r="C103" i="7"/>
  <c r="C114" i="7" s="1"/>
  <c r="C131" i="7" s="1"/>
  <c r="C136" i="7" s="1"/>
  <c r="G186" i="7" s="1"/>
  <c r="H186" i="7" s="1"/>
  <c r="C102" i="7"/>
  <c r="C101" i="7"/>
  <c r="C100" i="7"/>
  <c r="C113" i="7" s="1"/>
  <c r="C130" i="7" s="1"/>
  <c r="C135" i="7" s="1"/>
  <c r="E165" i="7" s="1"/>
  <c r="C99" i="7"/>
  <c r="C98" i="7"/>
  <c r="C97" i="7"/>
  <c r="C112" i="7" s="1"/>
  <c r="C129" i="7" s="1"/>
  <c r="C134" i="7" s="1"/>
  <c r="C186" i="7" s="1"/>
  <c r="D186" i="7" s="1"/>
  <c r="D184" i="7"/>
  <c r="D190" i="7"/>
  <c r="D187" i="7"/>
  <c r="D172" i="7"/>
  <c r="D160" i="7"/>
  <c r="H184" i="7"/>
  <c r="H190" i="7"/>
  <c r="G187" i="7"/>
  <c r="H187" i="7" s="1"/>
  <c r="G178" i="7"/>
  <c r="H178" i="7" s="1"/>
  <c r="G175" i="7"/>
  <c r="H175" i="7" s="1"/>
  <c r="G172" i="7"/>
  <c r="H172" i="7" s="1"/>
  <c r="G166" i="7"/>
  <c r="H166" i="7" s="1"/>
  <c r="H160" i="7"/>
  <c r="J184" i="7"/>
  <c r="J190" i="7"/>
  <c r="J187" i="7"/>
  <c r="J178" i="7"/>
  <c r="J175" i="7"/>
  <c r="J172" i="7"/>
  <c r="J160" i="7"/>
  <c r="L184" i="7"/>
  <c r="L190" i="7"/>
  <c r="L187" i="7"/>
  <c r="L178" i="7"/>
  <c r="L175" i="7"/>
  <c r="L172" i="7"/>
  <c r="L166" i="7"/>
  <c r="L160" i="7"/>
  <c r="D183" i="7"/>
  <c r="H183" i="7"/>
  <c r="J183" i="7"/>
  <c r="L183" i="7"/>
  <c r="D154" i="7"/>
  <c r="G154" i="7"/>
  <c r="H154" i="7" s="1"/>
  <c r="H148" i="7"/>
  <c r="J154" i="7"/>
  <c r="J148" i="7"/>
  <c r="L154" i="7"/>
  <c r="L148" i="7"/>
  <c r="I189" i="7" l="1"/>
  <c r="J189" i="7" s="1"/>
  <c r="I165" i="7"/>
  <c r="J165" i="7" s="1"/>
  <c r="C143" i="7"/>
  <c r="AA22" i="5" s="1"/>
  <c r="I147" i="7"/>
  <c r="J147" i="7" s="1"/>
  <c r="J149" i="7" s="1"/>
  <c r="I171" i="7"/>
  <c r="J171" i="7" s="1"/>
  <c r="I153" i="7"/>
  <c r="J153" i="7" s="1"/>
  <c r="J155" i="7" s="1"/>
  <c r="K177" i="7"/>
  <c r="L177" i="7" s="1"/>
  <c r="I186" i="7"/>
  <c r="J186" i="7" s="1"/>
  <c r="H188" i="7"/>
  <c r="V20" i="5" s="1"/>
  <c r="K147" i="7"/>
  <c r="L147" i="7" s="1"/>
  <c r="L149" i="7" s="1"/>
  <c r="F22" i="5" s="1"/>
  <c r="K189" i="7"/>
  <c r="L189" i="7" s="1"/>
  <c r="C171" i="7"/>
  <c r="D171" i="7" s="1"/>
  <c r="K153" i="7"/>
  <c r="L153" i="7" s="1"/>
  <c r="L155" i="7" s="1"/>
  <c r="H22" i="5" s="1"/>
  <c r="C153" i="7"/>
  <c r="D153" i="7" s="1"/>
  <c r="D155" i="7" s="1"/>
  <c r="K159" i="7"/>
  <c r="L159" i="7" s="1"/>
  <c r="I174" i="7"/>
  <c r="J174" i="7" s="1"/>
  <c r="C189" i="7"/>
  <c r="D189" i="7" s="1"/>
  <c r="C142" i="7"/>
  <c r="AA9" i="5" s="1"/>
  <c r="K171" i="7"/>
  <c r="L171" i="7" s="1"/>
  <c r="I159" i="7"/>
  <c r="J159" i="7" s="1"/>
  <c r="J161" i="7" s="1"/>
  <c r="G189" i="7"/>
  <c r="H189" i="7" s="1"/>
  <c r="G147" i="7"/>
  <c r="H147" i="7" s="1"/>
  <c r="C147" i="7"/>
  <c r="K174" i="7"/>
  <c r="L174" i="7" s="1"/>
  <c r="G171" i="7"/>
  <c r="H171" i="7" s="1"/>
  <c r="C174" i="7"/>
  <c r="D174" i="7" s="1"/>
  <c r="G153" i="7"/>
  <c r="H153" i="7" s="1"/>
  <c r="H155" i="7" s="1"/>
  <c r="G159" i="7"/>
  <c r="H159" i="7" s="1"/>
  <c r="H161" i="7" s="1"/>
  <c r="G174" i="7"/>
  <c r="H174" i="7" s="1"/>
  <c r="C140" i="7"/>
  <c r="G177" i="7"/>
  <c r="H177" i="7" s="1"/>
  <c r="C159" i="7"/>
  <c r="D159" i="7" s="1"/>
  <c r="D161" i="7" s="1"/>
  <c r="C177" i="7"/>
  <c r="D177" i="7" s="1"/>
  <c r="C141" i="7"/>
  <c r="AA10" i="5" s="1"/>
  <c r="C139" i="7"/>
  <c r="AA24" i="5" s="1"/>
  <c r="K165" i="7"/>
  <c r="L165" i="7" s="1"/>
  <c r="L167" i="7" s="1"/>
  <c r="L22" i="5" s="1"/>
  <c r="G165" i="7"/>
  <c r="H165" i="7" s="1"/>
  <c r="H167" i="7" s="1"/>
  <c r="C165" i="7"/>
  <c r="D165" i="7" s="1"/>
  <c r="F165" i="7"/>
  <c r="F167" i="7" s="1"/>
  <c r="Y46" i="5"/>
  <c r="Y51" i="5"/>
  <c r="Y54" i="5"/>
  <c r="Y55" i="5"/>
  <c r="Y45" i="5"/>
  <c r="Y47" i="5"/>
  <c r="Y49" i="5"/>
  <c r="Y52" i="5"/>
  <c r="Y43" i="5"/>
  <c r="Y44" i="5"/>
  <c r="Y48" i="5"/>
  <c r="Y53" i="5"/>
  <c r="AA20" i="5"/>
  <c r="V21" i="5"/>
  <c r="D175" i="7"/>
  <c r="D178" i="7"/>
  <c r="AA56" i="5"/>
  <c r="E41" i="5"/>
  <c r="E147" i="7"/>
  <c r="F147" i="7" s="1"/>
  <c r="F149" i="7" s="1"/>
  <c r="E153" i="7"/>
  <c r="F153" i="7" s="1"/>
  <c r="F155" i="7" s="1"/>
  <c r="E159" i="7"/>
  <c r="F159" i="7" s="1"/>
  <c r="F161" i="7" s="1"/>
  <c r="E171" i="7"/>
  <c r="F171" i="7" s="1"/>
  <c r="F173" i="7" s="1"/>
  <c r="E174" i="7"/>
  <c r="F174" i="7" s="1"/>
  <c r="F176" i="7" s="1"/>
  <c r="E177" i="7"/>
  <c r="F177" i="7" s="1"/>
  <c r="F179" i="7" s="1"/>
  <c r="F183" i="7"/>
  <c r="E186" i="7"/>
  <c r="F186" i="7" s="1"/>
  <c r="F188" i="7" s="1"/>
  <c r="E189" i="7"/>
  <c r="F189" i="7" s="1"/>
  <c r="H149" i="7"/>
  <c r="L161" i="7"/>
  <c r="J22" i="5" s="1"/>
  <c r="D147" i="7"/>
  <c r="D166" i="7"/>
  <c r="D148" i="7"/>
  <c r="V11" i="5" l="1"/>
  <c r="V17" i="5"/>
  <c r="AA12" i="5"/>
  <c r="AA7" i="5"/>
  <c r="AA15" i="5"/>
  <c r="AA16" i="5"/>
  <c r="AA8" i="5"/>
  <c r="V6" i="5"/>
  <c r="V13" i="5"/>
  <c r="V18" i="5"/>
  <c r="V23" i="5"/>
  <c r="V8" i="5"/>
  <c r="V14" i="5"/>
  <c r="V19" i="5"/>
  <c r="V10" i="5"/>
  <c r="V16" i="5"/>
  <c r="AA11" i="5"/>
  <c r="AA17" i="5"/>
  <c r="AA21" i="5"/>
  <c r="AA13" i="5"/>
  <c r="AA18" i="5"/>
  <c r="AA23" i="5"/>
  <c r="D167" i="7"/>
  <c r="L24" i="5" s="1"/>
  <c r="AA6" i="5"/>
  <c r="AA14" i="5"/>
  <c r="AA19" i="5"/>
  <c r="J24" i="5"/>
  <c r="J12" i="5"/>
  <c r="L23" i="5"/>
  <c r="L21" i="5"/>
  <c r="L20" i="5"/>
  <c r="L19" i="5"/>
  <c r="L18" i="5"/>
  <c r="L17" i="5"/>
  <c r="L16" i="5"/>
  <c r="L14" i="5"/>
  <c r="L13" i="5"/>
  <c r="L11" i="5"/>
  <c r="L10" i="5"/>
  <c r="L8" i="5"/>
  <c r="L6" i="5"/>
  <c r="H24" i="5"/>
  <c r="H12" i="5"/>
  <c r="H23" i="5"/>
  <c r="H21" i="5"/>
  <c r="H20" i="5"/>
  <c r="H19" i="5"/>
  <c r="H18" i="5"/>
  <c r="H17" i="5"/>
  <c r="H16" i="5"/>
  <c r="H14" i="5"/>
  <c r="H13" i="5"/>
  <c r="H11" i="5"/>
  <c r="H10" i="5"/>
  <c r="H8" i="5"/>
  <c r="H6" i="5"/>
  <c r="F23" i="5"/>
  <c r="F21" i="5"/>
  <c r="F20" i="5"/>
  <c r="F19" i="5"/>
  <c r="F18" i="5"/>
  <c r="F17" i="5"/>
  <c r="F16" i="5"/>
  <c r="F14" i="5"/>
  <c r="F13" i="5"/>
  <c r="F11" i="5"/>
  <c r="F10" i="5"/>
  <c r="F8" i="5"/>
  <c r="F6" i="5"/>
  <c r="H9" i="5"/>
  <c r="H15" i="5"/>
  <c r="H7" i="5"/>
  <c r="F15" i="5"/>
  <c r="F9" i="5"/>
  <c r="F7" i="5"/>
  <c r="J23" i="5"/>
  <c r="J21" i="5"/>
  <c r="J20" i="5"/>
  <c r="J19" i="5"/>
  <c r="J18" i="5"/>
  <c r="J17" i="5"/>
  <c r="J16" i="5"/>
  <c r="J14" i="5"/>
  <c r="J13" i="5"/>
  <c r="J11" i="5"/>
  <c r="J10" i="5"/>
  <c r="J8" i="5"/>
  <c r="J6" i="5"/>
  <c r="J15" i="5"/>
  <c r="J9" i="5"/>
  <c r="J7" i="5"/>
  <c r="F191" i="7"/>
  <c r="F185" i="7"/>
  <c r="Y42" i="5"/>
  <c r="Y56" i="5" s="1"/>
  <c r="D185" i="7"/>
  <c r="D191" i="7"/>
  <c r="D188" i="7"/>
  <c r="D179" i="7"/>
  <c r="D176" i="7"/>
  <c r="D173" i="7"/>
  <c r="D149" i="7"/>
  <c r="J166" i="7"/>
  <c r="J167" i="7" s="1"/>
  <c r="AA25" i="5" l="1"/>
  <c r="AA58" i="5" s="1"/>
  <c r="G10" i="21" s="1"/>
  <c r="H10" i="21" s="1"/>
  <c r="L12" i="5"/>
  <c r="X24" i="5"/>
  <c r="X12" i="5"/>
  <c r="L15" i="5"/>
  <c r="L9" i="5"/>
  <c r="L7" i="5"/>
  <c r="F24" i="5"/>
  <c r="F12" i="5"/>
  <c r="N24" i="5"/>
  <c r="N12" i="5"/>
  <c r="P24" i="5"/>
  <c r="P12" i="5"/>
  <c r="R24" i="5"/>
  <c r="R12" i="5"/>
  <c r="V24" i="5"/>
  <c r="V12" i="5"/>
  <c r="T24" i="5"/>
  <c r="T12" i="5"/>
  <c r="H185" i="7"/>
  <c r="H191" i="7"/>
  <c r="H179" i="7"/>
  <c r="H176" i="7"/>
  <c r="H173" i="7"/>
  <c r="X6" i="5" l="1"/>
  <c r="X8" i="5"/>
  <c r="X10" i="5"/>
  <c r="X11" i="5"/>
  <c r="X13" i="5"/>
  <c r="X14" i="5"/>
  <c r="X16" i="5"/>
  <c r="X17" i="5"/>
  <c r="X18" i="5"/>
  <c r="X19" i="5"/>
  <c r="X20" i="5"/>
  <c r="X21" i="5"/>
  <c r="X23" i="5"/>
  <c r="N10" i="5"/>
  <c r="N23" i="5"/>
  <c r="N21" i="5"/>
  <c r="N20" i="5"/>
  <c r="N19" i="5"/>
  <c r="N18" i="5"/>
  <c r="N17" i="5"/>
  <c r="N16" i="5"/>
  <c r="N14" i="5"/>
  <c r="N13" i="5"/>
  <c r="N11" i="5"/>
  <c r="N8" i="5"/>
  <c r="N6" i="5"/>
  <c r="P23" i="5"/>
  <c r="P21" i="5"/>
  <c r="P20" i="5"/>
  <c r="P19" i="5"/>
  <c r="P18" i="5"/>
  <c r="P17" i="5"/>
  <c r="P16" i="5"/>
  <c r="P14" i="5"/>
  <c r="P13" i="5"/>
  <c r="P11" i="5"/>
  <c r="P10" i="5"/>
  <c r="P8" i="5"/>
  <c r="P6" i="5"/>
  <c r="R23" i="5"/>
  <c r="R21" i="5"/>
  <c r="R20" i="5"/>
  <c r="R19" i="5"/>
  <c r="R18" i="5"/>
  <c r="R17" i="5"/>
  <c r="R16" i="5"/>
  <c r="R14" i="5"/>
  <c r="R13" i="5"/>
  <c r="R11" i="5"/>
  <c r="R10" i="5"/>
  <c r="R8" i="5"/>
  <c r="R6" i="5"/>
  <c r="T23" i="5"/>
  <c r="T21" i="5"/>
  <c r="T20" i="5"/>
  <c r="T19" i="5"/>
  <c r="T18" i="5"/>
  <c r="T17" i="5"/>
  <c r="T16" i="5"/>
  <c r="T14" i="5"/>
  <c r="T13" i="5"/>
  <c r="T11" i="5"/>
  <c r="T10" i="5"/>
  <c r="T8" i="5"/>
  <c r="T6" i="5"/>
  <c r="Y12" i="5"/>
  <c r="Y24" i="5"/>
  <c r="J185" i="7"/>
  <c r="L185" i="7"/>
  <c r="T22" i="5" s="1"/>
  <c r="J191" i="7"/>
  <c r="L191" i="7"/>
  <c r="X22" i="5" s="1"/>
  <c r="J188" i="7"/>
  <c r="L188" i="7"/>
  <c r="V22" i="5" s="1"/>
  <c r="J179" i="7"/>
  <c r="L179" i="7"/>
  <c r="R22" i="5" s="1"/>
  <c r="J176" i="7"/>
  <c r="L176" i="7"/>
  <c r="P22" i="5" s="1"/>
  <c r="J173" i="7"/>
  <c r="L173" i="7"/>
  <c r="N22" i="5" s="1"/>
  <c r="Y6" i="5" l="1"/>
  <c r="Y22" i="5"/>
  <c r="X7" i="5"/>
  <c r="X9" i="5"/>
  <c r="X15" i="5"/>
  <c r="N15" i="5"/>
  <c r="N9" i="5"/>
  <c r="N7" i="5"/>
  <c r="P15" i="5"/>
  <c r="P9" i="5"/>
  <c r="P7" i="5"/>
  <c r="R15" i="5"/>
  <c r="R9" i="5"/>
  <c r="R7" i="5"/>
  <c r="V15" i="5"/>
  <c r="V9" i="5"/>
  <c r="V7" i="5"/>
  <c r="T15" i="5"/>
  <c r="T9" i="5"/>
  <c r="T7" i="5"/>
  <c r="Y8" i="5"/>
  <c r="Y11" i="5"/>
  <c r="Y13" i="5"/>
  <c r="Y14" i="5"/>
  <c r="Y16" i="5"/>
  <c r="Y17" i="5"/>
  <c r="Y18" i="5"/>
  <c r="Y19" i="5"/>
  <c r="Y20" i="5"/>
  <c r="Y21" i="5"/>
  <c r="Y23" i="5"/>
  <c r="Y10" i="5"/>
  <c r="Y7" i="5" l="1"/>
  <c r="Y9" i="5"/>
  <c r="Y15" i="5"/>
  <c r="Y25" i="5" l="1"/>
  <c r="F91" i="13"/>
  <c r="F95" i="13" l="1"/>
  <c r="F127" i="13"/>
  <c r="F128" i="13" s="1"/>
  <c r="F96" i="13" l="1"/>
  <c r="F97" i="13" s="1"/>
  <c r="F108" i="13" l="1"/>
  <c r="F104" i="13"/>
  <c r="F100" i="13"/>
  <c r="F107" i="13"/>
  <c r="F103" i="13"/>
  <c r="F99" i="13"/>
  <c r="F106" i="13"/>
  <c r="F115" i="13" s="1"/>
  <c r="F132" i="13" s="1"/>
  <c r="F137" i="13" s="1"/>
  <c r="I183" i="13" s="1"/>
  <c r="J183" i="13" s="1"/>
  <c r="J185" i="13" s="1"/>
  <c r="T30" i="5" s="1"/>
  <c r="Y30" i="5" s="1"/>
  <c r="F102" i="13"/>
  <c r="F98" i="13"/>
  <c r="F105" i="13"/>
  <c r="F101" i="13"/>
  <c r="F109" i="13"/>
  <c r="F116" i="13" s="1"/>
  <c r="F133" i="13" s="1"/>
  <c r="F138" i="13" s="1"/>
  <c r="K183" i="13" s="1"/>
  <c r="L183" i="13" s="1"/>
  <c r="L185" i="13" s="1"/>
  <c r="F110" i="13"/>
  <c r="F111" i="13"/>
  <c r="F112" i="13"/>
  <c r="F129" i="13" s="1"/>
  <c r="F134" i="13" s="1"/>
  <c r="C183" i="13" s="1"/>
  <c r="D183" i="13" s="1"/>
  <c r="D185" i="13" s="1"/>
  <c r="F113" i="13"/>
  <c r="F130" i="13" s="1"/>
  <c r="F135" i="13" s="1"/>
  <c r="E183" i="13" s="1"/>
  <c r="F183" i="13" s="1"/>
  <c r="F185" i="13" s="1"/>
  <c r="T27" i="5" s="1"/>
  <c r="Y27" i="5" s="1"/>
  <c r="F114" i="13"/>
  <c r="F131" i="13" s="1"/>
  <c r="F136" i="13" s="1"/>
  <c r="G183" i="13" s="1"/>
  <c r="H183" i="13" s="1"/>
  <c r="H185" i="13" s="1"/>
  <c r="T26" i="5" l="1"/>
  <c r="T28" i="5"/>
  <c r="Y28" i="5" s="1"/>
  <c r="T29" i="5"/>
  <c r="Y29" i="5" s="1"/>
  <c r="T31" i="5"/>
  <c r="Y31" i="5" s="1"/>
  <c r="T35" i="5"/>
  <c r="Y35" i="5" s="1"/>
  <c r="T36" i="5"/>
  <c r="Y36" i="5" s="1"/>
  <c r="T37" i="5"/>
  <c r="Y37" i="5" s="1"/>
  <c r="T38" i="5"/>
  <c r="Y38" i="5" s="1"/>
  <c r="T39" i="5"/>
  <c r="Y39" i="5" s="1"/>
  <c r="T40" i="5"/>
  <c r="Y40" i="5" s="1"/>
  <c r="T32" i="5"/>
  <c r="Y32" i="5" s="1"/>
  <c r="T33" i="5"/>
  <c r="Y33" i="5" s="1"/>
  <c r="T34" i="5"/>
  <c r="Y34" i="5" s="1"/>
  <c r="Y26" i="5" l="1"/>
  <c r="Y41" i="5" s="1"/>
  <c r="Y58" i="5" s="1"/>
  <c r="G8" i="21" s="1"/>
  <c r="H8" i="21" l="1"/>
  <c r="H13" i="21" s="1"/>
  <c r="G13" i="21"/>
  <c r="AC60" i="5"/>
  <c r="AC61" i="5" s="1"/>
</calcChain>
</file>

<file path=xl/sharedStrings.xml><?xml version="1.0" encoding="utf-8"?>
<sst xmlns="http://schemas.openxmlformats.org/spreadsheetml/2006/main" count="2567" uniqueCount="645">
  <si>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</si>
  <si>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</si>
  <si>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</si>
  <si>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</si>
  <si>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</si>
  <si>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</si>
  <si>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</si>
  <si>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</si>
  <si>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</si>
  <si>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 xml:space="preserve">Valor da diária do carregador </t>
  </si>
  <si>
    <t>Valor baseado em Pesquisa de Preços anexa ao Processo</t>
  </si>
  <si>
    <t>Carga horária semanal</t>
  </si>
  <si>
    <t>Salário Base (Cl. 3ª 01)</t>
  </si>
  <si>
    <t>Encarregado acima de 20 empregados (Cl. 3ª 03 c)</t>
  </si>
  <si>
    <t>Adicional de risco limpeza de vidros e fachadas de risco ( Cl.11º)</t>
  </si>
  <si>
    <t>módulo 2</t>
  </si>
  <si>
    <t>Módulo 2.3</t>
  </si>
  <si>
    <t>custo empregado</t>
  </si>
  <si>
    <t>custo da empresa</t>
  </si>
  <si>
    <t>Auxílio alimentação 44h  ( Cl.13ª)</t>
  </si>
  <si>
    <t>Auxílio alimentação 30h  ( Cl.13ª)</t>
  </si>
  <si>
    <t>Auxílio transporte  ( Cl.14ª)</t>
  </si>
  <si>
    <t>Prêmio Assiduidade  ( Cl.)</t>
  </si>
  <si>
    <t>Assistência ao Trabalhador  ( Cl.)</t>
  </si>
  <si>
    <t>Ajuda de Custo  limpeza de vidros e fachadas de risco  ( Cl.12º)</t>
  </si>
  <si>
    <t>Benefício assistência médica  ( Cl.15ª)</t>
  </si>
  <si>
    <t>Benefício social familiar  ( Cl.16ª)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</si>
  <si>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</si>
  <si>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</si>
  <si>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</si>
  <si>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</si>
  <si>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</si>
  <si>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</si>
  <si>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</si>
  <si>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</si>
  <si>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</si>
  <si>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</si>
  <si>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</si>
  <si>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</si>
  <si>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</si>
  <si>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</si>
  <si>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</si>
  <si>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</si>
  <si>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</si>
  <si>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</si>
  <si>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</si>
  <si>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2019 - Paraná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</si>
  <si>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</si>
  <si>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</si>
  <si>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</si>
  <si>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</si>
  <si>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</si>
  <si>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</si>
  <si>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</si>
  <si>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</si>
  <si>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</si>
  <si>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 xml:space="preserve">*Expectativa anual de nascimento de filhos dos trabalhadores (IBGE – Manual de Preenchimento da Planilha de Custos): </t>
  </si>
  <si>
    <t>**Percentual de Homens: Limpeza 51,67%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</si>
  <si>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</si>
  <si>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</si>
  <si>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</si>
  <si>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</si>
  <si>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</si>
  <si>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</si>
  <si>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 xml:space="preserve">*Percentual de Mulheres Limpeza 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</si>
  <si>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</si>
  <si>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</si>
  <si>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</si>
  <si>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</si>
  <si>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</si>
  <si>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Cascavel/PR</t>
  </si>
  <si>
    <t>ISS</t>
  </si>
  <si>
    <t>VT</t>
  </si>
  <si>
    <t>Serventes</t>
  </si>
  <si>
    <t>VT*Servente</t>
  </si>
  <si>
    <t>Unidade Orgânica GEX Londrina/PR</t>
  </si>
  <si>
    <t>GERÊNCIA EXECUTIVA CASCAVEL</t>
  </si>
  <si>
    <t>GERÊNCIA EXECUTIVA LONDRINA</t>
  </si>
  <si>
    <t>APS ASSIS CHATEAUBRIAND</t>
  </si>
  <si>
    <t>APS APUCARANA</t>
  </si>
  <si>
    <t>APS CASCAVEL</t>
  </si>
  <si>
    <t>APS CORNÉLIO PROCÓPIO</t>
  </si>
  <si>
    <t xml:space="preserve"> APS FOZ DO IGUAÇU </t>
  </si>
  <si>
    <t>APS ARAPONGAS</t>
  </si>
  <si>
    <t>APS FRANCISCO BELTRÃO</t>
  </si>
  <si>
    <t>APS IVAIPORÃ</t>
  </si>
  <si>
    <t>-</t>
  </si>
  <si>
    <t>APS MEDIANEIRA</t>
  </si>
  <si>
    <t>APS JACAREZINHO</t>
  </si>
  <si>
    <t>APS PATO BRANCO</t>
  </si>
  <si>
    <t>APS ANDIRÁ</t>
  </si>
  <si>
    <t>APS REALEZA</t>
  </si>
  <si>
    <t>CAMBARÁ</t>
  </si>
  <si>
    <t>APS TOLEDO</t>
  </si>
  <si>
    <t>SANTO ANTÔNIO DA PLATINA</t>
  </si>
  <si>
    <t>APS GUAÍRA</t>
  </si>
  <si>
    <t>APS LONDRINA - CENTRO</t>
  </si>
  <si>
    <t>APS MANGUEIRINHA</t>
  </si>
  <si>
    <t>APS LONDRINA - SHANGRILÁ</t>
  </si>
  <si>
    <t xml:space="preserve">APS MARECHAL CÂNDIDO RONDON </t>
  </si>
  <si>
    <t>APS ROLÂNDIA</t>
  </si>
  <si>
    <t>APS PALMAS</t>
  </si>
  <si>
    <t>APS BANDEIRANTES/PR</t>
  </si>
  <si>
    <t>APS SANTO ANTONIO DO SUDOESTE</t>
  </si>
  <si>
    <t>APS CAMBÉ</t>
  </si>
  <si>
    <t xml:space="preserve"> APS DOIS VIZINHOS</t>
  </si>
  <si>
    <t>LONDRINA ADJ</t>
  </si>
  <si>
    <t>APS PALOTINA</t>
  </si>
  <si>
    <t>Média Simples VT</t>
  </si>
  <si>
    <t xml:space="preserve">APS CORONEL VIVIDA </t>
  </si>
  <si>
    <t>Média Ponderada VT</t>
  </si>
  <si>
    <t>APS SÃO MIGUEL DO IGUAÇU</t>
  </si>
  <si>
    <t>APS QUEDAS DO IGUAÇU</t>
  </si>
  <si>
    <t>Unidade Orgânica GEX Maringá/PR</t>
  </si>
  <si>
    <t>GERÊNCIA E APS MARINGÁ</t>
  </si>
  <si>
    <t>APS CAMPO MOURÃO</t>
  </si>
  <si>
    <t>APS CIANORTE</t>
  </si>
  <si>
    <t>APS GOIOERÊ</t>
  </si>
  <si>
    <t>APS LOANDA</t>
  </si>
  <si>
    <t>APS PARANAVAÍ</t>
  </si>
  <si>
    <t>APS UMUARAMA</t>
  </si>
  <si>
    <t>APS COLORADO</t>
  </si>
  <si>
    <t>APS PAIÇANDU</t>
  </si>
  <si>
    <t>APS ASTORGA</t>
  </si>
  <si>
    <t>APS CRUZEIRO DO OESTE</t>
  </si>
  <si>
    <t>APS NOVA ESPERANÇA</t>
  </si>
  <si>
    <t>APS MANDAGUARI</t>
  </si>
  <si>
    <t>CEDOC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</si>
  <si>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</si>
  <si>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</si>
  <si>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</si>
  <si>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</si>
  <si>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</si>
  <si>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</si>
  <si>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</si>
  <si>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</si>
  <si>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</si>
  <si>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</si>
  <si>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</si>
  <si>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</si>
  <si>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</si>
  <si>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</si>
  <si>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</si>
  <si>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</si>
  <si>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</si>
  <si>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</si>
  <si>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</si>
  <si>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</si>
  <si>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</si>
  <si>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</si>
  <si>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</si>
  <si>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</si>
  <si>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</si>
  <si>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</si>
  <si>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</si>
  <si>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</si>
  <si>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</si>
  <si>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</si>
  <si>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</si>
  <si>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</si>
  <si>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</si>
  <si>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</si>
  <si>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</si>
  <si>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</si>
  <si>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</si>
  <si>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</si>
  <si>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</si>
  <si>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</si>
  <si>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</si>
  <si>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</si>
  <si>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</si>
  <si>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</si>
  <si>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</si>
  <si>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</si>
  <si>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</si>
  <si>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</si>
  <si>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</si>
  <si>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</si>
  <si>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</si>
  <si>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</si>
  <si>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</si>
  <si>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</si>
  <si>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</si>
  <si>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</si>
  <si>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</si>
  <si>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</si>
  <si>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</si>
  <si>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</si>
  <si>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</si>
  <si>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</si>
  <si>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</si>
  <si>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</si>
  <si>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</si>
  <si>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</si>
  <si>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</si>
  <si>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</si>
  <si>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</si>
  <si>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</si>
  <si>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</si>
  <si>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</si>
  <si>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</si>
  <si>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</si>
  <si>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</si>
  <si>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</si>
  <si>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</si>
  <si>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</si>
  <si>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</si>
  <si>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</si>
  <si>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</si>
  <si>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</si>
  <si>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</si>
  <si>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</si>
  <si>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</si>
  <si>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</si>
  <si>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</si>
  <si>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</si>
  <si>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</si>
  <si>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</si>
  <si>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</si>
  <si>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</si>
  <si>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</si>
  <si>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</si>
  <si>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</si>
  <si>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</si>
  <si>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</si>
  <si>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</si>
  <si>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</si>
  <si>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</si>
  <si>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</si>
  <si>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</si>
  <si>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</si>
  <si>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</si>
  <si>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</si>
  <si>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</si>
  <si>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</si>
  <si>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</si>
  <si>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</si>
  <si>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</si>
  <si>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</si>
  <si>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</si>
  <si>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</si>
  <si>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</si>
  <si>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</si>
  <si>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</si>
  <si>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</si>
  <si>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 xml:space="preserve">CUSTO MENSAL MATERIAIS (R$) 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</si>
  <si>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</si>
  <si>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</si>
  <si>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</si>
  <si>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</si>
  <si>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</si>
  <si>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</si>
  <si>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</si>
  <si>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</si>
  <si>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</si>
  <si>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</si>
  <si>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</si>
  <si>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equipamentos,</t>
  </si>
  <si>
    <t>X. Diversos</t>
  </si>
  <si>
    <t>EQUIPAMENTOS</t>
  </si>
  <si>
    <t>QUANTIDADE DEFINIDA (1 por Unidade) GEXCAS</t>
  </si>
  <si>
    <t>QUANTIDADE DEFINIDO (1 por Unidade) GEXLON</t>
  </si>
  <si>
    <t>QUANTIDADE DEFINIDA (1 por Unidade) GEXMRG</t>
  </si>
  <si>
    <t>CUSTO MENSAL EQUIPAMENTOS (R$) - GEXCAS</t>
  </si>
  <si>
    <t>CUSTO MENSAL EQUIPAMENTOS (R$) - GEXLON</t>
  </si>
  <si>
    <t>CUSTO MENSAL EQUIPAMENTOS (R$) - GEXMRG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</si>
  <si>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</si>
  <si>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</si>
  <si>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</si>
  <si>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</si>
  <si>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</si>
  <si>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</si>
  <si>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 xml:space="preserve">Lavadora de alta pressão mínimo 1.500 LB  </t>
  </si>
  <si>
    <t>Mangueira de jardim 20m, c/ esguicho/engate</t>
  </si>
  <si>
    <t>Placa sinalizadora (Piso Molhado - 2 por APS)</t>
  </si>
  <si>
    <t>Rastelo de Jardim ( APS com areas verdes)</t>
  </si>
  <si>
    <t>TOTAL GERAL ( 60 MESES)</t>
  </si>
  <si>
    <t>TOTAL ANUAL DE EQUIPAMENTOS  - Depreciação Anual conforme tabela da RFB -</t>
  </si>
  <si>
    <t>VALOR POR SERVENTE</t>
  </si>
  <si>
    <t>UNIFORMES</t>
  </si>
  <si>
    <t>PREÇO MÉDIO – PAINEL DE PREÇOS</t>
  </si>
  <si>
    <t>PEÇO MÉDIO - INTERNET</t>
  </si>
  <si>
    <t>CUSTO MÉDIO</t>
  </si>
  <si>
    <t xml:space="preserve">CUSTO MENSAL UNIFORMES  </t>
  </si>
  <si>
    <t>SERVENTES</t>
  </si>
  <si>
    <t>Bata ( 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</si>
  <si>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</si>
  <si>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</si>
  <si>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</si>
  <si>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</si>
  <si>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</si>
  <si>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</si>
  <si>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 xml:space="preserve">Calça Social 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</si>
  <si>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</si>
  <si>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</si>
  <si>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</si>
  <si>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</si>
  <si>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</si>
  <si>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</si>
  <si>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</si>
  <si>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</si>
  <si>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</si>
  <si>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</si>
  <si>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</si>
  <si>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</si>
  <si>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</si>
  <si>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</si>
  <si>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</si>
  <si>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</si>
  <si>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</si>
  <si>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</si>
  <si>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</si>
  <si>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</si>
  <si>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</si>
  <si>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</si>
  <si>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</si>
  <si>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</si>
  <si>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</si>
  <si>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</si>
  <si>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</si>
  <si>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</si>
  <si>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</si>
  <si>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</si>
  <si>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</si>
  <si>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</si>
  <si>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</si>
  <si>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</si>
  <si>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</si>
  <si>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</si>
  <si>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</si>
  <si>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POLO 2 - GEX CASCAVEL, GEX LONDRINA E GEX MARINGÁ</t>
  </si>
  <si>
    <t>ÁREA INTERNA</t>
  </si>
  <si>
    <t>ÁREA EXTERNA</t>
  </si>
  <si>
    <t>ESQUADRIAS</t>
  </si>
  <si>
    <t>ITEM 6</t>
  </si>
  <si>
    <t>ITEM 7</t>
  </si>
  <si>
    <t>ITEM 8</t>
  </si>
  <si>
    <t>ITEM 9</t>
  </si>
  <si>
    <t>ITEM 10</t>
  </si>
  <si>
    <t>Seq.</t>
  </si>
  <si>
    <t>Unidade Orgânica</t>
  </si>
  <si>
    <t>ISS %</t>
  </si>
  <si>
    <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</si>
  <si>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</si>
  <si>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</si>
  <si>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</si>
  <si>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</si>
  <si>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</si>
  <si>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</si>
  <si>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</si>
  <si>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</si>
  <si>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</si>
  <si>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</si>
  <si>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</si>
  <si>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</si>
  <si>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</si>
  <si>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 item IV                       Diárias carregadores</t>
  </si>
  <si>
    <t>Área</t>
  </si>
  <si>
    <t>Preço m²</t>
  </si>
  <si>
    <t>R$</t>
  </si>
  <si>
    <t>Rua General Osório, nº 3423, Centro – Cascavel/PR</t>
  </si>
  <si>
    <t>Rua São Luiz, 245, Centro Cívico – Assis Chateaubriand/PR</t>
  </si>
  <si>
    <t>Rua São Paulo nº 603, Centro – Cascavel/PR, CEP 85801-020</t>
  </si>
  <si>
    <t xml:space="preserve">Avenida Paraná, nº 1661, Jardim Central – Foz do Iguaçu/PR, </t>
  </si>
  <si>
    <t>Rua Guanabara, nº 410, Presidente Kennedy – Francisco Beltrão/PR</t>
  </si>
  <si>
    <t>Rua Riachuelo, nº 897, Centro – Medianeira/PR</t>
  </si>
  <si>
    <t>Rua Tapajós, nº 520, Centro – Pato Branco/PR, CEP 85501-043</t>
  </si>
  <si>
    <t>Rua Arnaldo Buzato, nº 3107, Centro – Realeza/PR, CEP 85770-000</t>
  </si>
  <si>
    <t>Rua Rui Barbosa, nº 2989, Jardim Gisela -Toledo/PR, CEP 85905-060</t>
  </si>
  <si>
    <t>Rua Paraguai, nº 1145, Centro – Guaíra/PR, CEP 85950-000</t>
  </si>
  <si>
    <t>Rua Santos Dumont, nº 288, Centro – Mangueirinha/PR, CEP 85540-000</t>
  </si>
  <si>
    <t>Avenida Rio Grande do Sul, nº 2677, Centro – Marechal Cândido Rondon/PR</t>
  </si>
  <si>
    <t>Avenida Clevelândia, nº 684, Centro – Palmas/PR, CEP 85555-000</t>
  </si>
  <si>
    <t>Av. Jesuíno Teodorico de Andrade, nº 1417, Centro – Santo Antônio do Sudoeste/PR</t>
  </si>
  <si>
    <t>Rua Paraná, nº 1151, Centro – Dois Vizinhos/PR, CEP 85660-000</t>
  </si>
  <si>
    <t>Rua Vereador Antônio Pozzan, nº 1797, Jardim Itália – Palotina/PR</t>
  </si>
  <si>
    <t>Rua Ângelo Peruzzo, nº 37, Centro – Coronel Vivida/PR, CEP 85550-000</t>
  </si>
  <si>
    <t>Rua Nereu Ramos, nº 1313, Centro – São Miguel do Iguaçu/PR</t>
  </si>
  <si>
    <t>Rua Romeiras, nº 528 - Bom Pastor - Quedas do Iguaçu, CEP 85460-000</t>
  </si>
  <si>
    <t>Total Mensal GEX Cascavel</t>
  </si>
  <si>
    <t>Av. Duque de Caxias, 1135, Londrina/PR</t>
  </si>
  <si>
    <t>Rua Firman Neto, 201 - Vl. São José, Apucarana/PR</t>
  </si>
  <si>
    <t>Avenida Presidente Castelo Branco, 210 - Jardim Vitoria, Cornélio Procópio/PR</t>
  </si>
  <si>
    <t>Rua Harpia esq Flamingos, sn - Centro, Arapongas/PR</t>
  </si>
  <si>
    <t>Av Tancredo Neves, 1555 - Centro, Ivaiporã/PR</t>
  </si>
  <si>
    <t>Rua Dom Fernando Taddey, 1288, Centro, Jacarezinho/PR</t>
  </si>
  <si>
    <t>Rua Minas Gerais, 385, Centro, Andirá/PR</t>
  </si>
  <si>
    <t>Rua Domingos Vila, nº 1034, Cambará/PR</t>
  </si>
  <si>
    <t>Rua Rui Barbosa, nº 174, Santo Antonio da Platina/PR</t>
  </si>
  <si>
    <t>Rua Profº João Cândido 635, Centro, Londrina/PR</t>
  </si>
  <si>
    <t>Rua Visconde de Mauá 161, Londrina/PR</t>
  </si>
  <si>
    <t> Av. Expedicionários, 159 - Centro, Rolândia/PR,</t>
  </si>
  <si>
    <t>Avenida  Edelina Meneghel Rando, 351, Vila Macedo, Bandeirantes/PR</t>
  </si>
  <si>
    <t>av. Brasil, 138, Cambé/PR</t>
  </si>
  <si>
    <t>Avenida Bandeirantes, 500 sala 601, Londrina/PR</t>
  </si>
  <si>
    <t>Total Mensal GEX Londrina</t>
  </si>
  <si>
    <t>Av. XV de Novembro, 491, Zona 01, CEP 87013230, Maringá-PR</t>
  </si>
  <si>
    <t>Av. Manoel Mendes de Camargo, 290, Centro, CEP 87302080, Campo Mourão-PR</t>
  </si>
  <si>
    <t>Av. Goiás, 17, Zona 01, CEP 87200149, Cianorte-PR</t>
  </si>
  <si>
    <t>Av. Libertadores da América, 145, CEP 87360000, Goioerê-PR</t>
  </si>
  <si>
    <t>Rua Deputado Accioly Filho, 130, Centro, CEP 87900000, Loanda/PR</t>
  </si>
  <si>
    <t>Rua Salgado Filho, 789, Centro, CEP 87701040, Paranavaí/PR</t>
  </si>
  <si>
    <t>Rua Inajá, 3610, ZONA I, CEP 87501160, Umuarama-PR</t>
  </si>
  <si>
    <t>APS COLORADO/PR</t>
  </si>
  <si>
    <t>Rua Adinael Moreira, 11, CEP 86690000, Colorado-PR</t>
  </si>
  <si>
    <t>Rua Onésio Francisco de Faria, 755, Jardim João Geroto, CEP 87140000, Paiçandu-PR</t>
  </si>
  <si>
    <t>Rua Nossa Senhora Aparecida, 181, CEP 86730000, Astorga-PR</t>
  </si>
  <si>
    <t>Av. Brasil, 3025, Jardim da Luz, CEP 87400000, Cruzeiro do Oeste-PR</t>
  </si>
  <si>
    <t>Av. Felipe Camarão, 945, Centro, CEP 87600000, Nova Esperança-PR</t>
  </si>
  <si>
    <t>Av. Marcos Dias, 315, Mandaguari-PR</t>
  </si>
  <si>
    <t>Av. Mauá, 1088, Zona 09, CEP 87050-020, Maringá-PR</t>
  </si>
  <si>
    <t>Total Mensal GEX Maringá</t>
  </si>
  <si>
    <t>TOTAL GERAL</t>
  </si>
  <si>
    <t>Total A23:Q59Mensais GEX Curitiba</t>
  </si>
  <si>
    <t xml:space="preserve">ISS </t>
  </si>
  <si>
    <t>AI-4: 
Banheiros</t>
  </si>
  <si>
    <t xml:space="preserve">AE-2:                                                                                                                                    coleta de detritos em pátios e áreas verdes com frequência diária
</t>
  </si>
  <si>
    <t>Serventes por Unidade (Calculada)</t>
  </si>
  <si>
    <t>Qtde de serventes ajustada LIMPEZA ORDINÁRIA                      e carga horária</t>
  </si>
  <si>
    <t>Qtde Ajustada Qtde postos COVID e Carga horária servente</t>
  </si>
  <si>
    <t>Qtde horas eventuais Limpeza Ordinária/Mês</t>
  </si>
  <si>
    <t xml:space="preserve"> Qtde horas eventuais COVID/Mês</t>
  </si>
  <si>
    <t>Qtde Diárias carregadores/Mês</t>
  </si>
  <si>
    <t>Qtde postos e Carga horária ENCARREGADA</t>
  </si>
  <si>
    <t>30h</t>
  </si>
  <si>
    <t>40h</t>
  </si>
  <si>
    <t>h</t>
  </si>
  <si>
    <t>diarias</t>
  </si>
  <si>
    <t>20h</t>
  </si>
  <si>
    <t> </t>
  </si>
  <si>
    <t>Total Geral</t>
  </si>
  <si>
    <t>Produtividade adotada</t>
  </si>
  <si>
    <t>total</t>
  </si>
  <si>
    <t>Número de Serventes</t>
  </si>
  <si>
    <t>fração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</si>
  <si>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</si>
  <si>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</si>
  <si>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</si>
  <si>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</si>
  <si>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</si>
  <si>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</si>
  <si>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</si>
  <si>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</si>
  <si>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</si>
  <si>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</si>
  <si>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</si>
  <si>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</si>
  <si>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</si>
  <si>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risco</t>
  </si>
  <si>
    <t>ANEXO IV</t>
  </si>
  <si>
    <t>MODELO DE PROPOSTA E PLANILHA DE CUSTOS E FORMAÇÃO DE PREÇOS</t>
  </si>
  <si>
    <t>PROCESSO 35014.018642/2022-12</t>
  </si>
  <si>
    <t>Servente 40h</t>
  </si>
  <si>
    <t>Servente 30h</t>
  </si>
  <si>
    <t>Servente 44h</t>
  </si>
  <si>
    <t>Encarregada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</si>
  <si>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</si>
  <si>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</si>
  <si>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</si>
  <si>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</si>
  <si>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</si>
  <si>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</si>
  <si>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 xml:space="preserve">Servente 40h </t>
  </si>
  <si>
    <t xml:space="preserve">Servente 30h </t>
  </si>
  <si>
    <t>Servente 44h limpeza de esquadrias com risco</t>
  </si>
  <si>
    <t>Encarregada 40h</t>
  </si>
  <si>
    <t>MÓDULO 1: COMPOSIÇÃO DA REMUNERAÇÃO</t>
  </si>
  <si>
    <t>1 - Composição da Remuneração</t>
  </si>
  <si>
    <t>Percentuais</t>
  </si>
  <si>
    <t>Valor (R$)</t>
  </si>
  <si>
    <t>A – Salário Base 40 horas</t>
  </si>
  <si>
    <t>B - Adicional de Insalubridade</t>
  </si>
  <si>
    <t>D - Adicional Noturno</t>
  </si>
  <si>
    <t>E - Adicional de Hora Noturna Reduzida</t>
  </si>
  <si>
    <t>F - Adicional de Hora Extra no Feriado Trabalhado</t>
  </si>
  <si>
    <t>E - Outros -Adicional de risco limpeza de vidros e fachadas ( acima de 3m)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</si>
  <si>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</si>
  <si>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</si>
  <si>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</si>
  <si>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</si>
  <si>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</si>
  <si>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</si>
  <si>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</si>
  <si>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</si>
  <si>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</si>
  <si>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</si>
  <si>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</si>
  <si>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</si>
  <si>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</si>
  <si>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</si>
  <si>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</si>
  <si>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</si>
  <si>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</si>
  <si>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</si>
  <si>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 COM DESCONTO DE 20%)</t>
  </si>
  <si>
    <t>C - Ajuda de custo (equipes limpeza vidros)</t>
  </si>
  <si>
    <t>D - Assistência Médica (Cláusula 15ª)</t>
  </si>
  <si>
    <t>E - Benefício Social Familiar (Cláusula 16ª)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</si>
  <si>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</si>
  <si>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</si>
  <si>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</si>
  <si>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</si>
  <si>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</si>
  <si>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</si>
  <si>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</si>
  <si>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</si>
  <si>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</si>
  <si>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</si>
  <si>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</si>
  <si>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</si>
  <si>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</si>
  <si>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</si>
  <si>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</si>
  <si>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</si>
  <si>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E - Outros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</si>
  <si>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</si>
  <si>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</si>
  <si>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</si>
  <si>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</si>
  <si>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</si>
  <si>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</si>
  <si>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A - Uniformes</t>
  </si>
  <si>
    <t>B - Materiais e utensílios</t>
  </si>
  <si>
    <t>C - Equipamentos</t>
  </si>
  <si>
    <t>D - EPIs</t>
  </si>
  <si>
    <t>E - Esquadrias de risco - Materiais/ Equipamentos/EPIs ( conforme MPOG)</t>
  </si>
  <si>
    <t>F - 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</si>
  <si>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</si>
  <si>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</si>
  <si>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</si>
  <si>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</si>
  <si>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</si>
  <si>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</si>
  <si>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</si>
  <si>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</si>
  <si>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</si>
  <si>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</si>
  <si>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</si>
  <si>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</si>
  <si>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</si>
  <si>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</si>
  <si>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</si>
  <si>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</si>
  <si>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</si>
  <si>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</si>
  <si>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</si>
  <si>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</si>
  <si>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</si>
  <si>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</si>
  <si>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</si>
  <si>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</si>
  <si>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</si>
  <si>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</si>
  <si>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</si>
  <si>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</si>
  <si>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</si>
  <si>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</si>
  <si>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</si>
  <si>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</si>
  <si>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</si>
  <si>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</si>
  <si>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</si>
  <si>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</si>
  <si>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</si>
  <si>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</si>
  <si>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</si>
  <si>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</si>
  <si>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</si>
  <si>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</si>
  <si>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</si>
  <si>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</si>
  <si>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</si>
  <si>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</si>
  <si>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</si>
  <si>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Valor limite MPOG 2019</t>
  </si>
  <si>
    <t>https://www.gov.br/compras/pt-br/agente-publico/cadernos-tecnicos-e-valores-limites/cadernos-tecnicos-e-valores-limites-2019</t>
  </si>
  <si>
    <t>Subtotal 20%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</si>
  <si>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</si>
  <si>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</si>
  <si>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</si>
  <si>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</si>
  <si>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</si>
  <si>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</si>
  <si>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</si>
  <si>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</si>
  <si>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</si>
  <si>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</si>
  <si>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</si>
  <si>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</si>
  <si>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</si>
  <si>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</si>
  <si>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</si>
  <si>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</si>
  <si>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</si>
  <si>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</si>
  <si>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</si>
  <si>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COVID 40h</t>
  </si>
  <si>
    <t>Servente COVID 30h</t>
  </si>
  <si>
    <t>F - Passagens intermunicipais</t>
  </si>
  <si>
    <r>
      <t>AE-2:</t>
    </r>
    <r>
      <rPr>
        <sz val="9"/>
        <color rgb="FF000000"/>
        <rFont val="Calibri"/>
        <family val="2"/>
        <charset val="1"/>
      </rPr>
      <t xml:space="preserve"> 
Áreas verdes</t>
    </r>
  </si>
  <si>
    <t>Servente 20h</t>
  </si>
  <si>
    <t xml:space="preserve">Servente 20h </t>
  </si>
  <si>
    <t>=AF26*</t>
  </si>
  <si>
    <t>C - Tributos  (ISS 30%)</t>
  </si>
  <si>
    <t>C - Tributos  (ISS 3,20%)</t>
  </si>
  <si>
    <t>TOTAL POR EMPREGADO/MÊS com ISS de 3,20%</t>
  </si>
  <si>
    <t>VALOR DA HORA com ISS de 3,20%</t>
  </si>
  <si>
    <t>ISS de 3,20%</t>
  </si>
  <si>
    <t>ISS de 3,2%</t>
  </si>
  <si>
    <t>='Prod. GEXMRG'!R4*</t>
  </si>
  <si>
    <t>MODELO DE PROPOSTA DE PREÇOS</t>
  </si>
  <si>
    <t>PREGÃO Nº 12/2022</t>
  </si>
  <si>
    <t>PROCESSO ADMINISTRATIVO N.° 35014.018642/2022-12</t>
  </si>
  <si>
    <t>Ilmo. Sr. Pregoeiro, a Empresa ______________________________, CNPJ nº ________________, sediada ___________(endereço completo)______________, se propõe a executar os serviços discriminados, atendendo todas as condições estipuladas no Edital de Licitação, e nos valores abaixo:</t>
  </si>
  <si>
    <t xml:space="preserve">GRUPO </t>
  </si>
  <si>
    <t>ITEM</t>
  </si>
  <si>
    <t>CÓDIGO SIASG</t>
  </si>
  <si>
    <t>DESCRIÇÃO/
ESPECIFICAÇÃO</t>
  </si>
  <si>
    <t>Unidade de Medida</t>
  </si>
  <si>
    <t>Quantidade</t>
  </si>
  <si>
    <t>Valor Mensal</t>
  </si>
  <si>
    <t>Valor Anual</t>
  </si>
  <si>
    <r>
      <rPr>
        <b/>
        <sz val="12"/>
        <color rgb="FF000000"/>
        <rFont val="Calibri"/>
        <family val="2"/>
      </rPr>
      <t>Serviços de limpeza</t>
    </r>
    <r>
      <rPr>
        <sz val="12"/>
        <color rgb="FF000000"/>
        <rFont val="Calibri"/>
        <family val="2"/>
      </rPr>
      <t>, conservação e higienização, com fornecimento de materiais, insumos, equipamentos, EPIs e uniformes, a serem executados nas dependências do POLO II de limpeza da SRIII (GEX Cascavel, Londrina e Maringá)</t>
    </r>
  </si>
  <si>
    <t>M²</t>
  </si>
  <si>
    <t>12 (meses)</t>
  </si>
  <si>
    <r>
      <rPr>
        <b/>
        <sz val="12"/>
        <color rgb="FF000000"/>
        <rFont val="Calibri"/>
        <family val="2"/>
      </rPr>
      <t>Serviço de desinfecção</t>
    </r>
    <r>
      <rPr>
        <sz val="12"/>
        <color rgb="FF000000"/>
        <rFont val="Calibri"/>
        <family val="2"/>
      </rPr>
      <t>, com fornecimento de materiais, insumos, EPIs e uniformes,a serem executados nas dependências do POLO II de limpeza da SRIII (GEX Cascavel, Londrina e Maringá)</t>
    </r>
  </si>
  <si>
    <r>
      <rPr>
        <b/>
        <sz val="11"/>
        <color rgb="FF333333"/>
        <rFont val="Arial"/>
        <family val="2"/>
      </rPr>
      <t>Serviços de limpeza</t>
    </r>
    <r>
      <rPr>
        <sz val="11"/>
        <color rgb="FF333333"/>
        <rFont val="Arial"/>
        <family val="2"/>
      </rPr>
      <t>, conservação e higienização, com fornecimento de materiais, insumos, equipamentos, EPIs e uniformes, a serem executados nas dependências do POLO II de limpeza da SRIII (GEX Cascavel, Londrina e Maringá)</t>
    </r>
    <r>
      <rPr>
        <b/>
        <sz val="11"/>
        <color rgb="FF333333"/>
        <rFont val="Arial"/>
        <family val="2"/>
      </rPr>
      <t xml:space="preserve"> – POR DEMANDA</t>
    </r>
  </si>
  <si>
    <r>
      <rPr>
        <b/>
        <sz val="11"/>
        <color rgb="FF333333"/>
        <rFont val="Arial"/>
        <family val="2"/>
      </rPr>
      <t>Serviço de desinfecção</t>
    </r>
    <r>
      <rPr>
        <sz val="11"/>
        <color rgb="FF333333"/>
        <rFont val="Arial"/>
        <family val="2"/>
      </rPr>
      <t xml:space="preserve">, com fornecimento de materiais, insumos, EPIs e uniformes, a serem executados nas dependências do POLO II de limpeza da SRIII (GEX Cascavel, Londrina e Maringá) – </t>
    </r>
    <r>
      <rPr>
        <b/>
        <sz val="11"/>
        <color rgb="FF333333"/>
        <rFont val="Arial"/>
        <family val="2"/>
      </rPr>
      <t>POR DEMANDA</t>
    </r>
  </si>
  <si>
    <r>
      <rPr>
        <b/>
        <sz val="11"/>
        <color rgb="FF333333"/>
        <rFont val="Arial"/>
        <family val="2"/>
      </rPr>
      <t xml:space="preserve">Serviço de carregadores, </t>
    </r>
    <r>
      <rPr>
        <sz val="11"/>
        <color rgb="FF333333"/>
        <rFont val="Arial"/>
        <family val="2"/>
      </rPr>
      <t xml:space="preserve">a serem executados nas dependências do POLO II de limpeza da SRIII (GEX Cascavel, Londrina e Maringá)  – </t>
    </r>
    <r>
      <rPr>
        <b/>
        <sz val="11"/>
        <color rgb="FF333333"/>
        <rFont val="Arial"/>
        <family val="2"/>
      </rPr>
      <t>POR DEMANDA</t>
    </r>
  </si>
  <si>
    <t>Valor total da Proposta Polo II</t>
  </si>
  <si>
    <t xml:space="preserve">– Indicação dos acordos, convenções ou dissídios coletivos de trabalaho: </t>
  </si>
  <si>
    <t>– Indicação do regime tributário da licitante:</t>
  </si>
  <si>
    <t>– Validade da Proposta de Preços: 120 (cento e vinte) dias, a contar da data de apresentação.</t>
  </si>
  <si>
    <t>– Prazo de Execução dos Serviços: 12 (doze) meses.</t>
  </si>
  <si>
    <t>Dados para pagamento:</t>
  </si>
  <si>
    <t>– Banco (Nome/nº): – Agência: – Conta:</t>
  </si>
  <si>
    <t>Informações para assinatura do Contrato:</t>
  </si>
  <si>
    <t>– Nome:</t>
  </si>
  <si>
    <t>– Cargo:</t>
  </si>
  <si>
    <t>– RG:</t>
  </si>
  <si>
    <t>– CPF:</t>
  </si>
  <si>
    <t>–Telefone/Fax: E-mail:</t>
  </si>
  <si>
    <t>Local e data.</t>
  </si>
  <si>
    <t>Assinatura e Nome do Representante Legal da Empresa</t>
  </si>
  <si>
    <t>ANEXO X - POLO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</si>
</sst>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8" formatCode="&quot;R$&quot;\ #,##0.00;[Red]\-&quot;R$&quot;\ #,##0.00"/>
    <numFmt numFmtId="43" formatCode="_-* #,##0.00_-;\-* #,##0.00_-;_-* &quot;-&quot;??_-;_-@_-"/>
    <numFmt numFmtId="164" formatCode="_-&quot;R$ &quot;* #,##0.00_-;&quot;-R$ &quot;* #,##0.00_-;_-&quot;R$ &quot;* \-??_-;_-@_-"/>
    <numFmt numFmtId="165" formatCode="&quot;R$ &quot;#,##0.00"/>
    <numFmt numFmtId="166" formatCode="_-* #,##0.00_-;\-* #,##0.00_-;_-* \-??_-;_-@_-"/>
    <numFmt numFmtId="167" formatCode="d/m/yyyy"/>
    <numFmt numFmtId="168" formatCode="* #,##0.00\ ;\-* #,##0.00\ ;* \-#\ ;@\ "/>
    <numFmt numFmtId="169" formatCode="#,##0.00\ ;\(#,##0.00\);\-#\ ;@\ "/>
    <numFmt numFmtId="170" formatCode="#,##0.000000;\(#,##0.000000\)"/>
    <numFmt numFmtId="171" formatCode="&quot;R$ &quot;#,##0.00;[Red]&quot;-R$ &quot;#,##0.00"/>
    <numFmt numFmtId="172" formatCode="_-[$R$-416]\ * #,##0.00_-;\-[$R$-416]\ * #,##0.00_-;_-[$R$-416]\ * \-??_-;_-@_-"/>
    <numFmt numFmtId="173" formatCode="#,##0.00\ ;\(#,##0.00\)"/>
    <numFmt numFmtId="174" formatCode="&quot;R$ &quot;#,##0.00\ ;[Red]&quot;(R$ &quot;#,##0.00\)"/>
    <numFmt numFmtId="175" formatCode="[$R$-416]\ #,##0.00;[Red]\-[$R$-416]\ #,##0.00"/>
    <numFmt numFmtId="176" formatCode="0.0000000"/>
    <numFmt numFmtId="177" formatCode="0.00000000"/>
    <numFmt numFmtId="178" formatCode="0.000000000"/>
    <numFmt numFmtId="179" formatCode="#,##0.00\ ;#,##0.00\ ;\-#\ ;@\ "/>
    <numFmt numFmtId="180" formatCode="0.000000000;[Red]\(0.000000000\)"/>
    <numFmt numFmtId="181" formatCode="0.0000000000"/>
    <numFmt numFmtId="182" formatCode="0.0000"/>
    <numFmt numFmtId="183" formatCode="&quot;R$&quot;\ #,##0.00"/>
    <numFmt numFmtId="184" formatCode="_-[$R$-416]\ * #,##0.00_-;\-[$R$-416]\ * #,##0.00_-;_-[$R$-416]\ * &quot;-&quot;??_-;_-@_-"/>
  </numFmts>
  <fonts count="63" x14ac:knownFonts="1">
    <font>
      <sz val="11"/>
      <color rgb="FF333333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9"/>
      <color rgb="FF333333"/>
      <name val="Arial"/>
      <family val="2"/>
      <charset val="1"/>
    </font>
    <font>
      <sz val="8"/>
      <color rgb="FF333333"/>
      <name val="Arial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333333"/>
      <name val="Calibri"/>
      <family val="2"/>
      <charset val="1"/>
    </font>
    <font>
      <b/>
      <sz val="12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11"/>
      <color rgb="FF444444"/>
      <name val="Calibri"/>
      <family val="2"/>
      <charset val="1"/>
    </font>
    <font>
      <sz val="11"/>
      <color rgb="FF333333"/>
      <name val="Calibri"/>
      <family val="2"/>
      <charset val="1"/>
    </font>
    <font>
      <b/>
      <i/>
      <sz val="10"/>
      <color rgb="FF333333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0"/>
      <name val="Arial"/>
      <family val="2"/>
    </font>
    <font>
      <sz val="10"/>
      <name val="Calibri"/>
      <family val="2"/>
      <charset val="1"/>
    </font>
    <font>
      <u/>
      <sz val="11"/>
      <color theme="10"/>
      <name val="Arial"/>
      <family val="2"/>
      <charset val="1"/>
    </font>
    <font>
      <sz val="10"/>
      <color rgb="FF333333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333333"/>
      <name val="Arial"/>
      <family val="2"/>
    </font>
    <font>
      <sz val="10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1"/>
      <color rgb="FF333333"/>
      <name val="Arial"/>
      <family val="2"/>
      <charset val="1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rgb="FF1F4E78"/>
        <bgColor rgb="FF3D4C2F"/>
      </patternFill>
    </fill>
    <fill>
      <patternFill patternType="solid">
        <fgColor rgb="FFD9E1F2"/>
        <bgColor rgb="FFD6DCE4"/>
      </patternFill>
    </fill>
    <fill>
      <patternFill patternType="solid">
        <fgColor rgb="FFBF819E"/>
        <bgColor rgb="FFA6A6A6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D0CECE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CE4D6"/>
        <bgColor rgb="FFFFF2CC"/>
      </patternFill>
    </fill>
    <fill>
      <patternFill patternType="solid">
        <fgColor rgb="FF49873A"/>
        <bgColor rgb="FF808080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D6DCE4"/>
        <bgColor rgb="FFDBDBDB"/>
      </patternFill>
    </fill>
    <fill>
      <patternFill patternType="solid">
        <fgColor rgb="FFFFFF00"/>
        <bgColor rgb="FFFFCC00"/>
      </patternFill>
    </fill>
    <fill>
      <patternFill patternType="solid">
        <fgColor rgb="FFB4C7DC"/>
        <bgColor rgb="FFB4C6E7"/>
      </patternFill>
    </fill>
    <fill>
      <patternFill patternType="solid">
        <fgColor rgb="FFFFFFCC"/>
        <bgColor rgb="FFFFF2CC"/>
      </patternFill>
    </fill>
    <fill>
      <patternFill patternType="solid">
        <fgColor rgb="FFCC99FF"/>
        <bgColor rgb="FFADB9CA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4C6E7"/>
      </patternFill>
    </fill>
    <fill>
      <patternFill patternType="solid">
        <fgColor rgb="FFC0C0C0"/>
        <bgColor rgb="FFC1C1C1"/>
      </patternFill>
    </fill>
    <fill>
      <patternFill patternType="solid">
        <fgColor rgb="FFFD6802"/>
        <bgColor rgb="FFFF9999"/>
      </patternFill>
    </fill>
    <fill>
      <patternFill patternType="solid">
        <fgColor rgb="FFFFCC00"/>
        <bgColor rgb="FFFFC0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70AD47"/>
      </patternFill>
    </fill>
    <fill>
      <patternFill patternType="solid">
        <fgColor rgb="FF5983B0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18E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darkGray">
        <fgColor rgb="FFFD6802"/>
        <bgColor rgb="FFFF9999"/>
      </patternFill>
    </fill>
    <fill>
      <patternFill patternType="solid">
        <fgColor rgb="FF9BC2E6"/>
        <bgColor rgb="FFB4C6E7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DDDDD"/>
      </patternFill>
    </fill>
    <fill>
      <patternFill patternType="solid">
        <fgColor rgb="FFF4B183"/>
        <bgColor rgb="FFFF9999"/>
      </patternFill>
    </fill>
    <fill>
      <patternFill patternType="solid">
        <fgColor rgb="FFFF9999"/>
        <bgColor rgb="FFF4B183"/>
      </patternFill>
    </fill>
    <fill>
      <patternFill patternType="solid">
        <fgColor rgb="FFFFCCCC"/>
        <bgColor rgb="FFF8CBAD"/>
      </patternFill>
    </fill>
    <fill>
      <patternFill patternType="solid">
        <fgColor rgb="FFC1C1C1"/>
        <bgColor rgb="FFC0C0C0"/>
      </patternFill>
    </fill>
    <fill>
      <patternFill patternType="solid">
        <fgColor rgb="FFDDDDDD"/>
        <bgColor rgb="FFDBDBDB"/>
      </patternFill>
    </fill>
    <fill>
      <patternFill patternType="solid">
        <fgColor rgb="FF70AD47"/>
        <bgColor rgb="FF5EB91E"/>
      </patternFill>
    </fill>
    <fill>
      <patternFill patternType="solid">
        <fgColor rgb="FFA9D08E"/>
        <bgColor rgb="FFA9D18E"/>
      </patternFill>
    </fill>
    <fill>
      <patternFill patternType="solid">
        <fgColor rgb="FFCCCCCC"/>
        <bgColor rgb="FFD0CECE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FFFF99"/>
        <bgColor rgb="FFFFFFCC"/>
      </patternFill>
    </fill>
    <fill>
      <patternFill patternType="solid">
        <fgColor rgb="FFD6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A707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DDDDD"/>
        <bgColor rgb="FFD9D9D9"/>
      </patternFill>
    </fill>
    <fill>
      <patternFill patternType="solid">
        <fgColor rgb="FF9BC2E6"/>
        <bgColor rgb="FF000000"/>
      </patternFill>
    </fill>
    <fill>
      <patternFill patternType="solid">
        <fgColor rgb="FFFFFFFF"/>
        <bgColor indexed="64"/>
      </patternFill>
    </fill>
  </fills>
  <borders count="2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9BC2E6"/>
      </left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 style="medium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168" fontId="12" fillId="0" borderId="0"/>
    <xf numFmtId="9" fontId="15" fillId="0" borderId="0" applyBorder="0" applyProtection="0"/>
    <xf numFmtId="166" fontId="1" fillId="0" borderId="0" applyBorder="0" applyProtection="0"/>
    <xf numFmtId="0" fontId="48" fillId="0" borderId="0" applyNumberFormat="0" applyFill="0" applyBorder="0" applyAlignment="0" applyProtection="0"/>
  </cellStyleXfs>
  <cellXfs count="1067">
    <xf numFmtId="0" fontId="0" fillId="0" borderId="0" xfId="0"/>
    <xf numFmtId="0" fontId="6" fillId="3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vertical="center"/>
    </xf>
    <xf numFmtId="167" fontId="3" fillId="0" borderId="3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/>
    <xf numFmtId="0" fontId="6" fillId="0" borderId="10" xfId="0" applyFont="1" applyBorder="1"/>
    <xf numFmtId="0" fontId="6" fillId="3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9" fontId="13" fillId="0" borderId="0" xfId="1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0" fontId="3" fillId="0" borderId="3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65" fontId="15" fillId="0" borderId="20" xfId="0" applyNumberFormat="1" applyFont="1" applyBorder="1" applyAlignment="1">
      <alignment vertical="center"/>
    </xf>
    <xf numFmtId="165" fontId="15" fillId="0" borderId="21" xfId="0" applyNumberFormat="1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165" fontId="15" fillId="0" borderId="26" xfId="0" applyNumberFormat="1" applyFont="1" applyBorder="1" applyAlignment="1">
      <alignment vertical="center"/>
    </xf>
    <xf numFmtId="165" fontId="15" fillId="0" borderId="18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7" fillId="3" borderId="28" xfId="0" applyFont="1" applyFill="1" applyBorder="1" applyAlignment="1">
      <alignment horizontal="center" vertical="center" wrapText="1"/>
    </xf>
    <xf numFmtId="164" fontId="15" fillId="0" borderId="29" xfId="0" applyNumberFormat="1" applyFont="1" applyBorder="1" applyAlignment="1">
      <alignment vertical="center"/>
    </xf>
    <xf numFmtId="164" fontId="15" fillId="0" borderId="32" xfId="0" applyNumberFormat="1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8" borderId="32" xfId="0" applyFont="1" applyFill="1" applyBorder="1" applyAlignment="1">
      <alignment vertical="center"/>
    </xf>
    <xf numFmtId="0" fontId="15" fillId="8" borderId="0" xfId="0" applyFont="1" applyFill="1" applyAlignment="1">
      <alignment vertical="center"/>
    </xf>
    <xf numFmtId="171" fontId="15" fillId="8" borderId="0" xfId="0" applyNumberFormat="1" applyFont="1" applyFill="1" applyAlignment="1">
      <alignment vertical="center"/>
    </xf>
    <xf numFmtId="0" fontId="17" fillId="3" borderId="34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2" fontId="15" fillId="8" borderId="3" xfId="0" applyNumberFormat="1" applyFont="1" applyFill="1" applyBorder="1" applyAlignment="1">
      <alignment vertical="center"/>
    </xf>
    <xf numFmtId="0" fontId="17" fillId="3" borderId="37" xfId="0" applyFont="1" applyFill="1" applyBorder="1" applyAlignment="1">
      <alignment horizontal="center" vertical="center" wrapText="1"/>
    </xf>
    <xf numFmtId="165" fontId="15" fillId="8" borderId="0" xfId="0" applyNumberFormat="1" applyFont="1" applyFill="1" applyAlignment="1">
      <alignment vertical="center"/>
    </xf>
    <xf numFmtId="164" fontId="15" fillId="8" borderId="0" xfId="0" applyNumberFormat="1" applyFont="1" applyFill="1" applyAlignment="1">
      <alignment vertical="center"/>
    </xf>
    <xf numFmtId="0" fontId="17" fillId="9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9" fontId="16" fillId="9" borderId="40" xfId="0" applyNumberFormat="1" applyFont="1" applyFill="1" applyBorder="1" applyAlignment="1">
      <alignment horizontal="left" vertical="center"/>
    </xf>
    <xf numFmtId="0" fontId="16" fillId="9" borderId="40" xfId="0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vertical="center"/>
    </xf>
    <xf numFmtId="165" fontId="15" fillId="0" borderId="43" xfId="0" applyNumberFormat="1" applyFont="1" applyBorder="1" applyAlignment="1">
      <alignment vertical="center"/>
    </xf>
    <xf numFmtId="0" fontId="17" fillId="14" borderId="8" xfId="0" applyFont="1" applyFill="1" applyBorder="1" applyAlignment="1">
      <alignment horizontal="center" vertical="center" wrapText="1"/>
    </xf>
    <xf numFmtId="0" fontId="17" fillId="14" borderId="26" xfId="0" applyFont="1" applyFill="1" applyBorder="1" applyAlignment="1">
      <alignment horizontal="center" vertical="center" wrapText="1"/>
    </xf>
    <xf numFmtId="171" fontId="15" fillId="0" borderId="30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vertical="center"/>
    </xf>
    <xf numFmtId="165" fontId="15" fillId="0" borderId="6" xfId="0" applyNumberFormat="1" applyFont="1" applyBorder="1" applyAlignment="1">
      <alignment vertical="center"/>
    </xf>
    <xf numFmtId="171" fontId="15" fillId="0" borderId="31" xfId="0" applyNumberFormat="1" applyFont="1" applyBorder="1" applyAlignment="1">
      <alignment vertical="center"/>
    </xf>
    <xf numFmtId="165" fontId="15" fillId="0" borderId="47" xfId="0" applyNumberFormat="1" applyFont="1" applyBorder="1" applyAlignment="1">
      <alignment vertical="center"/>
    </xf>
    <xf numFmtId="171" fontId="15" fillId="0" borderId="48" xfId="0" applyNumberFormat="1" applyFont="1" applyBorder="1" applyAlignment="1">
      <alignment vertical="center"/>
    </xf>
    <xf numFmtId="2" fontId="15" fillId="0" borderId="7" xfId="0" applyNumberFormat="1" applyFont="1" applyBorder="1" applyAlignment="1">
      <alignment vertical="center"/>
    </xf>
    <xf numFmtId="171" fontId="15" fillId="0" borderId="21" xfId="0" applyNumberFormat="1" applyFont="1" applyBorder="1" applyAlignment="1">
      <alignment vertical="center"/>
    </xf>
    <xf numFmtId="0" fontId="21" fillId="8" borderId="22" xfId="0" applyFont="1" applyFill="1" applyBorder="1" applyAlignment="1">
      <alignment wrapText="1"/>
    </xf>
    <xf numFmtId="0" fontId="15" fillId="0" borderId="6" xfId="0" applyFont="1" applyBorder="1" applyAlignment="1">
      <alignment vertical="center"/>
    </xf>
    <xf numFmtId="0" fontId="9" fillId="0" borderId="0" xfId="0" applyFont="1"/>
    <xf numFmtId="0" fontId="23" fillId="8" borderId="32" xfId="0" applyFont="1" applyFill="1" applyBorder="1" applyAlignment="1">
      <alignment vertical="center"/>
    </xf>
    <xf numFmtId="0" fontId="23" fillId="8" borderId="0" xfId="0" applyFont="1" applyFill="1" applyAlignment="1">
      <alignment vertical="center"/>
    </xf>
    <xf numFmtId="167" fontId="6" fillId="17" borderId="44" xfId="0" applyNumberFormat="1" applyFont="1" applyFill="1" applyBorder="1" applyAlignment="1">
      <alignment horizontal="center" vertical="center"/>
    </xf>
    <xf numFmtId="0" fontId="9" fillId="8" borderId="32" xfId="0" applyFont="1" applyFill="1" applyBorder="1" applyAlignment="1">
      <alignment vertical="center"/>
    </xf>
    <xf numFmtId="0" fontId="6" fillId="8" borderId="0" xfId="0" applyFont="1" applyFill="1" applyAlignment="1">
      <alignment horizontal="right" vertical="center"/>
    </xf>
    <xf numFmtId="173" fontId="3" fillId="17" borderId="22" xfId="1" applyNumberFormat="1" applyFont="1" applyFill="1" applyBorder="1" applyAlignment="1">
      <alignment horizontal="center" vertical="center"/>
    </xf>
    <xf numFmtId="167" fontId="3" fillId="17" borderId="22" xfId="0" applyNumberFormat="1" applyFont="1" applyFill="1" applyBorder="1" applyAlignment="1">
      <alignment horizontal="center" vertical="center"/>
    </xf>
    <xf numFmtId="167" fontId="3" fillId="17" borderId="41" xfId="0" applyNumberFormat="1" applyFont="1" applyFill="1" applyBorder="1" applyAlignment="1">
      <alignment horizontal="center" vertical="center"/>
    </xf>
    <xf numFmtId="0" fontId="22" fillId="20" borderId="22" xfId="0" applyFont="1" applyFill="1" applyBorder="1" applyAlignment="1">
      <alignment vertical="center" wrapText="1"/>
    </xf>
    <xf numFmtId="169" fontId="22" fillId="20" borderId="3" xfId="1" applyNumberFormat="1" applyFont="1" applyFill="1" applyBorder="1" applyAlignment="1">
      <alignment horizontal="center" vertical="center"/>
    </xf>
    <xf numFmtId="169" fontId="22" fillId="20" borderId="54" xfId="1" applyNumberFormat="1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 wrapText="1"/>
    </xf>
    <xf numFmtId="165" fontId="24" fillId="8" borderId="3" xfId="2" applyNumberFormat="1" applyFont="1" applyFill="1" applyBorder="1" applyAlignment="1" applyProtection="1">
      <alignment vertical="center"/>
    </xf>
    <xf numFmtId="169" fontId="22" fillId="8" borderId="3" xfId="1" applyNumberFormat="1" applyFont="1" applyFill="1" applyBorder="1"/>
    <xf numFmtId="169" fontId="22" fillId="8" borderId="54" xfId="1" applyNumberFormat="1" applyFont="1" applyFill="1" applyBorder="1"/>
    <xf numFmtId="10" fontId="24" fillId="8" borderId="3" xfId="2" applyNumberFormat="1" applyFont="1" applyFill="1" applyBorder="1" applyAlignment="1" applyProtection="1">
      <alignment vertical="center"/>
    </xf>
    <xf numFmtId="169" fontId="25" fillId="8" borderId="3" xfId="2" applyNumberFormat="1" applyFont="1" applyFill="1" applyBorder="1" applyAlignment="1" applyProtection="1">
      <alignment vertical="center"/>
    </xf>
    <xf numFmtId="10" fontId="25" fillId="8" borderId="3" xfId="0" applyNumberFormat="1" applyFont="1" applyFill="1" applyBorder="1" applyAlignment="1">
      <alignment vertical="center"/>
    </xf>
    <xf numFmtId="0" fontId="20" fillId="6" borderId="22" xfId="0" applyFont="1" applyFill="1" applyBorder="1" applyAlignment="1">
      <alignment horizontal="right" vertical="center"/>
    </xf>
    <xf numFmtId="9" fontId="20" fillId="6" borderId="3" xfId="0" applyNumberFormat="1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54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vertical="center"/>
    </xf>
    <xf numFmtId="169" fontId="22" fillId="21" borderId="3" xfId="1" applyNumberFormat="1" applyFont="1" applyFill="1" applyBorder="1" applyAlignment="1">
      <alignment horizontal="center" vertical="center"/>
    </xf>
    <xf numFmtId="169" fontId="22" fillId="21" borderId="54" xfId="1" applyNumberFormat="1" applyFont="1" applyFill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10" fontId="20" fillId="6" borderId="3" xfId="0" applyNumberFormat="1" applyFont="1" applyFill="1" applyBorder="1" applyAlignment="1">
      <alignment horizontal="center" vertical="center"/>
    </xf>
    <xf numFmtId="2" fontId="20" fillId="6" borderId="3" xfId="0" applyNumberFormat="1" applyFont="1" applyFill="1" applyBorder="1" applyAlignment="1">
      <alignment horizontal="right" vertical="center"/>
    </xf>
    <xf numFmtId="2" fontId="20" fillId="6" borderId="54" xfId="0" applyNumberFormat="1" applyFont="1" applyFill="1" applyBorder="1" applyAlignment="1">
      <alignment horizontal="right" vertical="center"/>
    </xf>
    <xf numFmtId="0" fontId="20" fillId="3" borderId="3" xfId="0" applyFont="1" applyFill="1" applyBorder="1" applyAlignment="1">
      <alignment vertical="center"/>
    </xf>
    <xf numFmtId="0" fontId="20" fillId="3" borderId="54" xfId="0" applyFont="1" applyFill="1" applyBorder="1" applyAlignment="1">
      <alignment vertical="center"/>
    </xf>
    <xf numFmtId="169" fontId="22" fillId="8" borderId="3" xfId="1" applyNumberFormat="1" applyFont="1" applyFill="1" applyBorder="1" applyAlignment="1">
      <alignment vertical="center"/>
    </xf>
    <xf numFmtId="169" fontId="22" fillId="8" borderId="54" xfId="1" applyNumberFormat="1" applyFont="1" applyFill="1" applyBorder="1" applyAlignment="1">
      <alignment vertical="center"/>
    </xf>
    <xf numFmtId="174" fontId="24" fillId="8" borderId="3" xfId="2" applyNumberFormat="1" applyFont="1" applyFill="1" applyBorder="1" applyAlignment="1" applyProtection="1">
      <alignment horizontal="right" vertical="center"/>
    </xf>
    <xf numFmtId="174" fontId="24" fillId="8" borderId="3" xfId="2" applyNumberFormat="1" applyFont="1" applyFill="1" applyBorder="1" applyAlignment="1" applyProtection="1">
      <alignment vertical="center"/>
    </xf>
    <xf numFmtId="166" fontId="24" fillId="8" borderId="3" xfId="2" applyNumberFormat="1" applyFont="1" applyFill="1" applyBorder="1" applyAlignment="1" applyProtection="1">
      <alignment vertical="center"/>
    </xf>
    <xf numFmtId="10" fontId="21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vertical="center"/>
    </xf>
    <xf numFmtId="4" fontId="21" fillId="0" borderId="54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0" fillId="3" borderId="3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2" fontId="21" fillId="0" borderId="3" xfId="0" applyNumberFormat="1" applyFont="1" applyBorder="1" applyAlignment="1">
      <alignment horizontal="right" vertical="center"/>
    </xf>
    <xf numFmtId="4" fontId="20" fillId="6" borderId="3" xfId="0" applyNumberFormat="1" applyFont="1" applyFill="1" applyBorder="1" applyAlignment="1">
      <alignment horizontal="right" vertical="center"/>
    </xf>
    <xf numFmtId="4" fontId="20" fillId="6" borderId="54" xfId="0" applyNumberFormat="1" applyFont="1" applyFill="1" applyBorder="1" applyAlignment="1">
      <alignment horizontal="right" vertical="center"/>
    </xf>
    <xf numFmtId="10" fontId="24" fillId="8" borderId="3" xfId="2" applyNumberFormat="1" applyFont="1" applyFill="1" applyBorder="1" applyAlignment="1" applyProtection="1">
      <alignment vertical="center"/>
      <protection locked="0"/>
    </xf>
    <xf numFmtId="0" fontId="22" fillId="22" borderId="22" xfId="0" applyFont="1" applyFill="1" applyBorder="1" applyAlignment="1">
      <alignment horizontal="right" vertical="center" wrapText="1"/>
    </xf>
    <xf numFmtId="10" fontId="22" fillId="22" borderId="3" xfId="0" applyNumberFormat="1" applyFont="1" applyFill="1" applyBorder="1" applyAlignment="1">
      <alignment horizontal="right" vertical="center" wrapText="1"/>
    </xf>
    <xf numFmtId="169" fontId="22" fillId="22" borderId="3" xfId="0" applyNumberFormat="1" applyFont="1" applyFill="1" applyBorder="1" applyAlignment="1">
      <alignment vertical="center"/>
    </xf>
    <xf numFmtId="169" fontId="22" fillId="22" borderId="54" xfId="0" applyNumberFormat="1" applyFont="1" applyFill="1" applyBorder="1" applyAlignment="1">
      <alignment vertical="center"/>
    </xf>
    <xf numFmtId="0" fontId="25" fillId="22" borderId="3" xfId="0" applyFont="1" applyFill="1" applyBorder="1" applyAlignment="1">
      <alignment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61" xfId="0" applyFont="1" applyFill="1" applyBorder="1" applyAlignment="1">
      <alignment horizontal="center" vertical="center"/>
    </xf>
    <xf numFmtId="169" fontId="22" fillId="8" borderId="3" xfId="0" applyNumberFormat="1" applyFont="1" applyFill="1" applyBorder="1" applyAlignment="1">
      <alignment vertical="center"/>
    </xf>
    <xf numFmtId="169" fontId="22" fillId="8" borderId="54" xfId="0" applyNumberFormat="1" applyFont="1" applyFill="1" applyBorder="1" applyAlignment="1">
      <alignment vertical="center"/>
    </xf>
    <xf numFmtId="169" fontId="26" fillId="8" borderId="3" xfId="0" applyNumberFormat="1" applyFont="1" applyFill="1" applyBorder="1" applyAlignment="1">
      <alignment vertical="center"/>
    </xf>
    <xf numFmtId="169" fontId="26" fillId="8" borderId="54" xfId="0" applyNumberFormat="1" applyFont="1" applyFill="1" applyBorder="1" applyAlignment="1">
      <alignment vertical="center"/>
    </xf>
    <xf numFmtId="0" fontId="22" fillId="22" borderId="41" xfId="0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36" borderId="38" xfId="0" applyFont="1" applyFill="1" applyBorder="1" applyAlignment="1">
      <alignment horizontal="center" vertical="center" wrapText="1"/>
    </xf>
    <xf numFmtId="0" fontId="21" fillId="38" borderId="2" xfId="0" applyFont="1" applyFill="1" applyBorder="1" applyAlignment="1" applyProtection="1">
      <alignment horizontal="left" vertical="center" wrapText="1"/>
      <protection locked="0"/>
    </xf>
    <xf numFmtId="165" fontId="14" fillId="0" borderId="9" xfId="1" applyNumberFormat="1" applyFont="1" applyBorder="1" applyAlignment="1">
      <alignment horizontal="center" vertical="center"/>
    </xf>
    <xf numFmtId="172" fontId="14" fillId="0" borderId="20" xfId="0" applyNumberFormat="1" applyFont="1" applyBorder="1" applyAlignment="1">
      <alignment horizontal="center" vertical="center"/>
    </xf>
    <xf numFmtId="172" fontId="32" fillId="29" borderId="29" xfId="0" applyNumberFormat="1" applyFont="1" applyFill="1" applyBorder="1" applyAlignment="1">
      <alignment horizontal="center" vertical="center" wrapText="1"/>
    </xf>
    <xf numFmtId="168" fontId="21" fillId="35" borderId="62" xfId="1" applyFont="1" applyFill="1" applyBorder="1" applyAlignment="1">
      <alignment horizontal="center" vertical="center"/>
    </xf>
    <xf numFmtId="172" fontId="21" fillId="36" borderId="53" xfId="1" applyNumberFormat="1" applyFont="1" applyFill="1" applyBorder="1" applyAlignment="1">
      <alignment horizontal="center" vertical="center"/>
    </xf>
    <xf numFmtId="172" fontId="21" fillId="37" borderId="53" xfId="1" applyNumberFormat="1" applyFont="1" applyFill="1" applyBorder="1" applyAlignment="1">
      <alignment horizontal="center" vertical="center"/>
    </xf>
    <xf numFmtId="0" fontId="21" fillId="39" borderId="63" xfId="0" applyFont="1" applyFill="1" applyBorder="1" applyAlignment="1" applyProtection="1">
      <alignment horizontal="left" vertical="center"/>
      <protection locked="0"/>
    </xf>
    <xf numFmtId="165" fontId="14" fillId="0" borderId="5" xfId="1" applyNumberFormat="1" applyFont="1" applyBorder="1" applyAlignment="1">
      <alignment horizontal="center" vertical="center"/>
    </xf>
    <xf numFmtId="172" fontId="14" fillId="0" borderId="6" xfId="0" applyNumberFormat="1" applyFont="1" applyBorder="1" applyAlignment="1">
      <alignment horizontal="center" vertical="center"/>
    </xf>
    <xf numFmtId="172" fontId="32" fillId="29" borderId="64" xfId="0" applyNumberFormat="1" applyFont="1" applyFill="1" applyBorder="1" applyAlignment="1">
      <alignment horizontal="center" vertical="center" wrapText="1"/>
    </xf>
    <xf numFmtId="168" fontId="21" fillId="35" borderId="64" xfId="1" applyFont="1" applyFill="1" applyBorder="1" applyAlignment="1">
      <alignment horizontal="center" vertical="center"/>
    </xf>
    <xf numFmtId="172" fontId="21" fillId="36" borderId="54" xfId="1" applyNumberFormat="1" applyFont="1" applyFill="1" applyBorder="1" applyAlignment="1">
      <alignment horizontal="center" vertical="center"/>
    </xf>
    <xf numFmtId="172" fontId="21" fillId="37" borderId="54" xfId="1" applyNumberFormat="1" applyFont="1" applyFill="1" applyBorder="1" applyAlignment="1">
      <alignment horizontal="center" vertical="center"/>
    </xf>
    <xf numFmtId="0" fontId="14" fillId="0" borderId="0" xfId="0" applyFont="1"/>
    <xf numFmtId="172" fontId="21" fillId="36" borderId="55" xfId="1" applyNumberFormat="1" applyFont="1" applyFill="1" applyBorder="1" applyAlignment="1">
      <alignment horizontal="center" vertical="center"/>
    </xf>
    <xf numFmtId="172" fontId="21" fillId="37" borderId="55" xfId="1" applyNumberFormat="1" applyFont="1" applyFill="1" applyBorder="1" applyAlignment="1">
      <alignment horizontal="center" vertical="center"/>
    </xf>
    <xf numFmtId="168" fontId="35" fillId="28" borderId="35" xfId="1" applyFont="1" applyFill="1" applyBorder="1" applyAlignment="1">
      <alignment horizontal="center" vertical="center"/>
    </xf>
    <xf numFmtId="172" fontId="35" fillId="28" borderId="37" xfId="1" applyNumberFormat="1" applyFont="1" applyFill="1" applyBorder="1" applyAlignment="1">
      <alignment horizontal="center" vertical="center"/>
    </xf>
    <xf numFmtId="168" fontId="35" fillId="28" borderId="52" xfId="1" applyFont="1" applyFill="1" applyBorder="1" applyAlignment="1">
      <alignment horizontal="center" vertical="center"/>
    </xf>
    <xf numFmtId="172" fontId="35" fillId="28" borderId="52" xfId="1" applyNumberFormat="1" applyFont="1" applyFill="1" applyBorder="1" applyAlignment="1">
      <alignment horizontal="center" vertical="center"/>
    </xf>
    <xf numFmtId="172" fontId="21" fillId="37" borderId="61" xfId="1" applyNumberFormat="1" applyFont="1" applyFill="1" applyBorder="1" applyAlignment="1">
      <alignment horizontal="center" vertical="center"/>
    </xf>
    <xf numFmtId="4" fontId="35" fillId="28" borderId="35" xfId="1" applyNumberFormat="1" applyFont="1" applyFill="1" applyBorder="1" applyAlignment="1">
      <alignment horizontal="center" vertical="center"/>
    </xf>
    <xf numFmtId="4" fontId="35" fillId="28" borderId="37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2" fontId="30" fillId="0" borderId="0" xfId="0" applyNumberFormat="1" applyFont="1" applyAlignment="1">
      <alignment horizontal="center"/>
    </xf>
    <xf numFmtId="0" fontId="2" fillId="0" borderId="0" xfId="0" applyFont="1"/>
    <xf numFmtId="0" fontId="0" fillId="2" borderId="68" xfId="0" applyFill="1" applyBorder="1" applyAlignment="1">
      <alignment horizontal="center" vertical="center"/>
    </xf>
    <xf numFmtId="4" fontId="37" fillId="2" borderId="70" xfId="0" applyNumberFormat="1" applyFont="1" applyFill="1" applyBorder="1" applyAlignment="1">
      <alignment horizontal="center" vertical="center"/>
    </xf>
    <xf numFmtId="0" fontId="36" fillId="2" borderId="70" xfId="0" applyFont="1" applyFill="1" applyBorder="1" applyAlignment="1">
      <alignment vertical="center"/>
    </xf>
    <xf numFmtId="0" fontId="37" fillId="2" borderId="70" xfId="0" applyFont="1" applyFill="1" applyBorder="1" applyAlignment="1">
      <alignment horizontal="center" vertical="center"/>
    </xf>
    <xf numFmtId="0" fontId="35" fillId="2" borderId="70" xfId="0" applyFont="1" applyFill="1" applyBorder="1" applyAlignment="1">
      <alignment horizontal="left" vertical="center"/>
    </xf>
    <xf numFmtId="4" fontId="38" fillId="2" borderId="71" xfId="0" applyNumberFormat="1" applyFont="1" applyFill="1" applyBorder="1" applyAlignment="1">
      <alignment horizontal="center" vertical="center"/>
    </xf>
    <xf numFmtId="4" fontId="39" fillId="2" borderId="7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4" fontId="37" fillId="2" borderId="0" xfId="0" applyNumberFormat="1" applyFont="1" applyFill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3" xfId="0" applyFill="1" applyBorder="1" applyAlignment="1">
      <alignment vertical="center"/>
    </xf>
    <xf numFmtId="0" fontId="37" fillId="2" borderId="73" xfId="0" applyFont="1" applyFill="1" applyBorder="1" applyAlignment="1">
      <alignment horizontal="center" vertical="center"/>
    </xf>
    <xf numFmtId="4" fontId="37" fillId="2" borderId="73" xfId="0" applyNumberFormat="1" applyFont="1" applyFill="1" applyBorder="1" applyAlignment="1">
      <alignment horizontal="center" vertical="center"/>
    </xf>
    <xf numFmtId="0" fontId="34" fillId="0" borderId="0" xfId="0" applyFont="1"/>
    <xf numFmtId="0" fontId="32" fillId="41" borderId="39" xfId="0" applyFont="1" applyFill="1" applyBorder="1" applyAlignment="1">
      <alignment horizontal="center" vertical="center" wrapText="1"/>
    </xf>
    <xf numFmtId="0" fontId="33" fillId="42" borderId="12" xfId="0" applyFont="1" applyFill="1" applyBorder="1" applyAlignment="1">
      <alignment horizontal="center" wrapText="1"/>
    </xf>
    <xf numFmtId="0" fontId="32" fillId="41" borderId="12" xfId="0" applyFont="1" applyFill="1" applyBorder="1" applyAlignment="1">
      <alignment horizontal="center" vertical="center" wrapText="1"/>
    </xf>
    <xf numFmtId="0" fontId="32" fillId="34" borderId="59" xfId="0" applyFont="1" applyFill="1" applyBorder="1" applyAlignment="1">
      <alignment horizontal="center" vertical="center" wrapText="1"/>
    </xf>
    <xf numFmtId="168" fontId="21" fillId="41" borderId="29" xfId="1" applyFont="1" applyFill="1" applyBorder="1" applyAlignment="1">
      <alignment horizontal="center" vertical="center"/>
    </xf>
    <xf numFmtId="0" fontId="40" fillId="28" borderId="39" xfId="0" applyFont="1" applyFill="1" applyBorder="1" applyAlignment="1">
      <alignment horizontal="center" vertical="center"/>
    </xf>
    <xf numFmtId="168" fontId="20" fillId="28" borderId="34" xfId="1" applyFont="1" applyFill="1" applyBorder="1" applyAlignment="1">
      <alignment horizontal="center" vertical="center"/>
    </xf>
    <xf numFmtId="168" fontId="20" fillId="28" borderId="35" xfId="1" applyFont="1" applyFill="1" applyBorder="1" applyAlignment="1">
      <alignment horizontal="center" vertical="center"/>
    </xf>
    <xf numFmtId="168" fontId="20" fillId="28" borderId="52" xfId="1" applyFont="1" applyFill="1" applyBorder="1" applyAlignment="1">
      <alignment horizontal="center" vertical="center"/>
    </xf>
    <xf numFmtId="168" fontId="20" fillId="41" borderId="1" xfId="1" applyFont="1" applyFill="1" applyBorder="1" applyAlignment="1">
      <alignment horizontal="center" vertical="center"/>
    </xf>
    <xf numFmtId="168" fontId="20" fillId="41" borderId="38" xfId="1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2" fontId="30" fillId="44" borderId="2" xfId="0" applyNumberFormat="1" applyFont="1" applyFill="1" applyBorder="1" applyAlignment="1">
      <alignment horizontal="center"/>
    </xf>
    <xf numFmtId="0" fontId="41" fillId="0" borderId="0" xfId="0" applyFont="1"/>
    <xf numFmtId="2" fontId="30" fillId="44" borderId="64" xfId="0" applyNumberFormat="1" applyFont="1" applyFill="1" applyBorder="1" applyAlignment="1">
      <alignment horizontal="center"/>
    </xf>
    <xf numFmtId="2" fontId="30" fillId="44" borderId="22" xfId="0" applyNumberFormat="1" applyFont="1" applyFill="1" applyBorder="1" applyAlignment="1">
      <alignment horizontal="center"/>
    </xf>
    <xf numFmtId="2" fontId="30" fillId="44" borderId="3" xfId="0" applyNumberFormat="1" applyFont="1" applyFill="1" applyBorder="1" applyAlignment="1">
      <alignment horizontal="center"/>
    </xf>
    <xf numFmtId="2" fontId="30" fillId="44" borderId="54" xfId="0" applyNumberFormat="1" applyFont="1" applyFill="1" applyBorder="1" applyAlignment="1">
      <alignment horizontal="center"/>
    </xf>
    <xf numFmtId="2" fontId="30" fillId="44" borderId="23" xfId="0" applyNumberFormat="1" applyFont="1" applyFill="1" applyBorder="1" applyAlignment="1">
      <alignment horizontal="center"/>
    </xf>
    <xf numFmtId="2" fontId="30" fillId="44" borderId="67" xfId="0" applyNumberFormat="1" applyFont="1" applyFill="1" applyBorder="1" applyAlignment="1">
      <alignment horizontal="center"/>
    </xf>
    <xf numFmtId="2" fontId="30" fillId="44" borderId="41" xfId="0" applyNumberFormat="1" applyFont="1" applyFill="1" applyBorder="1" applyAlignment="1">
      <alignment horizontal="center"/>
    </xf>
    <xf numFmtId="2" fontId="30" fillId="44" borderId="42" xfId="0" applyNumberFormat="1" applyFont="1" applyFill="1" applyBorder="1" applyAlignment="1">
      <alignment horizontal="center"/>
    </xf>
    <xf numFmtId="2" fontId="30" fillId="44" borderId="55" xfId="0" applyNumberFormat="1" applyFont="1" applyFill="1" applyBorder="1" applyAlignment="1">
      <alignment horizontal="center"/>
    </xf>
    <xf numFmtId="2" fontId="30" fillId="44" borderId="75" xfId="0" applyNumberFormat="1" applyFont="1" applyFill="1" applyBorder="1" applyAlignment="1">
      <alignment horizontal="center"/>
    </xf>
    <xf numFmtId="2" fontId="30" fillId="11" borderId="19" xfId="0" applyNumberFormat="1" applyFont="1" applyFill="1" applyBorder="1" applyAlignment="1">
      <alignment horizontal="center"/>
    </xf>
    <xf numFmtId="176" fontId="30" fillId="11" borderId="19" xfId="0" applyNumberFormat="1" applyFont="1" applyFill="1" applyBorder="1" applyAlignment="1">
      <alignment horizontal="center"/>
    </xf>
    <xf numFmtId="176" fontId="30" fillId="11" borderId="7" xfId="0" applyNumberFormat="1" applyFont="1" applyFill="1" applyBorder="1" applyAlignment="1">
      <alignment horizontal="center"/>
    </xf>
    <xf numFmtId="177" fontId="30" fillId="11" borderId="7" xfId="0" applyNumberFormat="1" applyFont="1" applyFill="1" applyBorder="1" applyAlignment="1">
      <alignment horizontal="center"/>
    </xf>
    <xf numFmtId="177" fontId="30" fillId="11" borderId="60" xfId="0" applyNumberFormat="1" applyFont="1" applyFill="1" applyBorder="1" applyAlignment="1">
      <alignment horizontal="center"/>
    </xf>
    <xf numFmtId="2" fontId="30" fillId="11" borderId="22" xfId="0" applyNumberFormat="1" applyFont="1" applyFill="1" applyBorder="1" applyAlignment="1">
      <alignment horizontal="center"/>
    </xf>
    <xf numFmtId="176" fontId="30" fillId="11" borderId="22" xfId="0" applyNumberFormat="1" applyFont="1" applyFill="1" applyBorder="1" applyAlignment="1">
      <alignment horizontal="center"/>
    </xf>
    <xf numFmtId="176" fontId="30" fillId="11" borderId="3" xfId="0" applyNumberFormat="1" applyFont="1" applyFill="1" applyBorder="1" applyAlignment="1">
      <alignment horizontal="center"/>
    </xf>
    <xf numFmtId="177" fontId="30" fillId="11" borderId="3" xfId="0" applyNumberFormat="1" applyFont="1" applyFill="1" applyBorder="1" applyAlignment="1">
      <alignment horizontal="center"/>
    </xf>
    <xf numFmtId="177" fontId="30" fillId="11" borderId="54" xfId="0" applyNumberFormat="1" applyFont="1" applyFill="1" applyBorder="1" applyAlignment="1">
      <alignment horizontal="center"/>
    </xf>
    <xf numFmtId="0" fontId="8" fillId="40" borderId="41" xfId="0" applyFont="1" applyFill="1" applyBorder="1" applyAlignment="1" applyProtection="1">
      <alignment horizontal="center" vertical="center"/>
      <protection locked="0"/>
    </xf>
    <xf numFmtId="0" fontId="14" fillId="4" borderId="4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4" fillId="30" borderId="42" xfId="0" applyFont="1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14" fillId="16" borderId="5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40" borderId="33" xfId="0" applyFont="1" applyFill="1" applyBorder="1" applyAlignment="1" applyProtection="1">
      <alignment horizontal="center" vertical="center"/>
      <protection locked="0"/>
    </xf>
    <xf numFmtId="3" fontId="14" fillId="30" borderId="42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167" fontId="6" fillId="17" borderId="62" xfId="0" applyNumberFormat="1" applyFont="1" applyFill="1" applyBorder="1" applyAlignment="1">
      <alignment horizontal="center" vertical="center"/>
    </xf>
    <xf numFmtId="167" fontId="6" fillId="17" borderId="30" xfId="0" applyNumberFormat="1" applyFont="1" applyFill="1" applyBorder="1" applyAlignment="1">
      <alignment horizontal="center" vertical="center"/>
    </xf>
    <xf numFmtId="173" fontId="3" fillId="17" borderId="64" xfId="1" applyNumberFormat="1" applyFont="1" applyFill="1" applyBorder="1" applyAlignment="1">
      <alignment horizontal="center" vertical="center"/>
    </xf>
    <xf numFmtId="173" fontId="3" fillId="17" borderId="31" xfId="1" applyNumberFormat="1" applyFont="1" applyFill="1" applyBorder="1" applyAlignment="1">
      <alignment horizontal="center" vertical="center"/>
    </xf>
    <xf numFmtId="167" fontId="3" fillId="17" borderId="64" xfId="0" applyNumberFormat="1" applyFont="1" applyFill="1" applyBorder="1" applyAlignment="1">
      <alignment horizontal="center" vertical="center"/>
    </xf>
    <xf numFmtId="167" fontId="3" fillId="17" borderId="31" xfId="0" applyNumberFormat="1" applyFont="1" applyFill="1" applyBorder="1" applyAlignment="1">
      <alignment horizontal="center" vertical="center"/>
    </xf>
    <xf numFmtId="167" fontId="3" fillId="17" borderId="67" xfId="0" applyNumberFormat="1" applyFont="1" applyFill="1" applyBorder="1" applyAlignment="1">
      <alignment horizontal="center" vertical="center"/>
    </xf>
    <xf numFmtId="167" fontId="3" fillId="17" borderId="33" xfId="0" applyNumberFormat="1" applyFont="1" applyFill="1" applyBorder="1" applyAlignment="1">
      <alignment horizontal="center" vertical="center"/>
    </xf>
    <xf numFmtId="0" fontId="22" fillId="8" borderId="44" xfId="0" applyFont="1" applyFill="1" applyBorder="1" applyAlignment="1">
      <alignment horizontal="center" vertical="center"/>
    </xf>
    <xf numFmtId="0" fontId="22" fillId="18" borderId="45" xfId="0" applyFont="1" applyFill="1" applyBorder="1" applyAlignment="1">
      <alignment horizontal="center" vertical="center" wrapText="1"/>
    </xf>
    <xf numFmtId="169" fontId="22" fillId="20" borderId="6" xfId="1" applyNumberFormat="1" applyFont="1" applyFill="1" applyBorder="1" applyAlignment="1">
      <alignment horizontal="center" vertical="center"/>
    </xf>
    <xf numFmtId="169" fontId="22" fillId="8" borderId="6" xfId="1" applyNumberFormat="1" applyFont="1" applyFill="1" applyBorder="1"/>
    <xf numFmtId="2" fontId="20" fillId="6" borderId="6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vertical="center"/>
    </xf>
    <xf numFmtId="169" fontId="22" fillId="8" borderId="6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4" fontId="20" fillId="6" borderId="6" xfId="0" applyNumberFormat="1" applyFont="1" applyFill="1" applyBorder="1" applyAlignment="1">
      <alignment horizontal="right" vertical="center"/>
    </xf>
    <xf numFmtId="169" fontId="22" fillId="21" borderId="6" xfId="1" applyNumberFormat="1" applyFont="1" applyFill="1" applyBorder="1" applyAlignment="1">
      <alignment horizontal="center" vertical="center"/>
    </xf>
    <xf numFmtId="169" fontId="22" fillId="22" borderId="6" xfId="0" applyNumberFormat="1" applyFont="1" applyFill="1" applyBorder="1" applyAlignment="1">
      <alignment vertical="center"/>
    </xf>
    <xf numFmtId="0" fontId="22" fillId="19" borderId="66" xfId="0" applyFont="1" applyFill="1" applyBorder="1" applyAlignment="1">
      <alignment vertical="center" wrapText="1"/>
    </xf>
    <xf numFmtId="0" fontId="22" fillId="19" borderId="4" xfId="0" applyFont="1" applyFill="1" applyBorder="1" applyAlignment="1">
      <alignment vertical="center" wrapText="1"/>
    </xf>
    <xf numFmtId="0" fontId="22" fillId="19" borderId="27" xfId="0" applyFont="1" applyFill="1" applyBorder="1" applyAlignment="1">
      <alignment vertical="center" wrapText="1"/>
    </xf>
    <xf numFmtId="0" fontId="9" fillId="8" borderId="47" xfId="0" applyFont="1" applyFill="1" applyBorder="1" applyAlignment="1">
      <alignment horizontal="center" vertical="center"/>
    </xf>
    <xf numFmtId="0" fontId="22" fillId="45" borderId="22" xfId="0" applyFont="1" applyFill="1" applyBorder="1" applyAlignment="1">
      <alignment vertical="center" wrapText="1"/>
    </xf>
    <xf numFmtId="10" fontId="24" fillId="45" borderId="3" xfId="2" applyNumberFormat="1" applyFont="1" applyFill="1" applyBorder="1" applyAlignment="1" applyProtection="1">
      <alignment vertical="center"/>
    </xf>
    <xf numFmtId="169" fontId="22" fillId="45" borderId="3" xfId="1" applyNumberFormat="1" applyFont="1" applyFill="1" applyBorder="1" applyAlignment="1">
      <alignment horizontal="left" vertical="center"/>
    </xf>
    <xf numFmtId="169" fontId="9" fillId="0" borderId="3" xfId="1" applyNumberFormat="1" applyFont="1" applyBorder="1" applyAlignment="1">
      <alignment vertical="center"/>
    </xf>
    <xf numFmtId="169" fontId="9" fillId="0" borderId="11" xfId="1" applyNumberFormat="1" applyFont="1" applyBorder="1" applyAlignment="1">
      <alignment vertical="center"/>
    </xf>
    <xf numFmtId="4" fontId="9" fillId="0" borderId="0" xfId="0" applyNumberFormat="1" applyFont="1"/>
    <xf numFmtId="10" fontId="24" fillId="8" borderId="11" xfId="2" applyNumberFormat="1" applyFont="1" applyFill="1" applyBorder="1" applyAlignment="1" applyProtection="1">
      <alignment vertical="center"/>
    </xf>
    <xf numFmtId="10" fontId="24" fillId="46" borderId="62" xfId="2" applyNumberFormat="1" applyFont="1" applyFill="1" applyBorder="1" applyAlignment="1" applyProtection="1">
      <alignment vertical="center"/>
    </xf>
    <xf numFmtId="169" fontId="22" fillId="46" borderId="45" xfId="1" applyNumberFormat="1" applyFont="1" applyFill="1" applyBorder="1" applyAlignment="1">
      <alignment vertical="center"/>
    </xf>
    <xf numFmtId="10" fontId="24" fillId="46" borderId="64" xfId="2" applyNumberFormat="1" applyFont="1" applyFill="1" applyBorder="1" applyAlignment="1" applyProtection="1">
      <alignment vertical="center"/>
    </xf>
    <xf numFmtId="169" fontId="22" fillId="46" borderId="3" xfId="1" applyNumberFormat="1" applyFont="1" applyFill="1" applyBorder="1" applyAlignment="1">
      <alignment vertical="center"/>
    </xf>
    <xf numFmtId="10" fontId="24" fillId="46" borderId="67" xfId="2" applyNumberFormat="1" applyFont="1" applyFill="1" applyBorder="1" applyAlignment="1" applyProtection="1">
      <alignment vertical="center"/>
    </xf>
    <xf numFmtId="169" fontId="22" fillId="46" borderId="42" xfId="1" applyNumberFormat="1" applyFont="1" applyFill="1" applyBorder="1" applyAlignment="1">
      <alignment vertical="center"/>
    </xf>
    <xf numFmtId="0" fontId="24" fillId="8" borderId="7" xfId="2" applyNumberFormat="1" applyFont="1" applyFill="1" applyBorder="1" applyAlignment="1" applyProtection="1">
      <alignment vertical="center"/>
    </xf>
    <xf numFmtId="169" fontId="9" fillId="8" borderId="7" xfId="1" applyNumberFormat="1" applyFont="1" applyFill="1" applyBorder="1" applyAlignment="1">
      <alignment vertical="center"/>
    </xf>
    <xf numFmtId="169" fontId="9" fillId="8" borderId="20" xfId="1" applyNumberFormat="1" applyFont="1" applyFill="1" applyBorder="1" applyAlignment="1">
      <alignment vertical="center"/>
    </xf>
    <xf numFmtId="169" fontId="9" fillId="8" borderId="60" xfId="1" applyNumberFormat="1" applyFont="1" applyFill="1" applyBorder="1" applyAlignment="1">
      <alignment vertical="center"/>
    </xf>
    <xf numFmtId="10" fontId="22" fillId="22" borderId="42" xfId="0" applyNumberFormat="1" applyFont="1" applyFill="1" applyBorder="1" applyAlignment="1">
      <alignment horizontal="right" vertical="center" wrapText="1"/>
    </xf>
    <xf numFmtId="169" fontId="22" fillId="22" borderId="42" xfId="0" applyNumberFormat="1" applyFont="1" applyFill="1" applyBorder="1" applyAlignment="1">
      <alignment vertical="center"/>
    </xf>
    <xf numFmtId="169" fontId="22" fillId="22" borderId="43" xfId="0" applyNumberFormat="1" applyFont="1" applyFill="1" applyBorder="1" applyAlignment="1">
      <alignment vertical="center"/>
    </xf>
    <xf numFmtId="169" fontId="22" fillId="22" borderId="55" xfId="0" applyNumberFormat="1" applyFont="1" applyFill="1" applyBorder="1" applyAlignment="1">
      <alignment vertical="center"/>
    </xf>
    <xf numFmtId="0" fontId="22" fillId="23" borderId="45" xfId="0" applyFont="1" applyFill="1" applyBorder="1" applyAlignment="1">
      <alignment horizontal="center" vertical="center" wrapText="1"/>
    </xf>
    <xf numFmtId="0" fontId="22" fillId="23" borderId="46" xfId="0" applyFont="1" applyFill="1" applyBorder="1" applyAlignment="1">
      <alignment horizontal="center" vertical="center" wrapText="1"/>
    </xf>
    <xf numFmtId="0" fontId="22" fillId="23" borderId="53" xfId="0" applyFont="1" applyFill="1" applyBorder="1" applyAlignment="1">
      <alignment horizontal="center" vertical="center" wrapText="1"/>
    </xf>
    <xf numFmtId="169" fontId="22" fillId="24" borderId="11" xfId="1" applyNumberFormat="1" applyFont="1" applyFill="1" applyBorder="1" applyAlignment="1">
      <alignment horizontal="center" vertical="center"/>
    </xf>
    <xf numFmtId="169" fontId="22" fillId="24" borderId="61" xfId="1" applyNumberFormat="1" applyFont="1" applyFill="1" applyBorder="1" applyAlignment="1">
      <alignment horizontal="center" vertical="center"/>
    </xf>
    <xf numFmtId="169" fontId="22" fillId="8" borderId="45" xfId="0" applyNumberFormat="1" applyFont="1" applyFill="1" applyBorder="1" applyAlignment="1">
      <alignment vertical="center"/>
    </xf>
    <xf numFmtId="169" fontId="22" fillId="8" borderId="53" xfId="0" applyNumberFormat="1" applyFont="1" applyFill="1" applyBorder="1" applyAlignment="1">
      <alignment vertical="center"/>
    </xf>
    <xf numFmtId="169" fontId="26" fillId="8" borderId="6" xfId="0" applyNumberFormat="1" applyFont="1" applyFill="1" applyBorder="1" applyAlignment="1">
      <alignment vertical="center"/>
    </xf>
    <xf numFmtId="169" fontId="26" fillId="8" borderId="11" xfId="0" applyNumberFormat="1" applyFont="1" applyFill="1" applyBorder="1" applyAlignment="1">
      <alignment vertical="center"/>
    </xf>
    <xf numFmtId="169" fontId="26" fillId="8" borderId="61" xfId="0" applyNumberFormat="1" applyFont="1" applyFill="1" applyBorder="1" applyAlignment="1">
      <alignment vertical="center"/>
    </xf>
    <xf numFmtId="169" fontId="26" fillId="8" borderId="65" xfId="0" applyNumberFormat="1" applyFont="1" applyFill="1" applyBorder="1" applyAlignment="1">
      <alignment vertical="center"/>
    </xf>
    <xf numFmtId="169" fontId="26" fillId="8" borderId="27" xfId="0" applyNumberFormat="1" applyFont="1" applyFill="1" applyBorder="1" applyAlignment="1">
      <alignment vertical="center"/>
    </xf>
    <xf numFmtId="0" fontId="22" fillId="25" borderId="38" xfId="0" applyFont="1" applyFill="1" applyBorder="1" applyAlignment="1">
      <alignment vertical="center" wrapText="1"/>
    </xf>
    <xf numFmtId="0" fontId="22" fillId="25" borderId="40" xfId="0" applyFont="1" applyFill="1" applyBorder="1" applyAlignment="1">
      <alignment vertical="center" wrapText="1"/>
    </xf>
    <xf numFmtId="175" fontId="22" fillId="25" borderId="40" xfId="0" applyNumberFormat="1" applyFont="1" applyFill="1" applyBorder="1" applyAlignment="1">
      <alignment horizontal="right" vertical="center" wrapText="1"/>
    </xf>
    <xf numFmtId="175" fontId="22" fillId="25" borderId="57" xfId="0" applyNumberFormat="1" applyFont="1" applyFill="1" applyBorder="1" applyAlignment="1">
      <alignment horizontal="right" vertical="center" wrapText="1"/>
    </xf>
    <xf numFmtId="0" fontId="22" fillId="25" borderId="32" xfId="0" applyFont="1" applyFill="1" applyBorder="1" applyAlignment="1">
      <alignment vertical="center" wrapText="1"/>
    </xf>
    <xf numFmtId="0" fontId="22" fillId="25" borderId="0" xfId="0" applyFont="1" applyFill="1" applyAlignment="1">
      <alignment vertical="center" wrapText="1"/>
    </xf>
    <xf numFmtId="175" fontId="22" fillId="25" borderId="0" xfId="0" applyNumberFormat="1" applyFont="1" applyFill="1" applyAlignment="1">
      <alignment horizontal="right" vertical="center" wrapText="1"/>
    </xf>
    <xf numFmtId="175" fontId="22" fillId="25" borderId="28" xfId="0" applyNumberFormat="1" applyFont="1" applyFill="1" applyBorder="1" applyAlignment="1">
      <alignment horizontal="right" vertical="center" wrapText="1"/>
    </xf>
    <xf numFmtId="0" fontId="22" fillId="29" borderId="38" xfId="0" applyFont="1" applyFill="1" applyBorder="1" applyAlignment="1">
      <alignment vertical="center" wrapText="1"/>
    </xf>
    <xf numFmtId="0" fontId="22" fillId="29" borderId="40" xfId="0" applyFont="1" applyFill="1" applyBorder="1" applyAlignment="1">
      <alignment vertical="center" wrapText="1"/>
    </xf>
    <xf numFmtId="175" fontId="30" fillId="29" borderId="40" xfId="0" applyNumberFormat="1" applyFont="1" applyFill="1" applyBorder="1" applyAlignment="1">
      <alignment horizontal="right" vertical="center" wrapText="1"/>
    </xf>
    <xf numFmtId="175" fontId="22" fillId="29" borderId="40" xfId="0" applyNumberFormat="1" applyFont="1" applyFill="1" applyBorder="1" applyAlignment="1">
      <alignment horizontal="right" vertical="center" wrapText="1"/>
    </xf>
    <xf numFmtId="175" fontId="22" fillId="29" borderId="57" xfId="0" applyNumberFormat="1" applyFont="1" applyFill="1" applyBorder="1" applyAlignment="1">
      <alignment horizontal="right" vertical="center" wrapText="1"/>
    </xf>
    <xf numFmtId="0" fontId="22" fillId="29" borderId="32" xfId="0" applyFont="1" applyFill="1" applyBorder="1" applyAlignment="1">
      <alignment vertical="center" wrapText="1"/>
    </xf>
    <xf numFmtId="0" fontId="22" fillId="29" borderId="0" xfId="0" applyFont="1" applyFill="1" applyAlignment="1">
      <alignment vertical="center" wrapText="1"/>
    </xf>
    <xf numFmtId="175" fontId="30" fillId="29" borderId="0" xfId="0" applyNumberFormat="1" applyFont="1" applyFill="1" applyAlignment="1">
      <alignment horizontal="right" vertical="center" wrapText="1"/>
    </xf>
    <xf numFmtId="175" fontId="22" fillId="29" borderId="0" xfId="0" applyNumberFormat="1" applyFont="1" applyFill="1" applyAlignment="1">
      <alignment horizontal="right" vertical="center" wrapText="1"/>
    </xf>
    <xf numFmtId="175" fontId="22" fillId="29" borderId="28" xfId="0" applyNumberFormat="1" applyFont="1" applyFill="1" applyBorder="1" applyAlignment="1">
      <alignment horizontal="right" vertical="center" wrapText="1"/>
    </xf>
    <xf numFmtId="0" fontId="22" fillId="29" borderId="56" xfId="0" applyFont="1" applyFill="1" applyBorder="1" applyAlignment="1">
      <alignment vertical="center" wrapText="1"/>
    </xf>
    <xf numFmtId="0" fontId="22" fillId="29" borderId="1" xfId="0" applyFont="1" applyFill="1" applyBorder="1" applyAlignment="1">
      <alignment vertical="center" wrapText="1"/>
    </xf>
    <xf numFmtId="175" fontId="30" fillId="29" borderId="1" xfId="0" applyNumberFormat="1" applyFont="1" applyFill="1" applyBorder="1" applyAlignment="1">
      <alignment horizontal="right" vertical="center" wrapText="1"/>
    </xf>
    <xf numFmtId="175" fontId="22" fillId="29" borderId="1" xfId="0" applyNumberFormat="1" applyFont="1" applyFill="1" applyBorder="1" applyAlignment="1">
      <alignment horizontal="right" vertical="center" wrapText="1"/>
    </xf>
    <xf numFmtId="175" fontId="22" fillId="29" borderId="17" xfId="0" applyNumberFormat="1" applyFont="1" applyFill="1" applyBorder="1" applyAlignment="1">
      <alignment horizontal="right" vertical="center" wrapText="1"/>
    </xf>
    <xf numFmtId="0" fontId="9" fillId="0" borderId="32" xfId="0" applyFont="1" applyBorder="1"/>
    <xf numFmtId="0" fontId="9" fillId="8" borderId="32" xfId="0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/>
    </xf>
    <xf numFmtId="179" fontId="9" fillId="8" borderId="0" xfId="0" applyNumberFormat="1" applyFont="1" applyFill="1" applyAlignment="1">
      <alignment vertical="center"/>
    </xf>
    <xf numFmtId="0" fontId="9" fillId="8" borderId="0" xfId="0" applyFont="1" applyFill="1"/>
    <xf numFmtId="0" fontId="0" fillId="8" borderId="0" xfId="0" applyFill="1"/>
    <xf numFmtId="0" fontId="22" fillId="18" borderId="53" xfId="0" applyFont="1" applyFill="1" applyBorder="1" applyAlignment="1">
      <alignment horizontal="center" vertical="center" wrapText="1"/>
    </xf>
    <xf numFmtId="0" fontId="32" fillId="41" borderId="38" xfId="0" applyFont="1" applyFill="1" applyBorder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/>
    </xf>
    <xf numFmtId="0" fontId="44" fillId="28" borderId="39" xfId="0" applyFont="1" applyFill="1" applyBorder="1" applyAlignment="1">
      <alignment horizontal="center" vertical="center"/>
    </xf>
    <xf numFmtId="168" fontId="8" fillId="28" borderId="34" xfId="1" applyFont="1" applyFill="1" applyBorder="1" applyAlignment="1">
      <alignment horizontal="center" vertical="center"/>
    </xf>
    <xf numFmtId="168" fontId="8" fillId="28" borderId="35" xfId="1" applyFont="1" applyFill="1" applyBorder="1" applyAlignment="1">
      <alignment horizontal="center" vertical="center"/>
    </xf>
    <xf numFmtId="168" fontId="8" fillId="28" borderId="52" xfId="1" applyFont="1" applyFill="1" applyBorder="1" applyAlignment="1">
      <alignment horizontal="center" vertical="center"/>
    </xf>
    <xf numFmtId="2" fontId="30" fillId="44" borderId="63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6" fillId="5" borderId="77" xfId="0" applyFont="1" applyFill="1" applyBorder="1" applyAlignment="1">
      <alignment horizontal="center"/>
    </xf>
    <xf numFmtId="0" fontId="0" fillId="5" borderId="78" xfId="0" applyFill="1" applyBorder="1"/>
    <xf numFmtId="170" fontId="3" fillId="5" borderId="5" xfId="1" applyNumberFormat="1" applyFont="1" applyFill="1" applyBorder="1" applyAlignment="1">
      <alignment horizontal="center" vertical="center"/>
    </xf>
    <xf numFmtId="2" fontId="15" fillId="0" borderId="76" xfId="0" applyNumberFormat="1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48" borderId="85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82" fontId="3" fillId="0" borderId="9" xfId="0" applyNumberFormat="1" applyFont="1" applyBorder="1"/>
    <xf numFmtId="0" fontId="20" fillId="25" borderId="40" xfId="3" applyNumberFormat="1" applyFont="1" applyFill="1" applyBorder="1" applyAlignment="1" applyProtection="1">
      <alignment horizontal="center" vertical="center"/>
    </xf>
    <xf numFmtId="10" fontId="21" fillId="38" borderId="2" xfId="0" applyNumberFormat="1" applyFont="1" applyFill="1" applyBorder="1" applyAlignment="1" applyProtection="1">
      <alignment horizontal="center" vertical="center" wrapText="1"/>
      <protection locked="0"/>
    </xf>
    <xf numFmtId="10" fontId="21" fillId="39" borderId="63" xfId="0" applyNumberFormat="1" applyFont="1" applyFill="1" applyBorder="1" applyAlignment="1" applyProtection="1">
      <alignment horizontal="center" vertical="center"/>
      <protection locked="0"/>
    </xf>
    <xf numFmtId="10" fontId="21" fillId="39" borderId="4" xfId="0" applyNumberFormat="1" applyFont="1" applyFill="1" applyBorder="1" applyAlignment="1" applyProtection="1">
      <alignment horizontal="center" vertical="center"/>
      <protection locked="0"/>
    </xf>
    <xf numFmtId="10" fontId="3" fillId="0" borderId="3" xfId="0" applyNumberFormat="1" applyFont="1" applyBorder="1" applyAlignment="1">
      <alignment horizontal="center"/>
    </xf>
    <xf numFmtId="0" fontId="22" fillId="47" borderId="76" xfId="0" applyFont="1" applyFill="1" applyBorder="1" applyAlignment="1">
      <alignment horizontal="center" vertical="center"/>
    </xf>
    <xf numFmtId="0" fontId="22" fillId="47" borderId="76" xfId="0" applyFont="1" applyFill="1" applyBorder="1" applyAlignment="1">
      <alignment horizontal="center" vertical="center" wrapText="1"/>
    </xf>
    <xf numFmtId="0" fontId="9" fillId="47" borderId="76" xfId="0" applyFont="1" applyFill="1" applyBorder="1"/>
    <xf numFmtId="178" fontId="9" fillId="47" borderId="76" xfId="0" applyNumberFormat="1" applyFont="1" applyFill="1" applyBorder="1"/>
    <xf numFmtId="169" fontId="9" fillId="47" borderId="76" xfId="0" applyNumberFormat="1" applyFont="1" applyFill="1" applyBorder="1"/>
    <xf numFmtId="0" fontId="22" fillId="47" borderId="76" xfId="0" applyFont="1" applyFill="1" applyBorder="1"/>
    <xf numFmtId="0" fontId="43" fillId="4" borderId="76" xfId="0" applyFont="1" applyFill="1" applyBorder="1" applyAlignment="1">
      <alignment horizontal="right"/>
    </xf>
    <xf numFmtId="178" fontId="43" fillId="4" borderId="76" xfId="0" applyNumberFormat="1" applyFont="1" applyFill="1" applyBorder="1"/>
    <xf numFmtId="169" fontId="43" fillId="4" borderId="76" xfId="0" applyNumberFormat="1" applyFont="1" applyFill="1" applyBorder="1"/>
    <xf numFmtId="180" fontId="9" fillId="47" borderId="76" xfId="0" applyNumberFormat="1" applyFont="1" applyFill="1" applyBorder="1"/>
    <xf numFmtId="4" fontId="9" fillId="47" borderId="76" xfId="0" applyNumberFormat="1" applyFont="1" applyFill="1" applyBorder="1"/>
    <xf numFmtId="0" fontId="43" fillId="30" borderId="76" xfId="0" applyFont="1" applyFill="1" applyBorder="1" applyAlignment="1">
      <alignment horizontal="right"/>
    </xf>
    <xf numFmtId="178" fontId="9" fillId="30" borderId="76" xfId="0" applyNumberFormat="1" applyFont="1" applyFill="1" applyBorder="1"/>
    <xf numFmtId="4" fontId="9" fillId="30" borderId="76" xfId="0" applyNumberFormat="1" applyFont="1" applyFill="1" applyBorder="1"/>
    <xf numFmtId="169" fontId="43" fillId="30" borderId="76" xfId="0" applyNumberFormat="1" applyFont="1" applyFill="1" applyBorder="1"/>
    <xf numFmtId="180" fontId="9" fillId="30" borderId="76" xfId="0" applyNumberFormat="1" applyFont="1" applyFill="1" applyBorder="1"/>
    <xf numFmtId="0" fontId="21" fillId="47" borderId="76" xfId="0" applyFont="1" applyFill="1" applyBorder="1"/>
    <xf numFmtId="0" fontId="40" fillId="16" borderId="76" xfId="0" applyFont="1" applyFill="1" applyBorder="1" applyAlignment="1">
      <alignment horizontal="right" vertical="center" wrapText="1"/>
    </xf>
    <xf numFmtId="181" fontId="9" fillId="16" borderId="76" xfId="0" applyNumberFormat="1" applyFont="1" applyFill="1" applyBorder="1"/>
    <xf numFmtId="4" fontId="9" fillId="16" borderId="76" xfId="0" applyNumberFormat="1" applyFont="1" applyFill="1" applyBorder="1"/>
    <xf numFmtId="169" fontId="43" fillId="16" borderId="76" xfId="0" applyNumberFormat="1" applyFont="1" applyFill="1" applyBorder="1"/>
    <xf numFmtId="165" fontId="45" fillId="0" borderId="9" xfId="1" applyNumberFormat="1" applyFont="1" applyBorder="1" applyAlignment="1">
      <alignment horizontal="center" vertical="center"/>
    </xf>
    <xf numFmtId="165" fontId="45" fillId="0" borderId="5" xfId="1" applyNumberFormat="1" applyFont="1" applyBorder="1" applyAlignment="1">
      <alignment horizontal="center" vertical="center"/>
    </xf>
    <xf numFmtId="165" fontId="45" fillId="0" borderId="101" xfId="1" applyNumberFormat="1" applyFont="1" applyBorder="1" applyAlignment="1">
      <alignment horizontal="center" vertical="center"/>
    </xf>
    <xf numFmtId="165" fontId="45" fillId="0" borderId="103" xfId="1" applyNumberFormat="1" applyFont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8" fontId="35" fillId="28" borderId="58" xfId="1" applyFont="1" applyFill="1" applyBorder="1" applyAlignment="1">
      <alignment horizontal="center" vertical="center"/>
    </xf>
    <xf numFmtId="165" fontId="35" fillId="28" borderId="58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104" xfId="0" applyFont="1" applyBorder="1" applyAlignment="1">
      <alignment vertical="center"/>
    </xf>
    <xf numFmtId="0" fontId="7" fillId="0" borderId="78" xfId="0" applyFont="1" applyBorder="1" applyAlignment="1">
      <alignment vertical="center"/>
    </xf>
    <xf numFmtId="0" fontId="7" fillId="0" borderId="77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0" fontId="7" fillId="0" borderId="47" xfId="0" applyFont="1" applyBorder="1" applyAlignment="1">
      <alignment vertical="center"/>
    </xf>
    <xf numFmtId="0" fontId="7" fillId="0" borderId="105" xfId="0" applyFont="1" applyBorder="1" applyAlignment="1">
      <alignment vertical="center"/>
    </xf>
    <xf numFmtId="0" fontId="7" fillId="0" borderId="86" xfId="0" applyFont="1" applyBorder="1" applyAlignment="1">
      <alignment vertical="center"/>
    </xf>
    <xf numFmtId="10" fontId="7" fillId="0" borderId="106" xfId="0" applyNumberFormat="1" applyFont="1" applyBorder="1" applyAlignment="1">
      <alignment vertical="center"/>
    </xf>
    <xf numFmtId="10" fontId="7" fillId="0" borderId="107" xfId="0" applyNumberFormat="1" applyFont="1" applyBorder="1" applyAlignment="1">
      <alignment vertical="center"/>
    </xf>
    <xf numFmtId="10" fontId="7" fillId="0" borderId="108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22" fillId="19" borderId="31" xfId="0" applyFont="1" applyFill="1" applyBorder="1" applyAlignment="1">
      <alignment vertical="center" wrapText="1"/>
    </xf>
    <xf numFmtId="4" fontId="20" fillId="0" borderId="3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4" fontId="20" fillId="0" borderId="54" xfId="0" applyNumberFormat="1" applyFont="1" applyBorder="1" applyAlignment="1">
      <alignment horizontal="right" vertical="center"/>
    </xf>
    <xf numFmtId="0" fontId="46" fillId="0" borderId="109" xfId="0" applyFont="1" applyBorder="1"/>
    <xf numFmtId="0" fontId="46" fillId="0" borderId="84" xfId="0" applyFont="1" applyBorder="1"/>
    <xf numFmtId="8" fontId="46" fillId="0" borderId="84" xfId="0" applyNumberFormat="1" applyFont="1" applyBorder="1" applyAlignment="1">
      <alignment wrapText="1"/>
    </xf>
    <xf numFmtId="0" fontId="15" fillId="0" borderId="109" xfId="0" applyFont="1" applyBorder="1"/>
    <xf numFmtId="0" fontId="15" fillId="0" borderId="110" xfId="0" applyFont="1" applyBorder="1"/>
    <xf numFmtId="0" fontId="15" fillId="0" borderId="78" xfId="0" applyFont="1" applyBorder="1"/>
    <xf numFmtId="8" fontId="15" fillId="0" borderId="84" xfId="0" applyNumberFormat="1" applyFont="1" applyBorder="1" applyAlignment="1">
      <alignment wrapText="1"/>
    </xf>
    <xf numFmtId="0" fontId="15" fillId="0" borderId="111" xfId="0" applyFont="1" applyBorder="1" applyAlignment="1">
      <alignment vertical="center"/>
    </xf>
    <xf numFmtId="0" fontId="15" fillId="0" borderId="112" xfId="0" applyFont="1" applyBorder="1" applyAlignment="1">
      <alignment vertical="center"/>
    </xf>
    <xf numFmtId="0" fontId="41" fillId="0" borderId="113" xfId="0" applyFont="1" applyBorder="1"/>
    <xf numFmtId="8" fontId="15" fillId="0" borderId="115" xfId="0" applyNumberFormat="1" applyFont="1" applyBorder="1" applyAlignment="1">
      <alignment wrapText="1"/>
    </xf>
    <xf numFmtId="168" fontId="20" fillId="41" borderId="38" xfId="1" applyFont="1" applyFill="1" applyBorder="1" applyAlignment="1">
      <alignment vertical="center"/>
    </xf>
    <xf numFmtId="0" fontId="15" fillId="0" borderId="118" xfId="0" applyFont="1" applyBorder="1"/>
    <xf numFmtId="0" fontId="15" fillId="0" borderId="119" xfId="0" applyFont="1" applyBorder="1"/>
    <xf numFmtId="2" fontId="30" fillId="0" borderId="40" xfId="0" applyNumberFormat="1" applyFont="1" applyBorder="1" applyAlignment="1">
      <alignment horizontal="left"/>
    </xf>
    <xf numFmtId="2" fontId="30" fillId="0" borderId="117" xfId="0" applyNumberFormat="1" applyFont="1" applyBorder="1" applyAlignment="1">
      <alignment horizontal="left"/>
    </xf>
    <xf numFmtId="0" fontId="41" fillId="0" borderId="116" xfId="0" applyFont="1" applyBorder="1" applyAlignment="1">
      <alignment horizontal="right"/>
    </xf>
    <xf numFmtId="2" fontId="47" fillId="0" borderId="116" xfId="0" applyNumberFormat="1" applyFont="1" applyBorder="1" applyAlignment="1">
      <alignment horizontal="right"/>
    </xf>
    <xf numFmtId="0" fontId="41" fillId="51" borderId="116" xfId="0" applyFont="1" applyFill="1" applyBorder="1" applyAlignment="1">
      <alignment horizontal="right"/>
    </xf>
    <xf numFmtId="8" fontId="15" fillId="0" borderId="105" xfId="0" applyNumberFormat="1" applyFont="1" applyBorder="1" applyAlignment="1">
      <alignment wrapText="1"/>
    </xf>
    <xf numFmtId="8" fontId="15" fillId="0" borderId="84" xfId="0" applyNumberFormat="1" applyFont="1" applyBorder="1"/>
    <xf numFmtId="8" fontId="15" fillId="0" borderId="115" xfId="0" applyNumberFormat="1" applyFont="1" applyBorder="1"/>
    <xf numFmtId="8" fontId="15" fillId="0" borderId="80" xfId="0" applyNumberFormat="1" applyFont="1" applyBorder="1"/>
    <xf numFmtId="8" fontId="15" fillId="0" borderId="85" xfId="0" applyNumberFormat="1" applyFont="1" applyBorder="1" applyAlignment="1">
      <alignment wrapText="1"/>
    </xf>
    <xf numFmtId="8" fontId="15" fillId="0" borderId="120" xfId="0" applyNumberFormat="1" applyFont="1" applyBorder="1" applyAlignment="1">
      <alignment wrapText="1"/>
    </xf>
    <xf numFmtId="8" fontId="15" fillId="0" borderId="80" xfId="0" applyNumberFormat="1" applyFont="1" applyBorder="1" applyAlignment="1">
      <alignment wrapText="1"/>
    </xf>
    <xf numFmtId="0" fontId="32" fillId="29" borderId="39" xfId="0" applyFont="1" applyFill="1" applyBorder="1" applyAlignment="1">
      <alignment horizontal="center" vertical="center" wrapText="1"/>
    </xf>
    <xf numFmtId="0" fontId="32" fillId="35" borderId="57" xfId="0" applyFont="1" applyFill="1" applyBorder="1" applyAlignment="1">
      <alignment horizontal="center" vertical="center" wrapText="1"/>
    </xf>
    <xf numFmtId="168" fontId="21" fillId="35" borderId="122" xfId="1" applyFont="1" applyFill="1" applyBorder="1" applyAlignment="1">
      <alignment horizontal="center" vertical="center"/>
    </xf>
    <xf numFmtId="168" fontId="21" fillId="35" borderId="63" xfId="1" applyFont="1" applyFill="1" applyBorder="1" applyAlignment="1">
      <alignment horizontal="center" vertical="center"/>
    </xf>
    <xf numFmtId="168" fontId="21" fillId="35" borderId="123" xfId="1" applyFont="1" applyFill="1" applyBorder="1" applyAlignment="1">
      <alignment horizontal="center" vertical="center"/>
    </xf>
    <xf numFmtId="172" fontId="35" fillId="28" borderId="124" xfId="1" applyNumberFormat="1" applyFont="1" applyFill="1" applyBorder="1" applyAlignment="1">
      <alignment horizontal="center" vertical="center"/>
    </xf>
    <xf numFmtId="172" fontId="21" fillId="34" borderId="126" xfId="1" applyNumberFormat="1" applyFont="1" applyFill="1" applyBorder="1" applyAlignment="1">
      <alignment horizontal="center" vertical="center"/>
    </xf>
    <xf numFmtId="172" fontId="21" fillId="34" borderId="127" xfId="1" applyNumberFormat="1" applyFont="1" applyFill="1" applyBorder="1" applyAlignment="1">
      <alignment horizontal="center" vertical="center"/>
    </xf>
    <xf numFmtId="0" fontId="23" fillId="8" borderId="90" xfId="0" applyFont="1" applyFill="1" applyBorder="1" applyAlignment="1">
      <alignment vertical="center"/>
    </xf>
    <xf numFmtId="167" fontId="6" fillId="17" borderId="135" xfId="0" applyNumberFormat="1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vertical="center"/>
    </xf>
    <xf numFmtId="173" fontId="3" fillId="17" borderId="136" xfId="1" applyNumberFormat="1" applyFont="1" applyFill="1" applyBorder="1" applyAlignment="1">
      <alignment horizontal="center" vertical="center"/>
    </xf>
    <xf numFmtId="167" fontId="3" fillId="17" borderId="136" xfId="0" applyNumberFormat="1" applyFont="1" applyFill="1" applyBorder="1" applyAlignment="1">
      <alignment horizontal="center" vertical="center"/>
    </xf>
    <xf numFmtId="167" fontId="3" fillId="17" borderId="137" xfId="0" applyNumberFormat="1" applyFont="1" applyFill="1" applyBorder="1" applyAlignment="1">
      <alignment horizontal="center" vertical="center"/>
    </xf>
    <xf numFmtId="0" fontId="22" fillId="8" borderId="140" xfId="0" applyFont="1" applyFill="1" applyBorder="1" applyAlignment="1">
      <alignment horizontal="center" vertical="center"/>
    </xf>
    <xf numFmtId="0" fontId="22" fillId="18" borderId="141" xfId="0" applyFont="1" applyFill="1" applyBorder="1" applyAlignment="1">
      <alignment horizontal="center" vertical="center" wrapText="1"/>
    </xf>
    <xf numFmtId="0" fontId="22" fillId="19" borderId="142" xfId="0" applyFont="1" applyFill="1" applyBorder="1" applyAlignment="1">
      <alignment vertical="center" wrapText="1"/>
    </xf>
    <xf numFmtId="0" fontId="22" fillId="19" borderId="136" xfId="0" applyFont="1" applyFill="1" applyBorder="1" applyAlignment="1">
      <alignment vertical="center" wrapText="1"/>
    </xf>
    <xf numFmtId="0" fontId="22" fillId="20" borderId="102" xfId="0" applyFont="1" applyFill="1" applyBorder="1" applyAlignment="1">
      <alignment vertical="center" wrapText="1"/>
    </xf>
    <xf numFmtId="169" fontId="22" fillId="20" borderId="143" xfId="1" applyNumberFormat="1" applyFont="1" applyFill="1" applyBorder="1" applyAlignment="1">
      <alignment horizontal="center" vertical="center"/>
    </xf>
    <xf numFmtId="0" fontId="9" fillId="8" borderId="102" xfId="0" applyFont="1" applyFill="1" applyBorder="1" applyAlignment="1">
      <alignment vertical="center" wrapText="1"/>
    </xf>
    <xf numFmtId="169" fontId="22" fillId="8" borderId="143" xfId="1" applyNumberFormat="1" applyFont="1" applyFill="1" applyBorder="1"/>
    <xf numFmtId="0" fontId="20" fillId="6" borderId="102" xfId="0" applyFont="1" applyFill="1" applyBorder="1" applyAlignment="1">
      <alignment horizontal="right" vertical="center"/>
    </xf>
    <xf numFmtId="2" fontId="20" fillId="6" borderId="143" xfId="0" applyNumberFormat="1" applyFont="1" applyFill="1" applyBorder="1" applyAlignment="1">
      <alignment horizontal="right" vertical="center"/>
    </xf>
    <xf numFmtId="0" fontId="9" fillId="8" borderId="102" xfId="0" applyFont="1" applyFill="1" applyBorder="1" applyAlignment="1">
      <alignment horizontal="center" vertical="center"/>
    </xf>
    <xf numFmtId="0" fontId="9" fillId="8" borderId="143" xfId="0" applyFont="1" applyFill="1" applyBorder="1" applyAlignment="1">
      <alignment horizontal="center" vertical="center"/>
    </xf>
    <xf numFmtId="0" fontId="20" fillId="3" borderId="102" xfId="0" applyFont="1" applyFill="1" applyBorder="1" applyAlignment="1">
      <alignment vertical="center"/>
    </xf>
    <xf numFmtId="169" fontId="22" fillId="21" borderId="143" xfId="1" applyNumberFormat="1" applyFont="1" applyFill="1" applyBorder="1" applyAlignment="1">
      <alignment horizontal="center" vertical="center"/>
    </xf>
    <xf numFmtId="0" fontId="21" fillId="0" borderId="102" xfId="0" applyFont="1" applyBorder="1" applyAlignment="1">
      <alignment vertical="center"/>
    </xf>
    <xf numFmtId="0" fontId="20" fillId="3" borderId="143" xfId="0" applyFont="1" applyFill="1" applyBorder="1" applyAlignment="1">
      <alignment vertical="center"/>
    </xf>
    <xf numFmtId="169" fontId="22" fillId="8" borderId="143" xfId="1" applyNumberFormat="1" applyFont="1" applyFill="1" applyBorder="1" applyAlignment="1">
      <alignment vertical="center"/>
    </xf>
    <xf numFmtId="4" fontId="21" fillId="0" borderId="143" xfId="0" applyNumberFormat="1" applyFont="1" applyBorder="1" applyAlignment="1">
      <alignment vertical="center"/>
    </xf>
    <xf numFmtId="0" fontId="20" fillId="3" borderId="143" xfId="0" applyFont="1" applyFill="1" applyBorder="1" applyAlignment="1">
      <alignment horizontal="center" vertical="center"/>
    </xf>
    <xf numFmtId="2" fontId="21" fillId="0" borderId="143" xfId="0" applyNumberFormat="1" applyFont="1" applyBorder="1" applyAlignment="1">
      <alignment horizontal="right" vertical="center"/>
    </xf>
    <xf numFmtId="4" fontId="20" fillId="6" borderId="143" xfId="0" applyNumberFormat="1" applyFont="1" applyFill="1" applyBorder="1" applyAlignment="1">
      <alignment horizontal="right" vertical="center"/>
    </xf>
    <xf numFmtId="4" fontId="20" fillId="0" borderId="143" xfId="0" applyNumberFormat="1" applyFont="1" applyBorder="1" applyAlignment="1">
      <alignment horizontal="right" vertical="center"/>
    </xf>
    <xf numFmtId="0" fontId="22" fillId="22" borderId="102" xfId="0" applyFont="1" applyFill="1" applyBorder="1" applyAlignment="1">
      <alignment horizontal="right" vertical="center" wrapText="1"/>
    </xf>
    <xf numFmtId="169" fontId="22" fillId="22" borderId="143" xfId="0" applyNumberFormat="1" applyFont="1" applyFill="1" applyBorder="1" applyAlignment="1">
      <alignment vertical="center"/>
    </xf>
    <xf numFmtId="0" fontId="22" fillId="19" borderId="144" xfId="0" applyFont="1" applyFill="1" applyBorder="1" applyAlignment="1">
      <alignment vertical="center" wrapText="1"/>
    </xf>
    <xf numFmtId="0" fontId="22" fillId="19" borderId="145" xfId="0" applyFont="1" applyFill="1" applyBorder="1" applyAlignment="1">
      <alignment vertical="center" wrapText="1"/>
    </xf>
    <xf numFmtId="0" fontId="21" fillId="0" borderId="102" xfId="0" applyFont="1" applyBorder="1" applyAlignment="1">
      <alignment wrapText="1"/>
    </xf>
    <xf numFmtId="0" fontId="9" fillId="8" borderId="146" xfId="0" applyFont="1" applyFill="1" applyBorder="1" applyAlignment="1">
      <alignment horizontal="center" vertical="center"/>
    </xf>
    <xf numFmtId="0" fontId="22" fillId="45" borderId="102" xfId="0" applyFont="1" applyFill="1" applyBorder="1" applyAlignment="1">
      <alignment vertical="center" wrapText="1"/>
    </xf>
    <xf numFmtId="169" fontId="22" fillId="45" borderId="143" xfId="1" applyNumberFormat="1" applyFont="1" applyFill="1" applyBorder="1" applyAlignment="1">
      <alignment horizontal="left" vertical="center"/>
    </xf>
    <xf numFmtId="169" fontId="9" fillId="0" borderId="143" xfId="1" applyNumberFormat="1" applyFont="1" applyBorder="1" applyAlignment="1">
      <alignment vertical="center"/>
    </xf>
    <xf numFmtId="169" fontId="9" fillId="0" borderId="146" xfId="1" applyNumberFormat="1" applyFont="1" applyBorder="1" applyAlignment="1">
      <alignment vertical="center"/>
    </xf>
    <xf numFmtId="169" fontId="22" fillId="46" borderId="141" xfId="1" applyNumberFormat="1" applyFont="1" applyFill="1" applyBorder="1" applyAlignment="1">
      <alignment vertical="center"/>
    </xf>
    <xf numFmtId="169" fontId="22" fillId="46" borderId="143" xfId="1" applyNumberFormat="1" applyFont="1" applyFill="1" applyBorder="1" applyAlignment="1">
      <alignment vertical="center"/>
    </xf>
    <xf numFmtId="169" fontId="22" fillId="46" borderId="148" xfId="1" applyNumberFormat="1" applyFont="1" applyFill="1" applyBorder="1" applyAlignment="1">
      <alignment vertical="center"/>
    </xf>
    <xf numFmtId="169" fontId="9" fillId="8" borderId="149" xfId="1" applyNumberFormat="1" applyFont="1" applyFill="1" applyBorder="1" applyAlignment="1">
      <alignment vertical="center"/>
    </xf>
    <xf numFmtId="0" fontId="22" fillId="22" borderId="150" xfId="0" applyFont="1" applyFill="1" applyBorder="1" applyAlignment="1">
      <alignment horizontal="right" vertical="center" wrapText="1"/>
    </xf>
    <xf numFmtId="169" fontId="22" fillId="22" borderId="148" xfId="0" applyNumberFormat="1" applyFont="1" applyFill="1" applyBorder="1" applyAlignment="1">
      <alignment vertical="center"/>
    </xf>
    <xf numFmtId="0" fontId="22" fillId="23" borderId="141" xfId="0" applyFont="1" applyFill="1" applyBorder="1" applyAlignment="1">
      <alignment horizontal="center" vertical="center" wrapText="1"/>
    </xf>
    <xf numFmtId="169" fontId="22" fillId="24" borderId="146" xfId="1" applyNumberFormat="1" applyFont="1" applyFill="1" applyBorder="1" applyAlignment="1">
      <alignment horizontal="center" vertical="center"/>
    </xf>
    <xf numFmtId="169" fontId="22" fillId="8" borderId="141" xfId="0" applyNumberFormat="1" applyFont="1" applyFill="1" applyBorder="1" applyAlignment="1">
      <alignment vertical="center"/>
    </xf>
    <xf numFmtId="169" fontId="22" fillId="8" borderId="143" xfId="0" applyNumberFormat="1" applyFont="1" applyFill="1" applyBorder="1" applyAlignment="1">
      <alignment vertical="center"/>
    </xf>
    <xf numFmtId="169" fontId="26" fillId="8" borderId="143" xfId="0" applyNumberFormat="1" applyFont="1" applyFill="1" applyBorder="1" applyAlignment="1">
      <alignment vertical="center"/>
    </xf>
    <xf numFmtId="169" fontId="26" fillId="8" borderId="146" xfId="0" applyNumberFormat="1" applyFont="1" applyFill="1" applyBorder="1" applyAlignment="1">
      <alignment vertical="center"/>
    </xf>
    <xf numFmtId="169" fontId="26" fillId="8" borderId="145" xfId="0" applyNumberFormat="1" applyFont="1" applyFill="1" applyBorder="1" applyAlignment="1">
      <alignment vertical="center"/>
    </xf>
    <xf numFmtId="0" fontId="22" fillId="25" borderId="154" xfId="0" applyFont="1" applyFill="1" applyBorder="1" applyAlignment="1">
      <alignment vertical="center" wrapText="1"/>
    </xf>
    <xf numFmtId="175" fontId="22" fillId="25" borderId="155" xfId="0" applyNumberFormat="1" applyFont="1" applyFill="1" applyBorder="1" applyAlignment="1">
      <alignment horizontal="right" vertical="center" wrapText="1"/>
    </xf>
    <xf numFmtId="0" fontId="22" fillId="25" borderId="90" xfId="0" applyFont="1" applyFill="1" applyBorder="1" applyAlignment="1">
      <alignment vertical="center" wrapText="1"/>
    </xf>
    <xf numFmtId="175" fontId="22" fillId="25" borderId="91" xfId="0" applyNumberFormat="1" applyFont="1" applyFill="1" applyBorder="1" applyAlignment="1">
      <alignment horizontal="right" vertical="center" wrapText="1"/>
    </xf>
    <xf numFmtId="0" fontId="22" fillId="29" borderId="154" xfId="0" applyFont="1" applyFill="1" applyBorder="1" applyAlignment="1">
      <alignment vertical="center" wrapText="1"/>
    </xf>
    <xf numFmtId="175" fontId="30" fillId="29" borderId="155" xfId="0" applyNumberFormat="1" applyFont="1" applyFill="1" applyBorder="1" applyAlignment="1">
      <alignment horizontal="right" vertical="center" wrapText="1"/>
    </xf>
    <xf numFmtId="0" fontId="22" fillId="29" borderId="90" xfId="0" applyFont="1" applyFill="1" applyBorder="1" applyAlignment="1">
      <alignment vertical="center" wrapText="1"/>
    </xf>
    <xf numFmtId="175" fontId="30" fillId="29" borderId="91" xfId="0" applyNumberFormat="1" applyFont="1" applyFill="1" applyBorder="1" applyAlignment="1">
      <alignment horizontal="right" vertical="center" wrapText="1"/>
    </xf>
    <xf numFmtId="0" fontId="22" fillId="29" borderId="92" xfId="0" applyFont="1" applyFill="1" applyBorder="1" applyAlignment="1">
      <alignment vertical="center" wrapText="1"/>
    </xf>
    <xf numFmtId="0" fontId="22" fillId="29" borderId="93" xfId="0" applyFont="1" applyFill="1" applyBorder="1" applyAlignment="1">
      <alignment vertical="center" wrapText="1"/>
    </xf>
    <xf numFmtId="175" fontId="30" fillId="29" borderId="93" xfId="0" applyNumberFormat="1" applyFont="1" applyFill="1" applyBorder="1" applyAlignment="1">
      <alignment horizontal="right" vertical="center" wrapText="1"/>
    </xf>
    <xf numFmtId="175" fontId="30" fillId="29" borderId="94" xfId="0" applyNumberFormat="1" applyFont="1" applyFill="1" applyBorder="1" applyAlignment="1">
      <alignment horizontal="right" vertical="center" wrapText="1"/>
    </xf>
    <xf numFmtId="171" fontId="24" fillId="8" borderId="3" xfId="2" applyNumberFormat="1" applyFont="1" applyFill="1" applyBorder="1" applyAlignment="1" applyProtection="1">
      <alignment wrapText="1"/>
    </xf>
    <xf numFmtId="171" fontId="24" fillId="8" borderId="3" xfId="2" applyNumberFormat="1" applyFont="1" applyFill="1" applyBorder="1" applyAlignment="1" applyProtection="1">
      <alignment vertical="center" wrapText="1"/>
    </xf>
    <xf numFmtId="166" fontId="24" fillId="8" borderId="3" xfId="2" applyNumberFormat="1" applyFont="1" applyFill="1" applyBorder="1" applyAlignment="1" applyProtection="1">
      <alignment vertical="center" wrapText="1"/>
    </xf>
    <xf numFmtId="10" fontId="24" fillId="8" borderId="3" xfId="2" applyNumberFormat="1" applyFont="1" applyFill="1" applyBorder="1" applyAlignment="1" applyProtection="1">
      <alignment vertical="center" wrapText="1"/>
    </xf>
    <xf numFmtId="2" fontId="30" fillId="0" borderId="0" xfId="0" applyNumberFormat="1" applyFont="1" applyAlignment="1">
      <alignment horizontal="left"/>
    </xf>
    <xf numFmtId="0" fontId="32" fillId="34" borderId="39" xfId="0" applyFont="1" applyFill="1" applyBorder="1" applyAlignment="1">
      <alignment horizontal="center" vertical="center" wrapText="1"/>
    </xf>
    <xf numFmtId="168" fontId="30" fillId="44" borderId="98" xfId="0" applyNumberFormat="1" applyFont="1" applyFill="1" applyBorder="1" applyAlignment="1">
      <alignment horizontal="center" vertical="center" wrapText="1"/>
    </xf>
    <xf numFmtId="0" fontId="32" fillId="13" borderId="116" xfId="0" applyFont="1" applyFill="1" applyBorder="1" applyAlignment="1">
      <alignment horizontal="center" vertical="center" wrapText="1"/>
    </xf>
    <xf numFmtId="0" fontId="32" fillId="44" borderId="82" xfId="0" applyFont="1" applyFill="1" applyBorder="1" applyAlignment="1">
      <alignment horizontal="center" vertical="center" wrapText="1"/>
    </xf>
    <xf numFmtId="0" fontId="30" fillId="44" borderId="15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3" borderId="77" xfId="0" applyFont="1" applyFill="1" applyBorder="1" applyAlignment="1">
      <alignment horizontal="left" vertical="center"/>
    </xf>
    <xf numFmtId="10" fontId="7" fillId="0" borderId="84" xfId="0" applyNumberFormat="1" applyFont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18" fillId="0" borderId="0" xfId="0" applyFont="1"/>
    <xf numFmtId="0" fontId="6" fillId="0" borderId="6" xfId="0" applyFont="1" applyBorder="1" applyAlignment="1">
      <alignment vertical="center"/>
    </xf>
    <xf numFmtId="183" fontId="3" fillId="3" borderId="3" xfId="0" applyNumberFormat="1" applyFont="1" applyFill="1" applyBorder="1" applyAlignment="1">
      <alignment horizontal="center" vertical="center"/>
    </xf>
    <xf numFmtId="184" fontId="0" fillId="0" borderId="0" xfId="0" applyNumberFormat="1"/>
    <xf numFmtId="8" fontId="9" fillId="0" borderId="32" xfId="0" applyNumberFormat="1" applyFont="1" applyBorder="1"/>
    <xf numFmtId="8" fontId="9" fillId="0" borderId="0" xfId="0" applyNumberFormat="1" applyFont="1"/>
    <xf numFmtId="0" fontId="48" fillId="0" borderId="0" xfId="4"/>
    <xf numFmtId="168" fontId="21" fillId="35" borderId="111" xfId="1" applyFont="1" applyFill="1" applyBorder="1" applyAlignment="1">
      <alignment horizontal="center" vertical="center"/>
    </xf>
    <xf numFmtId="168" fontId="21" fillId="35" borderId="112" xfId="1" applyFont="1" applyFill="1" applyBorder="1" applyAlignment="1">
      <alignment horizontal="center" vertical="center"/>
    </xf>
    <xf numFmtId="168" fontId="21" fillId="35" borderId="157" xfId="1" applyFont="1" applyFill="1" applyBorder="1" applyAlignment="1">
      <alignment horizontal="center" vertical="center"/>
    </xf>
    <xf numFmtId="168" fontId="21" fillId="35" borderId="161" xfId="1" applyFont="1" applyFill="1" applyBorder="1" applyAlignment="1">
      <alignment horizontal="center" vertical="center"/>
    </xf>
    <xf numFmtId="168" fontId="21" fillId="35" borderId="162" xfId="1" applyFont="1" applyFill="1" applyBorder="1" applyAlignment="1">
      <alignment horizontal="center" vertical="center"/>
    </xf>
    <xf numFmtId="0" fontId="30" fillId="13" borderId="90" xfId="0" applyFont="1" applyFill="1" applyBorder="1" applyAlignment="1">
      <alignment horizontal="center" vertical="center" wrapText="1"/>
    </xf>
    <xf numFmtId="168" fontId="30" fillId="13" borderId="158" xfId="0" applyNumberFormat="1" applyFont="1" applyFill="1" applyBorder="1" applyAlignment="1">
      <alignment horizontal="center" vertical="center" wrapText="1"/>
    </xf>
    <xf numFmtId="172" fontId="21" fillId="37" borderId="112" xfId="1" applyNumberFormat="1" applyFont="1" applyFill="1" applyBorder="1" applyAlignment="1">
      <alignment horizontal="center" vertical="center"/>
    </xf>
    <xf numFmtId="2" fontId="21" fillId="36" borderId="63" xfId="1" applyNumberFormat="1" applyFont="1" applyFill="1" applyBorder="1" applyAlignment="1">
      <alignment horizontal="center" vertical="center"/>
    </xf>
    <xf numFmtId="2" fontId="21" fillId="36" borderId="4" xfId="1" applyNumberFormat="1" applyFont="1" applyFill="1" applyBorder="1" applyAlignment="1">
      <alignment horizontal="center" vertical="center"/>
    </xf>
    <xf numFmtId="2" fontId="21" fillId="36" borderId="104" xfId="1" applyNumberFormat="1" applyFont="1" applyFill="1" applyBorder="1" applyAlignment="1">
      <alignment horizontal="center" vertical="center"/>
    </xf>
    <xf numFmtId="2" fontId="21" fillId="36" borderId="2" xfId="1" applyNumberFormat="1" applyFont="1" applyFill="1" applyBorder="1" applyAlignment="1">
      <alignment horizontal="center" vertical="center"/>
    </xf>
    <xf numFmtId="2" fontId="21" fillId="36" borderId="122" xfId="1" applyNumberFormat="1" applyFont="1" applyFill="1" applyBorder="1" applyAlignment="1">
      <alignment horizontal="center" vertical="center"/>
    </xf>
    <xf numFmtId="0" fontId="30" fillId="44" borderId="15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vertical="center"/>
    </xf>
    <xf numFmtId="10" fontId="7" fillId="0" borderId="85" xfId="0" applyNumberFormat="1" applyFont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10" fontId="7" fillId="0" borderId="105" xfId="0" applyNumberFormat="1" applyFont="1" applyBorder="1" applyAlignment="1">
      <alignment horizontal="left" vertical="center"/>
    </xf>
    <xf numFmtId="0" fontId="8" fillId="52" borderId="11" xfId="0" applyFont="1" applyFill="1" applyBorder="1" applyAlignment="1" applyProtection="1">
      <alignment horizontal="center" vertical="center"/>
      <protection locked="0"/>
    </xf>
    <xf numFmtId="0" fontId="21" fillId="0" borderId="169" xfId="0" applyFont="1" applyBorder="1" applyAlignment="1">
      <alignment horizontal="center"/>
    </xf>
    <xf numFmtId="10" fontId="49" fillId="0" borderId="109" xfId="0" applyNumberFormat="1" applyFont="1" applyBorder="1"/>
    <xf numFmtId="2" fontId="49" fillId="0" borderId="170" xfId="0" applyNumberFormat="1" applyFont="1" applyBorder="1" applyAlignment="1">
      <alignment horizontal="center"/>
    </xf>
    <xf numFmtId="2" fontId="49" fillId="54" borderId="170" xfId="0" applyNumberFormat="1" applyFont="1" applyFill="1" applyBorder="1" applyAlignment="1">
      <alignment horizontal="center"/>
    </xf>
    <xf numFmtId="2" fontId="49" fillId="0" borderId="170" xfId="0" quotePrefix="1" applyNumberFormat="1" applyFont="1" applyBorder="1" applyAlignment="1">
      <alignment horizontal="center"/>
    </xf>
    <xf numFmtId="10" fontId="49" fillId="0" borderId="109" xfId="0" applyNumberFormat="1" applyFont="1" applyBorder="1" applyAlignment="1">
      <alignment horizontal="center"/>
    </xf>
    <xf numFmtId="0" fontId="20" fillId="0" borderId="169" xfId="0" applyFont="1" applyBorder="1" applyAlignment="1">
      <alignment horizontal="center"/>
    </xf>
    <xf numFmtId="0" fontId="20" fillId="53" borderId="169" xfId="0" applyFont="1" applyFill="1" applyBorder="1" applyAlignment="1">
      <alignment horizontal="center"/>
    </xf>
    <xf numFmtId="0" fontId="8" fillId="0" borderId="169" xfId="0" applyFont="1" applyBorder="1"/>
    <xf numFmtId="0" fontId="14" fillId="0" borderId="169" xfId="0" applyFont="1" applyBorder="1"/>
    <xf numFmtId="10" fontId="50" fillId="0" borderId="109" xfId="0" applyNumberFormat="1" applyFont="1" applyBorder="1"/>
    <xf numFmtId="2" fontId="49" fillId="55" borderId="170" xfId="0" applyNumberFormat="1" applyFont="1" applyFill="1" applyBorder="1" applyAlignment="1">
      <alignment horizontal="center"/>
    </xf>
    <xf numFmtId="172" fontId="21" fillId="34" borderId="171" xfId="1" applyNumberFormat="1" applyFont="1" applyFill="1" applyBorder="1" applyAlignment="1">
      <alignment horizontal="center" vertical="center"/>
    </xf>
    <xf numFmtId="168" fontId="21" fillId="35" borderId="4" xfId="1" applyFont="1" applyFill="1" applyBorder="1" applyAlignment="1">
      <alignment horizontal="center" vertical="center"/>
    </xf>
    <xf numFmtId="172" fontId="21" fillId="36" borderId="61" xfId="1" applyNumberFormat="1" applyFont="1" applyFill="1" applyBorder="1" applyAlignment="1">
      <alignment horizontal="center" vertical="center"/>
    </xf>
    <xf numFmtId="10" fontId="51" fillId="0" borderId="109" xfId="0" applyNumberFormat="1" applyFont="1" applyBorder="1"/>
    <xf numFmtId="0" fontId="20" fillId="49" borderId="7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165" fontId="35" fillId="28" borderId="174" xfId="1" applyNumberFormat="1" applyFont="1" applyFill="1" applyBorder="1" applyAlignment="1">
      <alignment horizontal="center" vertical="center"/>
    </xf>
    <xf numFmtId="165" fontId="45" fillId="0" borderId="63" xfId="1" applyNumberFormat="1" applyFont="1" applyBorder="1" applyAlignment="1">
      <alignment horizontal="center" vertical="center"/>
    </xf>
    <xf numFmtId="165" fontId="45" fillId="0" borderId="4" xfId="1" applyNumberFormat="1" applyFont="1" applyBorder="1" applyAlignment="1">
      <alignment horizontal="center" vertical="center"/>
    </xf>
    <xf numFmtId="168" fontId="35" fillId="28" borderId="15" xfId="1" applyFont="1" applyFill="1" applyBorder="1" applyAlignment="1">
      <alignment horizontal="center" vertical="center"/>
    </xf>
    <xf numFmtId="172" fontId="35" fillId="28" borderId="16" xfId="1" applyNumberFormat="1" applyFont="1" applyFill="1" applyBorder="1" applyAlignment="1">
      <alignment horizontal="center" vertical="center"/>
    </xf>
    <xf numFmtId="165" fontId="45" fillId="0" borderId="175" xfId="1" applyNumberFormat="1" applyFont="1" applyBorder="1" applyAlignment="1">
      <alignment horizontal="center" vertical="center"/>
    </xf>
    <xf numFmtId="0" fontId="8" fillId="30" borderId="13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2" fontId="8" fillId="0" borderId="100" xfId="1" applyNumberFormat="1" applyFont="1" applyBorder="1" applyAlignment="1">
      <alignment horizontal="center" vertical="center"/>
    </xf>
    <xf numFmtId="2" fontId="8" fillId="0" borderId="102" xfId="1" applyNumberFormat="1" applyFont="1" applyBorder="1" applyAlignment="1">
      <alignment horizontal="center" vertical="center"/>
    </xf>
    <xf numFmtId="2" fontId="8" fillId="0" borderId="153" xfId="1" applyNumberFormat="1" applyFont="1" applyBorder="1" applyAlignment="1">
      <alignment horizontal="center" vertical="center"/>
    </xf>
    <xf numFmtId="2" fontId="30" fillId="8" borderId="121" xfId="0" applyNumberFormat="1" applyFont="1" applyFill="1" applyBorder="1"/>
    <xf numFmtId="2" fontId="30" fillId="8" borderId="109" xfId="0" applyNumberFormat="1" applyFont="1" applyFill="1" applyBorder="1"/>
    <xf numFmtId="2" fontId="20" fillId="0" borderId="109" xfId="0" applyNumberFormat="1" applyFont="1" applyBorder="1"/>
    <xf numFmtId="2" fontId="30" fillId="0" borderId="109" xfId="0" applyNumberFormat="1" applyFont="1" applyBorder="1"/>
    <xf numFmtId="2" fontId="35" fillId="28" borderId="15" xfId="1" applyNumberFormat="1" applyFont="1" applyFill="1" applyBorder="1" applyAlignment="1">
      <alignment horizontal="center" vertical="center"/>
    </xf>
    <xf numFmtId="172" fontId="32" fillId="29" borderId="2" xfId="0" applyNumberFormat="1" applyFont="1" applyFill="1" applyBorder="1" applyAlignment="1">
      <alignment horizontal="center" vertical="center" wrapText="1"/>
    </xf>
    <xf numFmtId="2" fontId="30" fillId="8" borderId="118" xfId="0" applyNumberFormat="1" applyFont="1" applyFill="1" applyBorder="1"/>
    <xf numFmtId="165" fontId="45" fillId="0" borderId="126" xfId="1" applyNumberFormat="1" applyFont="1" applyBorder="1" applyAlignment="1">
      <alignment horizontal="center" vertical="center"/>
    </xf>
    <xf numFmtId="165" fontId="45" fillId="0" borderId="77" xfId="1" applyNumberFormat="1" applyFont="1" applyBorder="1" applyAlignment="1">
      <alignment horizontal="center" vertical="center"/>
    </xf>
    <xf numFmtId="2" fontId="30" fillId="8" borderId="110" xfId="0" applyNumberFormat="1" applyFont="1" applyFill="1" applyBorder="1"/>
    <xf numFmtId="2" fontId="30" fillId="0" borderId="110" xfId="0" applyNumberFormat="1" applyFont="1" applyBorder="1"/>
    <xf numFmtId="2" fontId="20" fillId="0" borderId="121" xfId="0" applyNumberFormat="1" applyFont="1" applyBorder="1"/>
    <xf numFmtId="2" fontId="20" fillId="0" borderId="118" xfId="0" applyNumberFormat="1" applyFont="1" applyBorder="1"/>
    <xf numFmtId="2" fontId="20" fillId="0" borderId="110" xfId="0" applyNumberFormat="1" applyFont="1" applyBorder="1"/>
    <xf numFmtId="0" fontId="20" fillId="16" borderId="38" xfId="0" applyFont="1" applyFill="1" applyBorder="1" applyAlignment="1">
      <alignment horizontal="center" vertical="center" wrapText="1"/>
    </xf>
    <xf numFmtId="168" fontId="35" fillId="28" borderId="124" xfId="1" applyFont="1" applyFill="1" applyBorder="1" applyAlignment="1">
      <alignment horizontal="center" vertical="center"/>
    </xf>
    <xf numFmtId="165" fontId="45" fillId="0" borderId="125" xfId="1" applyNumberFormat="1" applyFont="1" applyBorder="1" applyAlignment="1">
      <alignment horizontal="center" vertical="center"/>
    </xf>
    <xf numFmtId="165" fontId="45" fillId="0" borderId="145" xfId="1" applyNumberFormat="1" applyFont="1" applyBorder="1" applyAlignment="1">
      <alignment horizontal="center" vertical="center"/>
    </xf>
    <xf numFmtId="2" fontId="8" fillId="0" borderId="176" xfId="1" applyNumberFormat="1" applyFont="1" applyBorder="1" applyAlignment="1">
      <alignment horizontal="center" vertical="center"/>
    </xf>
    <xf numFmtId="2" fontId="8" fillId="0" borderId="177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65" xfId="1" applyNumberFormat="1" applyFont="1" applyBorder="1" applyAlignment="1">
      <alignment horizontal="center" vertical="center"/>
    </xf>
    <xf numFmtId="2" fontId="8" fillId="0" borderId="78" xfId="1" applyNumberFormat="1" applyFont="1" applyBorder="1" applyAlignment="1">
      <alignment horizontal="center" vertical="center"/>
    </xf>
    <xf numFmtId="168" fontId="35" fillId="28" borderId="8" xfId="1" applyFont="1" applyFill="1" applyBorder="1" applyAlignment="1">
      <alignment horizontal="center" vertical="center"/>
    </xf>
    <xf numFmtId="172" fontId="14" fillId="0" borderId="178" xfId="0" applyNumberFormat="1" applyFont="1" applyBorder="1" applyAlignment="1">
      <alignment horizontal="center" vertical="center"/>
    </xf>
    <xf numFmtId="172" fontId="14" fillId="0" borderId="143" xfId="0" applyNumberFormat="1" applyFont="1" applyBorder="1" applyAlignment="1">
      <alignment horizontal="center" vertical="center"/>
    </xf>
    <xf numFmtId="172" fontId="14" fillId="0" borderId="179" xfId="0" applyNumberFormat="1" applyFont="1" applyBorder="1" applyAlignment="1">
      <alignment horizontal="center" vertical="center"/>
    </xf>
    <xf numFmtId="172" fontId="35" fillId="28" borderId="26" xfId="1" applyNumberFormat="1" applyFont="1" applyFill="1" applyBorder="1" applyAlignment="1">
      <alignment horizontal="center" vertical="center"/>
    </xf>
    <xf numFmtId="168" fontId="35" fillId="28" borderId="50" xfId="1" applyFont="1" applyFill="1" applyBorder="1" applyAlignment="1">
      <alignment horizontal="center" vertical="center"/>
    </xf>
    <xf numFmtId="43" fontId="37" fillId="2" borderId="73" xfId="0" applyNumberFormat="1" applyFont="1" applyFill="1" applyBorder="1" applyAlignment="1">
      <alignment horizontal="center" vertical="center"/>
    </xf>
    <xf numFmtId="0" fontId="21" fillId="0" borderId="169" xfId="0" applyFont="1" applyBorder="1"/>
    <xf numFmtId="0" fontId="21" fillId="0" borderId="90" xfId="0" applyFont="1" applyBorder="1"/>
    <xf numFmtId="0" fontId="21" fillId="0" borderId="109" xfId="0" applyFont="1" applyBorder="1" applyAlignment="1">
      <alignment horizontal="center"/>
    </xf>
    <xf numFmtId="0" fontId="21" fillId="0" borderId="86" xfId="0" applyFont="1" applyBorder="1" applyAlignment="1">
      <alignment horizontal="center"/>
    </xf>
    <xf numFmtId="0" fontId="21" fillId="0" borderId="180" xfId="0" applyFont="1" applyBorder="1" applyAlignment="1">
      <alignment horizontal="center"/>
    </xf>
    <xf numFmtId="2" fontId="47" fillId="8" borderId="86" xfId="0" applyNumberFormat="1" applyFont="1" applyFill="1" applyBorder="1" applyAlignment="1">
      <alignment horizontal="center"/>
    </xf>
    <xf numFmtId="2" fontId="14" fillId="8" borderId="86" xfId="0" applyNumberFormat="1" applyFont="1" applyFill="1" applyBorder="1" applyAlignment="1">
      <alignment horizontal="center"/>
    </xf>
    <xf numFmtId="2" fontId="21" fillId="0" borderId="86" xfId="0" applyNumberFormat="1" applyFont="1" applyBorder="1" applyAlignment="1">
      <alignment horizontal="center"/>
    </xf>
    <xf numFmtId="2" fontId="47" fillId="0" borderId="86" xfId="0" applyNumberFormat="1" applyFont="1" applyBorder="1" applyAlignment="1">
      <alignment horizontal="center"/>
    </xf>
    <xf numFmtId="2" fontId="47" fillId="8" borderId="181" xfId="0" applyNumberFormat="1" applyFont="1" applyFill="1" applyBorder="1" applyAlignment="1">
      <alignment horizontal="center"/>
    </xf>
    <xf numFmtId="2" fontId="47" fillId="0" borderId="181" xfId="0" applyNumberFormat="1" applyFont="1" applyBorder="1" applyAlignment="1">
      <alignment horizontal="center"/>
    </xf>
    <xf numFmtId="2" fontId="14" fillId="8" borderId="181" xfId="0" applyNumberFormat="1" applyFont="1" applyFill="1" applyBorder="1" applyAlignment="1">
      <alignment horizontal="center"/>
    </xf>
    <xf numFmtId="168" fontId="20" fillId="32" borderId="164" xfId="1" applyFont="1" applyFill="1" applyBorder="1" applyAlignment="1">
      <alignment horizontal="center" vertical="center"/>
    </xf>
    <xf numFmtId="168" fontId="20" fillId="32" borderId="40" xfId="1" applyFont="1" applyFill="1" applyBorder="1" applyAlignment="1">
      <alignment horizontal="center" vertical="center"/>
    </xf>
    <xf numFmtId="0" fontId="41" fillId="0" borderId="92" xfId="0" applyFont="1" applyBorder="1" applyAlignment="1">
      <alignment horizontal="right"/>
    </xf>
    <xf numFmtId="165" fontId="16" fillId="8" borderId="0" xfId="0" applyNumberFormat="1" applyFont="1" applyFill="1" applyAlignment="1">
      <alignment vertical="center"/>
    </xf>
    <xf numFmtId="171" fontId="16" fillId="13" borderId="24" xfId="0" applyNumberFormat="1" applyFont="1" applyFill="1" applyBorder="1" applyAlignment="1">
      <alignment vertical="center"/>
    </xf>
    <xf numFmtId="0" fontId="14" fillId="0" borderId="90" xfId="0" applyFont="1" applyBorder="1"/>
    <xf numFmtId="2" fontId="14" fillId="0" borderId="109" xfId="0" applyNumberFormat="1" applyFont="1" applyBorder="1" applyAlignment="1">
      <alignment horizontal="center"/>
    </xf>
    <xf numFmtId="2" fontId="14" fillId="0" borderId="86" xfId="0" applyNumberFormat="1" applyFont="1" applyBorder="1" applyAlignment="1">
      <alignment horizontal="center"/>
    </xf>
    <xf numFmtId="2" fontId="14" fillId="0" borderId="105" xfId="0" applyNumberFormat="1" applyFont="1" applyBorder="1" applyAlignment="1">
      <alignment horizontal="center"/>
    </xf>
    <xf numFmtId="2" fontId="14" fillId="0" borderId="118" xfId="0" applyNumberFormat="1" applyFont="1" applyBorder="1" applyAlignment="1">
      <alignment horizontal="center"/>
    </xf>
    <xf numFmtId="2" fontId="14" fillId="0" borderId="181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168" fontId="21" fillId="41" borderId="111" xfId="1" applyFont="1" applyFill="1" applyBorder="1" applyAlignment="1">
      <alignment horizontal="center" vertical="center"/>
    </xf>
    <xf numFmtId="168" fontId="21" fillId="41" borderId="156" xfId="1" applyFont="1" applyFill="1" applyBorder="1" applyAlignment="1">
      <alignment horizontal="center" vertical="center"/>
    </xf>
    <xf numFmtId="168" fontId="21" fillId="41" borderId="162" xfId="1" applyFont="1" applyFill="1" applyBorder="1" applyAlignment="1">
      <alignment horizontal="center" vertical="center"/>
    </xf>
    <xf numFmtId="168" fontId="30" fillId="13" borderId="172" xfId="0" applyNumberFormat="1" applyFont="1" applyFill="1" applyBorder="1" applyAlignment="1">
      <alignment horizontal="center" vertical="center" wrapText="1"/>
    </xf>
    <xf numFmtId="2" fontId="30" fillId="50" borderId="94" xfId="0" applyNumberFormat="1" applyFont="1" applyFill="1" applyBorder="1" applyAlignment="1">
      <alignment horizontal="left"/>
    </xf>
    <xf numFmtId="168" fontId="20" fillId="32" borderId="117" xfId="1" applyFont="1" applyFill="1" applyBorder="1" applyAlignment="1">
      <alignment vertical="center"/>
    </xf>
    <xf numFmtId="0" fontId="41" fillId="50" borderId="92" xfId="0" applyFont="1" applyFill="1" applyBorder="1" applyAlignment="1">
      <alignment horizontal="right"/>
    </xf>
    <xf numFmtId="0" fontId="32" fillId="34" borderId="116" xfId="0" applyFont="1" applyFill="1" applyBorder="1" applyAlignment="1">
      <alignment horizontal="center" vertical="center" wrapText="1"/>
    </xf>
    <xf numFmtId="0" fontId="32" fillId="34" borderId="83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22" fillId="8" borderId="100" xfId="0" applyFont="1" applyFill="1" applyBorder="1" applyAlignment="1">
      <alignment horizontal="center" vertical="center"/>
    </xf>
    <xf numFmtId="10" fontId="24" fillId="46" borderId="188" xfId="2" applyNumberFormat="1" applyFont="1" applyFill="1" applyBorder="1" applyAlignment="1" applyProtection="1">
      <alignment vertical="center"/>
    </xf>
    <xf numFmtId="169" fontId="22" fillId="46" borderId="189" xfId="1" applyNumberFormat="1" applyFont="1" applyFill="1" applyBorder="1" applyAlignment="1">
      <alignment vertical="center"/>
    </xf>
    <xf numFmtId="169" fontId="22" fillId="46" borderId="179" xfId="1" applyNumberFormat="1" applyFont="1" applyFill="1" applyBorder="1" applyAlignment="1">
      <alignment vertical="center"/>
    </xf>
    <xf numFmtId="0" fontId="9" fillId="8" borderId="19" xfId="0" applyFont="1" applyFill="1" applyBorder="1" applyAlignment="1">
      <alignment vertical="center" wrapText="1"/>
    </xf>
    <xf numFmtId="0" fontId="8" fillId="0" borderId="182" xfId="0" applyFont="1" applyBorder="1"/>
    <xf numFmtId="2" fontId="14" fillId="0" borderId="121" xfId="0" applyNumberFormat="1" applyFont="1" applyBorder="1" applyAlignment="1">
      <alignment horizontal="center"/>
    </xf>
    <xf numFmtId="2" fontId="14" fillId="0" borderId="190" xfId="0" applyNumberFormat="1" applyFont="1" applyBorder="1" applyAlignment="1">
      <alignment horizontal="center"/>
    </xf>
    <xf numFmtId="2" fontId="14" fillId="0" borderId="191" xfId="0" applyNumberFormat="1" applyFont="1" applyBorder="1" applyAlignment="1">
      <alignment horizontal="center"/>
    </xf>
    <xf numFmtId="168" fontId="30" fillId="13" borderId="164" xfId="0" applyNumberFormat="1" applyFont="1" applyFill="1" applyBorder="1" applyAlignment="1">
      <alignment horizontal="center" vertical="center" wrapText="1"/>
    </xf>
    <xf numFmtId="168" fontId="30" fillId="44" borderId="172" xfId="0" applyNumberFormat="1" applyFont="1" applyFill="1" applyBorder="1" applyAlignment="1">
      <alignment horizontal="center" vertical="center" wrapText="1"/>
    </xf>
    <xf numFmtId="0" fontId="22" fillId="19" borderId="21" xfId="0" applyFont="1" applyFill="1" applyBorder="1" applyAlignment="1">
      <alignment vertical="center" wrapText="1"/>
    </xf>
    <xf numFmtId="0" fontId="22" fillId="22" borderId="176" xfId="0" applyFont="1" applyFill="1" applyBorder="1" applyAlignment="1">
      <alignment horizontal="right" vertical="center" wrapText="1"/>
    </xf>
    <xf numFmtId="10" fontId="22" fillId="22" borderId="189" xfId="0" applyNumberFormat="1" applyFont="1" applyFill="1" applyBorder="1" applyAlignment="1">
      <alignment horizontal="right" vertical="center" wrapText="1"/>
    </xf>
    <xf numFmtId="169" fontId="22" fillId="22" borderId="189" xfId="0" applyNumberFormat="1" applyFont="1" applyFill="1" applyBorder="1" applyAlignment="1">
      <alignment vertical="center"/>
    </xf>
    <xf numFmtId="169" fontId="22" fillId="22" borderId="192" xfId="0" applyNumberFormat="1" applyFont="1" applyFill="1" applyBorder="1" applyAlignment="1">
      <alignment vertical="center"/>
    </xf>
    <xf numFmtId="169" fontId="22" fillId="22" borderId="179" xfId="0" applyNumberFormat="1" applyFont="1" applyFill="1" applyBorder="1" applyAlignment="1">
      <alignment vertical="center"/>
    </xf>
    <xf numFmtId="2" fontId="15" fillId="0" borderId="84" xfId="0" applyNumberFormat="1" applyFont="1" applyBorder="1" applyAlignment="1">
      <alignment vertical="center"/>
    </xf>
    <xf numFmtId="0" fontId="21" fillId="0" borderId="0" xfId="0" applyFont="1" applyAlignment="1" applyProtection="1">
      <alignment horizontal="left" vertical="center" wrapText="1"/>
      <protection locked="0"/>
    </xf>
    <xf numFmtId="10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0" fontId="21" fillId="0" borderId="0" xfId="0" applyNumberFormat="1" applyFont="1" applyAlignment="1" applyProtection="1">
      <alignment horizontal="center" vertical="center"/>
      <protection locked="0"/>
    </xf>
    <xf numFmtId="175" fontId="9" fillId="0" borderId="0" xfId="0" applyNumberFormat="1" applyFont="1"/>
    <xf numFmtId="2" fontId="52" fillId="57" borderId="105" xfId="0" applyNumberFormat="1" applyFont="1" applyFill="1" applyBorder="1" applyAlignment="1">
      <alignment horizontal="center" vertical="center"/>
    </xf>
    <xf numFmtId="2" fontId="52" fillId="56" borderId="169" xfId="0" applyNumberFormat="1" applyFont="1" applyFill="1" applyBorder="1" applyAlignment="1">
      <alignment horizontal="center" vertical="center"/>
    </xf>
    <xf numFmtId="0" fontId="41" fillId="51" borderId="0" xfId="0" applyFont="1" applyFill="1" applyAlignment="1">
      <alignment horizontal="right"/>
    </xf>
    <xf numFmtId="2" fontId="47" fillId="0" borderId="183" xfId="0" applyNumberFormat="1" applyFont="1" applyBorder="1" applyAlignment="1">
      <alignment horizontal="right"/>
    </xf>
    <xf numFmtId="2" fontId="30" fillId="51" borderId="0" xfId="0" applyNumberFormat="1" applyFont="1" applyFill="1" applyAlignment="1">
      <alignment horizontal="left"/>
    </xf>
    <xf numFmtId="2" fontId="52" fillId="56" borderId="90" xfId="0" applyNumberFormat="1" applyFont="1" applyFill="1" applyBorder="1" applyAlignment="1">
      <alignment horizontal="center" vertical="center"/>
    </xf>
    <xf numFmtId="168" fontId="20" fillId="41" borderId="164" xfId="1" applyFont="1" applyFill="1" applyBorder="1" applyAlignment="1">
      <alignment vertical="center"/>
    </xf>
    <xf numFmtId="168" fontId="20" fillId="41" borderId="117" xfId="1" applyFont="1" applyFill="1" applyBorder="1" applyAlignment="1">
      <alignment vertical="center"/>
    </xf>
    <xf numFmtId="2" fontId="52" fillId="56" borderId="169" xfId="0" applyNumberFormat="1" applyFont="1" applyFill="1" applyBorder="1" applyAlignment="1">
      <alignment horizontal="center"/>
    </xf>
    <xf numFmtId="168" fontId="20" fillId="41" borderId="164" xfId="1" applyFont="1" applyFill="1" applyBorder="1" applyAlignment="1">
      <alignment horizontal="center" vertical="center"/>
    </xf>
    <xf numFmtId="168" fontId="20" fillId="28" borderId="37" xfId="1" applyFont="1" applyFill="1" applyBorder="1" applyAlignment="1">
      <alignment horizontal="center" vertical="center"/>
    </xf>
    <xf numFmtId="168" fontId="20" fillId="41" borderId="40" xfId="1" applyFont="1" applyFill="1" applyBorder="1" applyAlignment="1">
      <alignment horizontal="center" vertical="center"/>
    </xf>
    <xf numFmtId="168" fontId="21" fillId="41" borderId="32" xfId="1" applyFont="1" applyFill="1" applyBorder="1" applyAlignment="1">
      <alignment horizontal="center" vertical="center"/>
    </xf>
    <xf numFmtId="172" fontId="21" fillId="37" borderId="111" xfId="1" applyNumberFormat="1" applyFont="1" applyFill="1" applyBorder="1" applyAlignment="1">
      <alignment horizontal="center" vertical="center"/>
    </xf>
    <xf numFmtId="172" fontId="21" fillId="37" borderId="114" xfId="1" applyNumberFormat="1" applyFont="1" applyFill="1" applyBorder="1" applyAlignment="1">
      <alignment horizontal="center" vertical="center"/>
    </xf>
    <xf numFmtId="172" fontId="21" fillId="36" borderId="46" xfId="1" applyNumberFormat="1" applyFont="1" applyFill="1" applyBorder="1" applyAlignment="1">
      <alignment horizontal="center" vertical="center"/>
    </xf>
    <xf numFmtId="172" fontId="21" fillId="36" borderId="6" xfId="1" applyNumberFormat="1" applyFont="1" applyFill="1" applyBorder="1" applyAlignment="1">
      <alignment horizontal="center" vertical="center"/>
    </xf>
    <xf numFmtId="172" fontId="35" fillId="28" borderId="51" xfId="1" applyNumberFormat="1" applyFont="1" applyFill="1" applyBorder="1" applyAlignment="1">
      <alignment horizontal="center" vertical="center"/>
    </xf>
    <xf numFmtId="172" fontId="14" fillId="0" borderId="6" xfId="0" quotePrefix="1" applyNumberFormat="1" applyFont="1" applyBorder="1" applyAlignment="1">
      <alignment horizontal="center" vertical="center"/>
    </xf>
    <xf numFmtId="0" fontId="20" fillId="29" borderId="88" xfId="0" applyFont="1" applyFill="1" applyBorder="1" applyAlignment="1" applyProtection="1">
      <alignment horizontal="center" vertical="center"/>
      <protection locked="0"/>
    </xf>
    <xf numFmtId="0" fontId="20" fillId="29" borderId="0" xfId="0" applyFont="1" applyFill="1" applyAlignment="1" applyProtection="1">
      <alignment horizontal="center" vertical="center"/>
      <protection locked="0"/>
    </xf>
    <xf numFmtId="0" fontId="20" fillId="29" borderId="93" xfId="0" applyFont="1" applyFill="1" applyBorder="1" applyAlignment="1" applyProtection="1">
      <alignment horizontal="center" vertical="center"/>
      <protection locked="0"/>
    </xf>
    <xf numFmtId="0" fontId="8" fillId="40" borderId="123" xfId="0" applyFont="1" applyFill="1" applyBorder="1" applyAlignment="1" applyProtection="1">
      <alignment horizontal="center" vertical="center"/>
      <protection locked="0"/>
    </xf>
    <xf numFmtId="10" fontId="21" fillId="0" borderId="169" xfId="0" applyNumberFormat="1" applyFont="1" applyBorder="1"/>
    <xf numFmtId="10" fontId="8" fillId="0" borderId="169" xfId="0" applyNumberFormat="1" applyFont="1" applyBorder="1"/>
    <xf numFmtId="0" fontId="17" fillId="3" borderId="12" xfId="0" applyFont="1" applyFill="1" applyBorder="1" applyAlignment="1">
      <alignment horizontal="center" vertical="center" wrapText="1"/>
    </xf>
    <xf numFmtId="0" fontId="53" fillId="58" borderId="76" xfId="0" applyFont="1" applyFill="1" applyBorder="1"/>
    <xf numFmtId="0" fontId="46" fillId="0" borderId="118" xfId="0" applyFont="1" applyBorder="1"/>
    <xf numFmtId="0" fontId="46" fillId="0" borderId="115" xfId="0" applyFont="1" applyBorder="1"/>
    <xf numFmtId="0" fontId="53" fillId="58" borderId="79" xfId="0" applyFont="1" applyFill="1" applyBorder="1"/>
    <xf numFmtId="8" fontId="46" fillId="0" borderId="115" xfId="0" applyNumberFormat="1" applyFont="1" applyBorder="1" applyAlignment="1">
      <alignment wrapText="1"/>
    </xf>
    <xf numFmtId="0" fontId="16" fillId="6" borderId="116" xfId="0" applyFont="1" applyFill="1" applyBorder="1" applyAlignment="1">
      <alignment vertical="center"/>
    </xf>
    <xf numFmtId="0" fontId="16" fillId="6" borderId="183" xfId="0" applyFont="1" applyFill="1" applyBorder="1" applyAlignment="1">
      <alignment vertical="center"/>
    </xf>
    <xf numFmtId="165" fontId="16" fillId="6" borderId="183" xfId="0" applyNumberFormat="1" applyFont="1" applyFill="1" applyBorder="1" applyAlignment="1">
      <alignment vertical="center"/>
    </xf>
    <xf numFmtId="0" fontId="17" fillId="3" borderId="24" xfId="0" applyFont="1" applyFill="1" applyBorder="1" applyAlignment="1">
      <alignment horizontal="center" vertical="center" wrapText="1"/>
    </xf>
    <xf numFmtId="0" fontId="15" fillId="0" borderId="157" xfId="0" applyFont="1" applyBorder="1" applyAlignment="1">
      <alignment vertical="center"/>
    </xf>
    <xf numFmtId="171" fontId="16" fillId="3" borderId="87" xfId="0" applyNumberFormat="1" applyFont="1" applyFill="1" applyBorder="1" applyAlignment="1">
      <alignment horizontal="center" vertical="center"/>
    </xf>
    <xf numFmtId="171" fontId="16" fillId="3" borderId="89" xfId="0" applyNumberFormat="1" applyFont="1" applyFill="1" applyBorder="1" applyAlignment="1">
      <alignment horizontal="center" vertical="center"/>
    </xf>
    <xf numFmtId="171" fontId="16" fillId="3" borderId="116" xfId="0" applyNumberFormat="1" applyFont="1" applyFill="1" applyBorder="1" applyAlignment="1">
      <alignment horizontal="center" vertical="center"/>
    </xf>
    <xf numFmtId="171" fontId="16" fillId="3" borderId="117" xfId="0" applyNumberFormat="1" applyFont="1" applyFill="1" applyBorder="1" applyAlignment="1">
      <alignment horizontal="center" vertical="center"/>
    </xf>
    <xf numFmtId="0" fontId="17" fillId="9" borderId="193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5" fillId="0" borderId="194" xfId="0" applyFont="1" applyBorder="1"/>
    <xf numFmtId="8" fontId="15" fillId="0" borderId="85" xfId="0" applyNumberFormat="1" applyFont="1" applyBorder="1"/>
    <xf numFmtId="171" fontId="16" fillId="9" borderId="164" xfId="0" applyNumberFormat="1" applyFont="1" applyFill="1" applyBorder="1" applyAlignment="1">
      <alignment vertical="center"/>
    </xf>
    <xf numFmtId="0" fontId="17" fillId="11" borderId="197" xfId="0" applyFont="1" applyFill="1" applyBorder="1" applyAlignment="1">
      <alignment horizontal="center" vertical="center" wrapText="1"/>
    </xf>
    <xf numFmtId="0" fontId="15" fillId="0" borderId="198" xfId="0" applyFont="1" applyBorder="1" applyAlignment="1">
      <alignment vertical="center"/>
    </xf>
    <xf numFmtId="0" fontId="15" fillId="0" borderId="102" xfId="0" applyFont="1" applyBorder="1" applyAlignment="1">
      <alignment vertical="center"/>
    </xf>
    <xf numFmtId="0" fontId="15" fillId="0" borderId="153" xfId="0" applyFont="1" applyBorder="1" applyAlignment="1">
      <alignment vertical="center"/>
    </xf>
    <xf numFmtId="0" fontId="15" fillId="0" borderId="150" xfId="0" applyFont="1" applyBorder="1" applyAlignment="1">
      <alignment vertical="center"/>
    </xf>
    <xf numFmtId="0" fontId="17" fillId="14" borderId="197" xfId="0" applyFont="1" applyFill="1" applyBorder="1" applyAlignment="1">
      <alignment horizontal="center" vertical="center" wrapText="1"/>
    </xf>
    <xf numFmtId="0" fontId="17" fillId="14" borderId="18" xfId="0" applyFont="1" applyFill="1" applyBorder="1" applyAlignment="1">
      <alignment horizontal="center" vertical="center" wrapText="1"/>
    </xf>
    <xf numFmtId="0" fontId="17" fillId="14" borderId="134" xfId="0" applyFont="1" applyFill="1" applyBorder="1" applyAlignment="1">
      <alignment horizontal="center" vertical="center" wrapText="1"/>
    </xf>
    <xf numFmtId="171" fontId="16" fillId="13" borderId="83" xfId="0" applyNumberFormat="1" applyFont="1" applyFill="1" applyBorder="1" applyAlignment="1">
      <alignment vertical="center"/>
    </xf>
    <xf numFmtId="0" fontId="15" fillId="0" borderId="84" xfId="0" applyFont="1" applyBorder="1" applyAlignment="1">
      <alignment vertical="center"/>
    </xf>
    <xf numFmtId="0" fontId="15" fillId="0" borderId="76" xfId="0" applyFont="1" applyBorder="1" applyAlignment="1">
      <alignment vertical="center"/>
    </xf>
    <xf numFmtId="0" fontId="15" fillId="0" borderId="79" xfId="0" applyFont="1" applyBorder="1" applyAlignment="1">
      <alignment vertical="center"/>
    </xf>
    <xf numFmtId="0" fontId="15" fillId="0" borderId="115" xfId="0" applyFont="1" applyBorder="1" applyAlignment="1">
      <alignment vertical="center"/>
    </xf>
    <xf numFmtId="8" fontId="15" fillId="0" borderId="79" xfId="0" applyNumberFormat="1" applyFont="1" applyBorder="1"/>
    <xf numFmtId="171" fontId="15" fillId="0" borderId="13" xfId="0" applyNumberFormat="1" applyFont="1" applyBorder="1" applyAlignment="1">
      <alignment vertical="center"/>
    </xf>
    <xf numFmtId="0" fontId="17" fillId="14" borderId="185" xfId="0" applyFont="1" applyFill="1" applyBorder="1" applyAlignment="1">
      <alignment horizontal="center" vertical="center" wrapText="1"/>
    </xf>
    <xf numFmtId="0" fontId="17" fillId="14" borderId="186" xfId="0" applyFont="1" applyFill="1" applyBorder="1" applyAlignment="1">
      <alignment horizontal="center" vertical="center" wrapText="1"/>
    </xf>
    <xf numFmtId="0" fontId="17" fillId="14" borderId="200" xfId="0" applyFont="1" applyFill="1" applyBorder="1" applyAlignment="1">
      <alignment horizontal="center" vertical="center" wrapText="1"/>
    </xf>
    <xf numFmtId="0" fontId="17" fillId="14" borderId="82" xfId="0" applyFont="1" applyFill="1" applyBorder="1" applyAlignment="1">
      <alignment horizontal="center" vertical="center" wrapText="1"/>
    </xf>
    <xf numFmtId="0" fontId="17" fillId="14" borderId="83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vertical="center"/>
    </xf>
    <xf numFmtId="171" fontId="16" fillId="3" borderId="39" xfId="0" applyNumberFormat="1" applyFont="1" applyFill="1" applyBorder="1" applyAlignment="1">
      <alignment horizontal="right" vertical="center"/>
    </xf>
    <xf numFmtId="0" fontId="15" fillId="8" borderId="164" xfId="0" applyFont="1" applyFill="1" applyBorder="1" applyAlignment="1">
      <alignment vertical="center"/>
    </xf>
    <xf numFmtId="0" fontId="17" fillId="9" borderId="139" xfId="0" applyFont="1" applyFill="1" applyBorder="1" applyAlignment="1">
      <alignment horizontal="center" vertical="center" wrapText="1"/>
    </xf>
    <xf numFmtId="0" fontId="15" fillId="0" borderId="201" xfId="0" applyFont="1" applyBorder="1" applyAlignment="1">
      <alignment vertical="center"/>
    </xf>
    <xf numFmtId="0" fontId="15" fillId="0" borderId="105" xfId="0" applyFont="1" applyBorder="1" applyAlignment="1">
      <alignment vertical="center"/>
    </xf>
    <xf numFmtId="0" fontId="16" fillId="0" borderId="202" xfId="0" applyFont="1" applyBorder="1" applyAlignment="1">
      <alignment vertical="center"/>
    </xf>
    <xf numFmtId="0" fontId="16" fillId="0" borderId="106" xfId="0" applyFont="1" applyBorder="1" applyAlignment="1">
      <alignment vertical="center"/>
    </xf>
    <xf numFmtId="171" fontId="16" fillId="9" borderId="18" xfId="0" applyNumberFormat="1" applyFont="1" applyFill="1" applyBorder="1" applyAlignment="1">
      <alignment vertical="center"/>
    </xf>
    <xf numFmtId="171" fontId="16" fillId="9" borderId="196" xfId="0" applyNumberFormat="1" applyFont="1" applyFill="1" applyBorder="1" applyAlignment="1">
      <alignment vertical="center"/>
    </xf>
    <xf numFmtId="0" fontId="18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16" fillId="6" borderId="94" xfId="0" applyFont="1" applyFill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7" fillId="7" borderId="0" xfId="0" applyFont="1" applyFill="1"/>
    <xf numFmtId="0" fontId="15" fillId="8" borderId="1" xfId="0" applyFont="1" applyFill="1" applyBorder="1" applyAlignment="1">
      <alignment vertical="center"/>
    </xf>
    <xf numFmtId="0" fontId="0" fillId="0" borderId="1" xfId="0" applyBorder="1"/>
    <xf numFmtId="0" fontId="17" fillId="11" borderId="113" xfId="0" applyFont="1" applyFill="1" applyBorder="1" applyAlignment="1">
      <alignment horizontal="center" vertical="center" wrapText="1"/>
    </xf>
    <xf numFmtId="165" fontId="16" fillId="12" borderId="203" xfId="0" applyNumberFormat="1" applyFont="1" applyFill="1" applyBorder="1" applyAlignment="1">
      <alignment vertical="center"/>
    </xf>
    <xf numFmtId="165" fontId="15" fillId="0" borderId="156" xfId="0" applyNumberFormat="1" applyFont="1" applyBorder="1" applyAlignment="1">
      <alignment vertical="center"/>
    </xf>
    <xf numFmtId="165" fontId="16" fillId="11" borderId="203" xfId="0" applyNumberFormat="1" applyFont="1" applyFill="1" applyBorder="1" applyAlignment="1">
      <alignment vertical="center"/>
    </xf>
    <xf numFmtId="165" fontId="16" fillId="11" borderId="99" xfId="0" applyNumberFormat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165" fontId="16" fillId="15" borderId="83" xfId="0" applyNumberFormat="1" applyFont="1" applyFill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165" fontId="15" fillId="0" borderId="162" xfId="0" applyNumberFormat="1" applyFont="1" applyBorder="1" applyAlignment="1">
      <alignment vertical="center"/>
    </xf>
    <xf numFmtId="2" fontId="51" fillId="56" borderId="182" xfId="0" applyNumberFormat="1" applyFont="1" applyFill="1" applyBorder="1" applyAlignment="1">
      <alignment horizontal="center"/>
    </xf>
    <xf numFmtId="2" fontId="51" fillId="56" borderId="163" xfId="0" applyNumberFormat="1" applyFont="1" applyFill="1" applyBorder="1" applyAlignment="1">
      <alignment horizontal="center"/>
    </xf>
    <xf numFmtId="2" fontId="51" fillId="57" borderId="105" xfId="0" applyNumberFormat="1" applyFont="1" applyFill="1" applyBorder="1" applyAlignment="1">
      <alignment horizontal="center"/>
    </xf>
    <xf numFmtId="2" fontId="51" fillId="57" borderId="169" xfId="0" applyNumberFormat="1" applyFont="1" applyFill="1" applyBorder="1" applyAlignment="1">
      <alignment horizontal="center"/>
    </xf>
    <xf numFmtId="2" fontId="51" fillId="56" borderId="169" xfId="0" applyNumberFormat="1" applyFont="1" applyFill="1" applyBorder="1" applyAlignment="1">
      <alignment horizontal="center"/>
    </xf>
    <xf numFmtId="2" fontId="51" fillId="56" borderId="165" xfId="0" applyNumberFormat="1" applyFont="1" applyFill="1" applyBorder="1" applyAlignment="1">
      <alignment horizontal="center"/>
    </xf>
    <xf numFmtId="2" fontId="51" fillId="56" borderId="90" xfId="0" applyNumberFormat="1" applyFont="1" applyFill="1" applyBorder="1" applyAlignment="1">
      <alignment horizontal="center"/>
    </xf>
    <xf numFmtId="2" fontId="51" fillId="56" borderId="113" xfId="0" applyNumberFormat="1" applyFont="1" applyFill="1" applyBorder="1" applyAlignment="1">
      <alignment horizontal="center"/>
    </xf>
    <xf numFmtId="2" fontId="51" fillId="57" borderId="0" xfId="0" applyNumberFormat="1" applyFont="1" applyFill="1" applyAlignment="1">
      <alignment horizontal="center"/>
    </xf>
    <xf numFmtId="2" fontId="51" fillId="56" borderId="182" xfId="0" applyNumberFormat="1" applyFont="1" applyFill="1" applyBorder="1" applyAlignment="1">
      <alignment horizontal="center" vertical="center"/>
    </xf>
    <xf numFmtId="2" fontId="51" fillId="56" borderId="163" xfId="0" applyNumberFormat="1" applyFont="1" applyFill="1" applyBorder="1" applyAlignment="1">
      <alignment horizontal="center" vertical="center"/>
    </xf>
    <xf numFmtId="2" fontId="51" fillId="57" borderId="105" xfId="0" applyNumberFormat="1" applyFont="1" applyFill="1" applyBorder="1" applyAlignment="1">
      <alignment horizontal="center" vertical="center"/>
    </xf>
    <xf numFmtId="2" fontId="51" fillId="57" borderId="169" xfId="0" applyNumberFormat="1" applyFont="1" applyFill="1" applyBorder="1" applyAlignment="1">
      <alignment horizontal="center" vertical="center"/>
    </xf>
    <xf numFmtId="2" fontId="51" fillId="56" borderId="169" xfId="0" applyNumberFormat="1" applyFont="1" applyFill="1" applyBorder="1" applyAlignment="1">
      <alignment horizontal="center" vertical="center"/>
    </xf>
    <xf numFmtId="2" fontId="51" fillId="56" borderId="165" xfId="0" applyNumberFormat="1" applyFont="1" applyFill="1" applyBorder="1" applyAlignment="1">
      <alignment horizontal="center" vertical="center"/>
    </xf>
    <xf numFmtId="2" fontId="51" fillId="56" borderId="113" xfId="0" applyNumberFormat="1" applyFont="1" applyFill="1" applyBorder="1" applyAlignment="1">
      <alignment horizontal="center" vertical="center"/>
    </xf>
    <xf numFmtId="2" fontId="51" fillId="57" borderId="0" xfId="0" applyNumberFormat="1" applyFont="1" applyFill="1" applyAlignment="1">
      <alignment horizontal="center" vertical="center"/>
    </xf>
    <xf numFmtId="2" fontId="51" fillId="57" borderId="90" xfId="0" applyNumberFormat="1" applyFont="1" applyFill="1" applyBorder="1" applyAlignment="1">
      <alignment horizontal="center" vertical="center"/>
    </xf>
    <xf numFmtId="2" fontId="51" fillId="57" borderId="163" xfId="0" applyNumberFormat="1" applyFont="1" applyFill="1" applyBorder="1" applyAlignment="1">
      <alignment horizontal="center"/>
    </xf>
    <xf numFmtId="2" fontId="51" fillId="57" borderId="165" xfId="0" applyNumberFormat="1" applyFont="1" applyFill="1" applyBorder="1" applyAlignment="1">
      <alignment horizontal="center"/>
    </xf>
    <xf numFmtId="2" fontId="51" fillId="57" borderId="113" xfId="0" applyNumberFormat="1" applyFont="1" applyFill="1" applyBorder="1" applyAlignment="1">
      <alignment horizontal="center"/>
    </xf>
    <xf numFmtId="0" fontId="21" fillId="0" borderId="22" xfId="0" applyFont="1" applyBorder="1"/>
    <xf numFmtId="8" fontId="24" fillId="8" borderId="5" xfId="0" applyNumberFormat="1" applyFont="1" applyFill="1" applyBorder="1"/>
    <xf numFmtId="0" fontId="21" fillId="0" borderId="19" xfId="0" applyFont="1" applyBorder="1" applyAlignment="1">
      <alignment wrapText="1"/>
    </xf>
    <xf numFmtId="0" fontId="24" fillId="8" borderId="9" xfId="0" applyFont="1" applyFill="1" applyBorder="1"/>
    <xf numFmtId="8" fontId="24" fillId="8" borderId="9" xfId="0" applyNumberFormat="1" applyFont="1" applyFill="1" applyBorder="1"/>
    <xf numFmtId="0" fontId="22" fillId="8" borderId="9" xfId="0" applyFont="1" applyFill="1" applyBorder="1"/>
    <xf numFmtId="0" fontId="22" fillId="8" borderId="2" xfId="0" applyFont="1" applyFill="1" applyBorder="1"/>
    <xf numFmtId="10" fontId="24" fillId="8" borderId="9" xfId="0" applyNumberFormat="1" applyFont="1" applyFill="1" applyBorder="1"/>
    <xf numFmtId="0" fontId="22" fillId="8" borderId="60" xfId="0" applyFont="1" applyFill="1" applyBorder="1"/>
    <xf numFmtId="0" fontId="22" fillId="8" borderId="60" xfId="0" quotePrefix="1" applyFont="1" applyFill="1" applyBorder="1"/>
    <xf numFmtId="2" fontId="22" fillId="8" borderId="5" xfId="0" applyNumberFormat="1" applyFont="1" applyFill="1" applyBorder="1"/>
    <xf numFmtId="8" fontId="22" fillId="8" borderId="5" xfId="0" applyNumberFormat="1" applyFont="1" applyFill="1" applyBorder="1"/>
    <xf numFmtId="8" fontId="22" fillId="8" borderId="63" xfId="0" applyNumberFormat="1" applyFont="1" applyFill="1" applyBorder="1"/>
    <xf numFmtId="8" fontId="22" fillId="8" borderId="76" xfId="0" applyNumberFormat="1" applyFont="1" applyFill="1" applyBorder="1"/>
    <xf numFmtId="169" fontId="22" fillId="20" borderId="11" xfId="1" applyNumberFormat="1" applyFont="1" applyFill="1" applyBorder="1" applyAlignment="1">
      <alignment horizontal="center" vertical="center"/>
    </xf>
    <xf numFmtId="8" fontId="22" fillId="8" borderId="9" xfId="0" applyNumberFormat="1" applyFont="1" applyFill="1" applyBorder="1"/>
    <xf numFmtId="8" fontId="22" fillId="8" borderId="2" xfId="0" applyNumberFormat="1" applyFont="1" applyFill="1" applyBorder="1"/>
    <xf numFmtId="2" fontId="22" fillId="8" borderId="9" xfId="0" applyNumberFormat="1" applyFont="1" applyFill="1" applyBorder="1"/>
    <xf numFmtId="2" fontId="22" fillId="8" borderId="2" xfId="0" applyNumberFormat="1" applyFont="1" applyFill="1" applyBorder="1"/>
    <xf numFmtId="175" fontId="22" fillId="8" borderId="60" xfId="0" applyNumberFormat="1" applyFont="1" applyFill="1" applyBorder="1"/>
    <xf numFmtId="169" fontId="54" fillId="47" borderId="76" xfId="0" applyNumberFormat="1" applyFont="1" applyFill="1" applyBorder="1"/>
    <xf numFmtId="169" fontId="21" fillId="47" borderId="76" xfId="0" applyNumberFormat="1" applyFont="1" applyFill="1" applyBorder="1"/>
    <xf numFmtId="0" fontId="22" fillId="8" borderId="210" xfId="0" applyFont="1" applyFill="1" applyBorder="1" applyAlignment="1">
      <alignment horizontal="center" vertical="center"/>
    </xf>
    <xf numFmtId="0" fontId="22" fillId="19" borderId="211" xfId="0" applyFont="1" applyFill="1" applyBorder="1" applyAlignment="1">
      <alignment vertical="center" wrapText="1"/>
    </xf>
    <xf numFmtId="0" fontId="22" fillId="18" borderId="164" xfId="0" applyFont="1" applyFill="1" applyBorder="1" applyAlignment="1">
      <alignment horizontal="center" vertical="center" wrapText="1"/>
    </xf>
    <xf numFmtId="0" fontId="22" fillId="18" borderId="116" xfId="0" applyFont="1" applyFill="1" applyBorder="1" applyAlignment="1">
      <alignment horizontal="center" vertical="center" wrapText="1"/>
    </xf>
    <xf numFmtId="0" fontId="22" fillId="18" borderId="199" xfId="0" applyFont="1" applyFill="1" applyBorder="1" applyAlignment="1">
      <alignment horizontal="center" vertical="center" wrapText="1"/>
    </xf>
    <xf numFmtId="0" fontId="22" fillId="18" borderId="200" xfId="0" applyFont="1" applyFill="1" applyBorder="1" applyAlignment="1">
      <alignment horizontal="center" vertical="center" wrapText="1"/>
    </xf>
    <xf numFmtId="172" fontId="55" fillId="0" borderId="20" xfId="0" applyNumberFormat="1" applyFont="1" applyBorder="1" applyAlignment="1">
      <alignment horizontal="center" vertical="center"/>
    </xf>
    <xf numFmtId="172" fontId="56" fillId="28" borderId="16" xfId="1" applyNumberFormat="1" applyFont="1" applyFill="1" applyBorder="1" applyAlignment="1">
      <alignment horizontal="center" vertical="center"/>
    </xf>
    <xf numFmtId="172" fontId="56" fillId="28" borderId="37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47" fillId="8" borderId="109" xfId="0" applyFont="1" applyFill="1" applyBorder="1"/>
    <xf numFmtId="4" fontId="47" fillId="8" borderId="109" xfId="0" applyNumberFormat="1" applyFont="1" applyFill="1" applyBorder="1"/>
    <xf numFmtId="0" fontId="47" fillId="0" borderId="109" xfId="0" applyFont="1" applyBorder="1"/>
    <xf numFmtId="0" fontId="47" fillId="8" borderId="118" xfId="0" applyFont="1" applyFill="1" applyBorder="1"/>
    <xf numFmtId="0" fontId="47" fillId="8" borderId="84" xfId="0" applyFont="1" applyFill="1" applyBorder="1"/>
    <xf numFmtId="4" fontId="47" fillId="8" borderId="84" xfId="0" applyNumberFormat="1" applyFont="1" applyFill="1" applyBorder="1"/>
    <xf numFmtId="0" fontId="21" fillId="0" borderId="84" xfId="0" applyFont="1" applyBorder="1"/>
    <xf numFmtId="4" fontId="21" fillId="0" borderId="84" xfId="0" applyNumberFormat="1" applyFont="1" applyBorder="1"/>
    <xf numFmtId="0" fontId="47" fillId="8" borderId="115" xfId="0" applyFont="1" applyFill="1" applyBorder="1"/>
    <xf numFmtId="0" fontId="47" fillId="0" borderId="84" xfId="0" applyFont="1" applyBorder="1"/>
    <xf numFmtId="0" fontId="47" fillId="0" borderId="115" xfId="0" applyFont="1" applyBorder="1"/>
    <xf numFmtId="0" fontId="21" fillId="0" borderId="115" xfId="0" applyFont="1" applyBorder="1"/>
    <xf numFmtId="0" fontId="47" fillId="0" borderId="170" xfId="0" applyFont="1" applyBorder="1"/>
    <xf numFmtId="0" fontId="47" fillId="8" borderId="170" xfId="0" applyFont="1" applyFill="1" applyBorder="1"/>
    <xf numFmtId="0" fontId="47" fillId="8" borderId="212" xfId="0" applyFont="1" applyFill="1" applyBorder="1"/>
    <xf numFmtId="4" fontId="30" fillId="8" borderId="109" xfId="0" applyNumberFormat="1" applyFont="1" applyFill="1" applyBorder="1"/>
    <xf numFmtId="0" fontId="30" fillId="8" borderId="109" xfId="0" applyFont="1" applyFill="1" applyBorder="1"/>
    <xf numFmtId="0" fontId="30" fillId="0" borderId="109" xfId="0" applyFont="1" applyBorder="1"/>
    <xf numFmtId="0" fontId="30" fillId="8" borderId="118" xfId="0" applyFont="1" applyFill="1" applyBorder="1"/>
    <xf numFmtId="0" fontId="20" fillId="0" borderId="84" xfId="0" applyFont="1" applyBorder="1"/>
    <xf numFmtId="165" fontId="45" fillId="0" borderId="93" xfId="1" applyNumberFormat="1" applyFont="1" applyBorder="1" applyAlignment="1">
      <alignment horizontal="center" vertical="center"/>
    </xf>
    <xf numFmtId="0" fontId="30" fillId="8" borderId="121" xfId="0" applyFont="1" applyFill="1" applyBorder="1"/>
    <xf numFmtId="0" fontId="30" fillId="8" borderId="110" xfId="0" applyFont="1" applyFill="1" applyBorder="1"/>
    <xf numFmtId="4" fontId="30" fillId="8" borderId="110" xfId="0" applyNumberFormat="1" applyFont="1" applyFill="1" applyBorder="1"/>
    <xf numFmtId="4" fontId="20" fillId="0" borderId="110" xfId="0" applyNumberFormat="1" applyFont="1" applyBorder="1"/>
    <xf numFmtId="0" fontId="20" fillId="0" borderId="110" xfId="0" applyFont="1" applyBorder="1"/>
    <xf numFmtId="0" fontId="30" fillId="8" borderId="213" xfId="0" applyFont="1" applyFill="1" applyBorder="1"/>
    <xf numFmtId="165" fontId="45" fillId="0" borderId="127" xfId="1" applyNumberFormat="1" applyFont="1" applyBorder="1" applyAlignment="1">
      <alignment horizontal="center" vertical="center"/>
    </xf>
    <xf numFmtId="0" fontId="20" fillId="0" borderId="109" xfId="0" applyFont="1" applyBorder="1"/>
    <xf numFmtId="0" fontId="30" fillId="8" borderId="173" xfId="0" applyFont="1" applyFill="1" applyBorder="1"/>
    <xf numFmtId="165" fontId="45" fillId="0" borderId="214" xfId="1" applyNumberFormat="1" applyFont="1" applyBorder="1" applyAlignment="1">
      <alignment horizontal="center" vertical="center"/>
    </xf>
    <xf numFmtId="165" fontId="45" fillId="0" borderId="215" xfId="1" applyNumberFormat="1" applyFont="1" applyBorder="1" applyAlignment="1">
      <alignment horizontal="center" vertical="center"/>
    </xf>
    <xf numFmtId="0" fontId="20" fillId="0" borderId="115" xfId="0" applyFont="1" applyBorder="1"/>
    <xf numFmtId="0" fontId="30" fillId="0" borderId="170" xfId="0" applyFont="1" applyBorder="1"/>
    <xf numFmtId="0" fontId="30" fillId="8" borderId="170" xfId="0" applyFont="1" applyFill="1" applyBorder="1"/>
    <xf numFmtId="0" fontId="30" fillId="8" borderId="212" xfId="0" applyFont="1" applyFill="1" applyBorder="1"/>
    <xf numFmtId="0" fontId="33" fillId="33" borderId="216" xfId="0" applyFont="1" applyFill="1" applyBorder="1" applyAlignment="1">
      <alignment horizontal="center" vertical="center" wrapText="1"/>
    </xf>
    <xf numFmtId="0" fontId="31" fillId="33" borderId="0" xfId="0" applyFont="1" applyFill="1" applyBorder="1" applyAlignment="1">
      <alignment horizontal="center" vertical="center" wrapText="1"/>
    </xf>
    <xf numFmtId="2" fontId="21" fillId="37" borderId="182" xfId="1" applyNumberFormat="1" applyFont="1" applyFill="1" applyBorder="1" applyAlignment="1">
      <alignment horizontal="center" vertical="center"/>
    </xf>
    <xf numFmtId="172" fontId="21" fillId="37" borderId="217" xfId="1" applyNumberFormat="1" applyFont="1" applyFill="1" applyBorder="1" applyAlignment="1">
      <alignment horizontal="center" vertical="center"/>
    </xf>
    <xf numFmtId="172" fontId="21" fillId="37" borderId="218" xfId="1" applyNumberFormat="1" applyFont="1" applyFill="1" applyBorder="1" applyAlignment="1">
      <alignment horizontal="center" vertical="center"/>
    </xf>
    <xf numFmtId="172" fontId="21" fillId="37" borderId="144" xfId="1" applyNumberFormat="1" applyFont="1" applyFill="1" applyBorder="1" applyAlignment="1">
      <alignment horizontal="center" vertical="center"/>
    </xf>
    <xf numFmtId="172" fontId="21" fillId="37" borderId="219" xfId="1" applyNumberFormat="1" applyFont="1" applyFill="1" applyBorder="1" applyAlignment="1">
      <alignment horizontal="center" vertical="center"/>
    </xf>
    <xf numFmtId="172" fontId="21" fillId="37" borderId="92" xfId="1" applyNumberFormat="1" applyFont="1" applyFill="1" applyBorder="1" applyAlignment="1">
      <alignment horizontal="center" vertical="center"/>
    </xf>
    <xf numFmtId="168" fontId="31" fillId="33" borderId="1" xfId="0" applyNumberFormat="1" applyFont="1" applyFill="1" applyBorder="1" applyAlignment="1">
      <alignment horizontal="center" vertical="center" wrapText="1"/>
    </xf>
    <xf numFmtId="168" fontId="21" fillId="43" borderId="21" xfId="1" applyFont="1" applyFill="1" applyBorder="1" applyAlignment="1">
      <alignment horizontal="center" vertical="center"/>
    </xf>
    <xf numFmtId="168" fontId="21" fillId="43" borderId="31" xfId="1" applyFont="1" applyFill="1" applyBorder="1" applyAlignment="1">
      <alignment horizontal="center" vertical="center"/>
    </xf>
    <xf numFmtId="168" fontId="21" fillId="43" borderId="48" xfId="1" applyFont="1" applyFill="1" applyBorder="1" applyAlignment="1">
      <alignment horizontal="center" vertical="center"/>
    </xf>
    <xf numFmtId="168" fontId="20" fillId="42" borderId="12" xfId="1" applyFont="1" applyFill="1" applyBorder="1" applyAlignment="1">
      <alignment horizontal="center" vertical="center"/>
    </xf>
    <xf numFmtId="0" fontId="33" fillId="33" borderId="220" xfId="0" applyFont="1" applyFill="1" applyBorder="1" applyAlignment="1">
      <alignment horizontal="center" vertical="center" wrapText="1"/>
    </xf>
    <xf numFmtId="0" fontId="31" fillId="33" borderId="116" xfId="0" applyFont="1" applyFill="1" applyBorder="1" applyAlignment="1">
      <alignment horizontal="center" vertical="center" wrapText="1"/>
    </xf>
    <xf numFmtId="2" fontId="21" fillId="37" borderId="169" xfId="1" applyNumberFormat="1" applyFont="1" applyFill="1" applyBorder="1" applyAlignment="1">
      <alignment horizontal="center" vertical="center"/>
    </xf>
    <xf numFmtId="168" fontId="21" fillId="43" borderId="21" xfId="1" applyFont="1" applyFill="1" applyBorder="1" applyAlignment="1">
      <alignment vertical="center"/>
    </xf>
    <xf numFmtId="168" fontId="21" fillId="43" borderId="31" xfId="1" applyFont="1" applyFill="1" applyBorder="1" applyAlignment="1">
      <alignment vertical="center"/>
    </xf>
    <xf numFmtId="168" fontId="20" fillId="42" borderId="12" xfId="1" applyFont="1" applyFill="1" applyBorder="1" applyAlignment="1">
      <alignment vertical="center"/>
    </xf>
    <xf numFmtId="168" fontId="31" fillId="33" borderId="116" xfId="0" applyNumberFormat="1" applyFont="1" applyFill="1" applyBorder="1" applyAlignment="1">
      <alignment horizontal="center" vertical="center" wrapText="1"/>
    </xf>
    <xf numFmtId="165" fontId="15" fillId="0" borderId="221" xfId="0" applyNumberFormat="1" applyFont="1" applyBorder="1" applyAlignment="1">
      <alignment vertical="center"/>
    </xf>
    <xf numFmtId="165" fontId="15" fillId="0" borderId="3" xfId="0" applyNumberFormat="1" applyFont="1" applyBorder="1" applyAlignment="1">
      <alignment vertical="center"/>
    </xf>
    <xf numFmtId="0" fontId="20" fillId="16" borderId="12" xfId="0" applyFont="1" applyFill="1" applyBorder="1" applyAlignment="1">
      <alignment horizontal="center" vertical="center" wrapText="1"/>
    </xf>
    <xf numFmtId="172" fontId="21" fillId="34" borderId="170" xfId="1" applyNumberFormat="1" applyFont="1" applyFill="1" applyBorder="1" applyAlignment="1">
      <alignment horizontal="center" vertical="center"/>
    </xf>
    <xf numFmtId="0" fontId="32" fillId="34" borderId="12" xfId="0" applyFont="1" applyFill="1" applyBorder="1" applyAlignment="1">
      <alignment horizontal="center" vertical="center" wrapText="1"/>
    </xf>
    <xf numFmtId="0" fontId="33" fillId="37" borderId="12" xfId="0" applyFont="1" applyFill="1" applyBorder="1" applyAlignment="1">
      <alignment horizontal="center" vertical="center" wrapText="1"/>
    </xf>
    <xf numFmtId="0" fontId="58" fillId="0" borderId="3" xfId="0" applyFont="1" applyBorder="1"/>
    <xf numFmtId="0" fontId="57" fillId="0" borderId="3" xfId="0" applyFont="1" applyBorder="1" applyAlignment="1">
      <alignment horizontal="center" wrapText="1"/>
    </xf>
    <xf numFmtId="0" fontId="59" fillId="0" borderId="3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61" fillId="0" borderId="3" xfId="0" applyFont="1" applyBorder="1" applyAlignment="1">
      <alignment horizontal="left" vertical="center" wrapText="1"/>
    </xf>
    <xf numFmtId="175" fontId="59" fillId="0" borderId="3" xfId="0" applyNumberFormat="1" applyFont="1" applyBorder="1" applyAlignment="1">
      <alignment horizontal="center" vertical="center"/>
    </xf>
    <xf numFmtId="0" fontId="59" fillId="0" borderId="3" xfId="0" applyFont="1" applyBorder="1" applyAlignment="1">
      <alignment vertical="center" wrapText="1"/>
    </xf>
    <xf numFmtId="0" fontId="57" fillId="0" borderId="6" xfId="0" applyFont="1" applyBorder="1" applyAlignment="1">
      <alignment vertical="center"/>
    </xf>
    <xf numFmtId="0" fontId="57" fillId="0" borderId="63" xfId="0" applyFont="1" applyBorder="1" applyAlignment="1">
      <alignment vertical="center"/>
    </xf>
    <xf numFmtId="175" fontId="57" fillId="0" borderId="3" xfId="0" applyNumberFormat="1" applyFont="1" applyBorder="1" applyAlignment="1">
      <alignment vertical="center"/>
    </xf>
    <xf numFmtId="175" fontId="58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57" fillId="0" borderId="0" xfId="0" applyFont="1" applyBorder="1" applyAlignment="1">
      <alignment horizontal="left" vertical="center"/>
    </xf>
    <xf numFmtId="175" fontId="57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66" xfId="0" applyFont="1" applyBorder="1" applyAlignment="1">
      <alignment horizontal="left" vertical="center"/>
    </xf>
    <xf numFmtId="0" fontId="6" fillId="0" borderId="167" xfId="0" applyFont="1" applyBorder="1" applyAlignment="1">
      <alignment horizontal="left" vertical="center"/>
    </xf>
    <xf numFmtId="0" fontId="6" fillId="0" borderId="16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4" fillId="2" borderId="96" xfId="0" applyFont="1" applyFill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0" fontId="7" fillId="0" borderId="86" xfId="0" applyFont="1" applyBorder="1" applyAlignment="1">
      <alignment horizontal="left" vertical="center"/>
    </xf>
    <xf numFmtId="0" fontId="16" fillId="10" borderId="204" xfId="0" applyFont="1" applyFill="1" applyBorder="1" applyAlignment="1">
      <alignment horizontal="center" vertical="center"/>
    </xf>
    <xf numFmtId="0" fontId="16" fillId="10" borderId="172" xfId="0" applyFont="1" applyFill="1" applyBorder="1" applyAlignment="1">
      <alignment horizontal="center" vertical="center"/>
    </xf>
    <xf numFmtId="0" fontId="16" fillId="10" borderId="205" xfId="0" applyFont="1" applyFill="1" applyBorder="1" applyAlignment="1">
      <alignment horizontal="center" vertical="center"/>
    </xf>
    <xf numFmtId="0" fontId="16" fillId="12" borderId="195" xfId="0" applyFont="1" applyFill="1" applyBorder="1" applyAlignment="1">
      <alignment horizontal="center" vertical="center"/>
    </xf>
    <xf numFmtId="0" fontId="16" fillId="12" borderId="59" xfId="0" applyFont="1" applyFill="1" applyBorder="1" applyAlignment="1">
      <alignment horizontal="center" vertical="center"/>
    </xf>
    <xf numFmtId="0" fontId="16" fillId="12" borderId="206" xfId="0" applyFont="1" applyFill="1" applyBorder="1" applyAlignment="1">
      <alignment horizontal="center" vertical="center"/>
    </xf>
    <xf numFmtId="0" fontId="16" fillId="12" borderId="158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6" fillId="12" borderId="160" xfId="0" applyFont="1" applyFill="1" applyBorder="1" applyAlignment="1">
      <alignment horizontal="center" vertical="center"/>
    </xf>
    <xf numFmtId="0" fontId="16" fillId="11" borderId="195" xfId="0" applyFont="1" applyFill="1" applyBorder="1" applyAlignment="1">
      <alignment horizontal="center" vertical="center"/>
    </xf>
    <xf numFmtId="0" fontId="16" fillId="11" borderId="59" xfId="0" applyFont="1" applyFill="1" applyBorder="1" applyAlignment="1">
      <alignment horizontal="center" vertical="center"/>
    </xf>
    <xf numFmtId="0" fontId="16" fillId="11" borderId="206" xfId="0" applyFont="1" applyFill="1" applyBorder="1" applyAlignment="1">
      <alignment horizontal="center" vertical="center"/>
    </xf>
    <xf numFmtId="0" fontId="16" fillId="11" borderId="207" xfId="0" applyFont="1" applyFill="1" applyBorder="1" applyAlignment="1">
      <alignment horizontal="center" vertical="center"/>
    </xf>
    <xf numFmtId="0" fontId="16" fillId="11" borderId="208" xfId="0" applyFont="1" applyFill="1" applyBorder="1" applyAlignment="1">
      <alignment horizontal="center" vertical="center"/>
    </xf>
    <xf numFmtId="0" fontId="16" fillId="11" borderId="209" xfId="0" applyFont="1" applyFill="1" applyBorder="1" applyAlignment="1">
      <alignment horizontal="center" vertical="center"/>
    </xf>
    <xf numFmtId="0" fontId="16" fillId="9" borderId="195" xfId="0" applyFont="1" applyFill="1" applyBorder="1" applyAlignment="1">
      <alignment horizontal="right" vertical="center"/>
    </xf>
    <xf numFmtId="0" fontId="16" fillId="9" borderId="39" xfId="0" applyFont="1" applyFill="1" applyBorder="1" applyAlignment="1">
      <alignment horizontal="right" vertical="center"/>
    </xf>
    <xf numFmtId="0" fontId="16" fillId="9" borderId="187" xfId="0" applyFont="1" applyFill="1" applyBorder="1" applyAlignment="1">
      <alignment horizontal="center" vertical="center"/>
    </xf>
    <xf numFmtId="0" fontId="16" fillId="9" borderId="196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59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59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7" borderId="87" xfId="0" applyFont="1" applyFill="1" applyBorder="1" applyAlignment="1">
      <alignment horizontal="center" vertical="center"/>
    </xf>
    <xf numFmtId="0" fontId="16" fillId="37" borderId="88" xfId="0" applyFont="1" applyFill="1" applyBorder="1" applyAlignment="1">
      <alignment horizontal="center" vertical="center"/>
    </xf>
    <xf numFmtId="0" fontId="16" fillId="37" borderId="0" xfId="0" applyFont="1" applyFill="1" applyAlignment="1">
      <alignment horizontal="center" vertical="center"/>
    </xf>
    <xf numFmtId="0" fontId="16" fillId="37" borderId="91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left" vertical="center" wrapText="1"/>
    </xf>
    <xf numFmtId="0" fontId="16" fillId="15" borderId="81" xfId="0" applyFont="1" applyFill="1" applyBorder="1" applyAlignment="1">
      <alignment horizontal="center" vertical="center"/>
    </xf>
    <xf numFmtId="0" fontId="16" fillId="15" borderId="82" xfId="0" applyFont="1" applyFill="1" applyBorder="1" applyAlignment="1">
      <alignment horizontal="center" vertical="center"/>
    </xf>
    <xf numFmtId="171" fontId="15" fillId="0" borderId="16" xfId="0" applyNumberFormat="1" applyFont="1" applyBorder="1" applyAlignment="1">
      <alignment horizontal="center" vertical="center"/>
    </xf>
    <xf numFmtId="171" fontId="15" fillId="0" borderId="1" xfId="0" applyNumberFormat="1" applyFont="1" applyBorder="1" applyAlignment="1">
      <alignment horizontal="center" vertical="center"/>
    </xf>
    <xf numFmtId="0" fontId="16" fillId="13" borderId="87" xfId="0" applyFont="1" applyFill="1" applyBorder="1" applyAlignment="1">
      <alignment horizontal="center" vertical="center"/>
    </xf>
    <xf numFmtId="0" fontId="16" fillId="13" borderId="88" xfId="0" applyFont="1" applyFill="1" applyBorder="1" applyAlignment="1">
      <alignment horizontal="center" vertical="center"/>
    </xf>
    <xf numFmtId="0" fontId="16" fillId="13" borderId="89" xfId="0" applyFont="1" applyFill="1" applyBorder="1" applyAlignment="1">
      <alignment horizontal="center" vertical="center"/>
    </xf>
    <xf numFmtId="0" fontId="16" fillId="13" borderId="116" xfId="0" applyFont="1" applyFill="1" applyBorder="1" applyAlignment="1">
      <alignment horizontal="center" vertical="center"/>
    </xf>
    <xf numFmtId="0" fontId="16" fillId="13" borderId="183" xfId="0" applyFont="1" applyFill="1" applyBorder="1" applyAlignment="1">
      <alignment horizontal="center" vertical="center"/>
    </xf>
    <xf numFmtId="0" fontId="16" fillId="13" borderId="199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left" vertical="top"/>
    </xf>
    <xf numFmtId="0" fontId="16" fillId="9" borderId="147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39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0" fillId="25" borderId="38" xfId="3" applyNumberFormat="1" applyFont="1" applyFill="1" applyBorder="1" applyAlignment="1" applyProtection="1">
      <alignment horizontal="center" vertical="center"/>
    </xf>
    <xf numFmtId="0" fontId="20" fillId="26" borderId="59" xfId="0" applyFont="1" applyFill="1" applyBorder="1" applyAlignment="1">
      <alignment horizontal="center" vertical="center"/>
    </xf>
    <xf numFmtId="0" fontId="20" fillId="27" borderId="59" xfId="0" applyFont="1" applyFill="1" applyBorder="1" applyAlignment="1">
      <alignment horizontal="center" vertical="center"/>
    </xf>
    <xf numFmtId="0" fontId="20" fillId="28" borderId="59" xfId="0" applyFont="1" applyFill="1" applyBorder="1" applyAlignment="1">
      <alignment horizontal="center" vertical="center"/>
    </xf>
    <xf numFmtId="0" fontId="31" fillId="33" borderId="13" xfId="0" applyFont="1" applyFill="1" applyBorder="1" applyAlignment="1">
      <alignment horizontal="center" vertical="center" wrapText="1"/>
    </xf>
    <xf numFmtId="0" fontId="31" fillId="33" borderId="24" xfId="0" applyFont="1" applyFill="1" applyBorder="1" applyAlignment="1">
      <alignment horizontal="center" vertical="center" wrapText="1"/>
    </xf>
    <xf numFmtId="0" fontId="36" fillId="2" borderId="69" xfId="0" applyFont="1" applyFill="1" applyBorder="1" applyAlignment="1">
      <alignment horizontal="center" vertical="center"/>
    </xf>
    <xf numFmtId="0" fontId="20" fillId="16" borderId="12" xfId="0" applyFont="1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30" fillId="31" borderId="12" xfId="0" applyFont="1" applyFill="1" applyBorder="1" applyAlignment="1">
      <alignment horizontal="center" vertical="center" wrapText="1"/>
    </xf>
    <xf numFmtId="0" fontId="30" fillId="13" borderId="13" xfId="0" applyFont="1" applyFill="1" applyBorder="1" applyAlignment="1">
      <alignment horizontal="center" vertical="center" wrapText="1"/>
    </xf>
    <xf numFmtId="0" fontId="30" fillId="13" borderId="2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0" borderId="12" xfId="0" applyFont="1" applyFill="1" applyBorder="1" applyAlignment="1">
      <alignment horizontal="center" vertical="center" wrapText="1"/>
    </xf>
    <xf numFmtId="0" fontId="14" fillId="30" borderId="12" xfId="0" applyFont="1" applyFill="1" applyBorder="1" applyAlignment="1">
      <alignment horizontal="center" vertical="center" wrapText="1"/>
    </xf>
    <xf numFmtId="0" fontId="20" fillId="29" borderId="88" xfId="0" applyFont="1" applyFill="1" applyBorder="1" applyAlignment="1" applyProtection="1">
      <alignment horizontal="center" vertical="center"/>
      <protection locked="0"/>
    </xf>
    <xf numFmtId="0" fontId="20" fillId="29" borderId="0" xfId="0" applyFont="1" applyFill="1" applyAlignment="1" applyProtection="1">
      <alignment horizontal="center" vertical="center"/>
      <protection locked="0"/>
    </xf>
    <xf numFmtId="0" fontId="20" fillId="29" borderId="93" xfId="0" applyFont="1" applyFill="1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>
      <alignment horizontal="center" vertical="center" wrapText="1"/>
    </xf>
    <xf numFmtId="0" fontId="20" fillId="29" borderId="89" xfId="0" applyFont="1" applyFill="1" applyBorder="1" applyAlignment="1" applyProtection="1">
      <alignment horizontal="center" vertical="center"/>
      <protection locked="0"/>
    </xf>
    <xf numFmtId="0" fontId="20" fillId="29" borderId="91" xfId="0" applyFont="1" applyFill="1" applyBorder="1" applyAlignment="1" applyProtection="1">
      <alignment horizontal="center" vertical="center"/>
      <protection locked="0"/>
    </xf>
    <xf numFmtId="0" fontId="20" fillId="29" borderId="94" xfId="0" applyFont="1" applyFill="1" applyBorder="1" applyAlignment="1" applyProtection="1">
      <alignment horizontal="center" vertical="center"/>
      <protection locked="0"/>
    </xf>
    <xf numFmtId="0" fontId="30" fillId="32" borderId="57" xfId="0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0" fontId="34" fillId="28" borderId="92" xfId="0" applyFont="1" applyFill="1" applyBorder="1" applyAlignment="1">
      <alignment horizontal="center" vertical="center"/>
    </xf>
    <xf numFmtId="0" fontId="34" fillId="28" borderId="93" xfId="0" applyFont="1" applyFill="1" applyBorder="1" applyAlignment="1">
      <alignment horizontal="center" vertical="center"/>
    </xf>
    <xf numFmtId="0" fontId="34" fillId="28" borderId="94" xfId="0" applyFont="1" applyFill="1" applyBorder="1" applyAlignment="1">
      <alignment horizontal="center" vertical="center"/>
    </xf>
    <xf numFmtId="0" fontId="34" fillId="28" borderId="97" xfId="0" applyFont="1" applyFill="1" applyBorder="1" applyAlignment="1">
      <alignment horizontal="center" vertical="center"/>
    </xf>
    <xf numFmtId="0" fontId="34" fillId="28" borderId="96" xfId="0" applyFont="1" applyFill="1" applyBorder="1" applyAlignment="1">
      <alignment horizontal="center" vertical="center"/>
    </xf>
    <xf numFmtId="0" fontId="34" fillId="28" borderId="95" xfId="0" applyFont="1" applyFill="1" applyBorder="1" applyAlignment="1">
      <alignment horizontal="center" vertical="center"/>
    </xf>
    <xf numFmtId="4" fontId="35" fillId="2" borderId="72" xfId="0" applyNumberFormat="1" applyFont="1" applyFill="1" applyBorder="1" applyAlignment="1">
      <alignment horizontal="center" vertical="center"/>
    </xf>
    <xf numFmtId="0" fontId="30" fillId="44" borderId="13" xfId="0" applyFont="1" applyFill="1" applyBorder="1" applyAlignment="1">
      <alignment horizontal="center" vertical="center" wrapText="1"/>
    </xf>
    <xf numFmtId="0" fontId="30" fillId="44" borderId="24" xfId="0" applyFont="1" applyFill="1" applyBorder="1" applyAlignment="1">
      <alignment horizontal="center" vertical="center" wrapText="1"/>
    </xf>
    <xf numFmtId="0" fontId="20" fillId="29" borderId="87" xfId="0" applyFont="1" applyFill="1" applyBorder="1" applyAlignment="1" applyProtection="1">
      <alignment horizontal="center" vertical="center"/>
      <protection locked="0"/>
    </xf>
    <xf numFmtId="0" fontId="20" fillId="29" borderId="90" xfId="0" applyFont="1" applyFill="1" applyBorder="1" applyAlignment="1" applyProtection="1">
      <alignment horizontal="center" vertical="center"/>
      <protection locked="0"/>
    </xf>
    <xf numFmtId="0" fontId="20" fillId="29" borderId="92" xfId="0" applyFont="1" applyFill="1" applyBorder="1" applyAlignment="1" applyProtection="1">
      <alignment horizontal="center" vertical="center"/>
      <protection locked="0"/>
    </xf>
    <xf numFmtId="0" fontId="20" fillId="26" borderId="49" xfId="0" applyFont="1" applyFill="1" applyBorder="1" applyAlignment="1">
      <alignment horizontal="center" vertical="center"/>
    </xf>
    <xf numFmtId="0" fontId="20" fillId="27" borderId="50" xfId="0" applyFont="1" applyFill="1" applyBorder="1" applyAlignment="1">
      <alignment horizontal="center" vertical="center"/>
    </xf>
    <xf numFmtId="0" fontId="20" fillId="28" borderId="74" xfId="0" applyFont="1" applyFill="1" applyBorder="1" applyAlignment="1">
      <alignment horizontal="center" vertical="center"/>
    </xf>
    <xf numFmtId="0" fontId="8" fillId="30" borderId="39" xfId="0" applyFont="1" applyFill="1" applyBorder="1" applyAlignment="1">
      <alignment horizontal="center" vertical="center" wrapText="1"/>
    </xf>
    <xf numFmtId="0" fontId="14" fillId="30" borderId="98" xfId="0" applyFont="1" applyFill="1" applyBorder="1" applyAlignment="1">
      <alignment horizontal="center" wrapText="1"/>
    </xf>
    <xf numFmtId="0" fontId="14" fillId="30" borderId="99" xfId="0" applyFont="1" applyFill="1" applyBorder="1" applyAlignment="1">
      <alignment horizontal="center" wrapText="1"/>
    </xf>
    <xf numFmtId="0" fontId="8" fillId="30" borderId="59" xfId="0" applyFont="1" applyFill="1" applyBorder="1" applyAlignment="1">
      <alignment horizontal="center" vertical="center" wrapText="1"/>
    </xf>
    <xf numFmtId="0" fontId="20" fillId="40" borderId="39" xfId="0" applyFont="1" applyFill="1" applyBorder="1" applyAlignment="1" applyProtection="1">
      <alignment horizontal="center" vertical="center"/>
      <protection locked="0"/>
    </xf>
    <xf numFmtId="0" fontId="8" fillId="4" borderId="59" xfId="0" applyFont="1" applyFill="1" applyBorder="1" applyAlignment="1">
      <alignment horizontal="center" vertical="center" wrapText="1"/>
    </xf>
    <xf numFmtId="0" fontId="20" fillId="40" borderId="184" xfId="0" applyFont="1" applyFill="1" applyBorder="1" applyAlignment="1" applyProtection="1">
      <alignment horizontal="center" vertical="center"/>
      <protection locked="0"/>
    </xf>
    <xf numFmtId="0" fontId="20" fillId="40" borderId="162" xfId="0" applyFont="1" applyFill="1" applyBorder="1" applyAlignment="1" applyProtection="1">
      <alignment horizontal="center" vertical="center"/>
      <protection locked="0"/>
    </xf>
    <xf numFmtId="0" fontId="20" fillId="16" borderId="39" xfId="0" applyFont="1" applyFill="1" applyBorder="1" applyAlignment="1">
      <alignment horizontal="center" vertical="center" wrapText="1"/>
    </xf>
    <xf numFmtId="0" fontId="8" fillId="16" borderId="59" xfId="0" applyFont="1" applyFill="1" applyBorder="1" applyAlignment="1">
      <alignment horizontal="center" vertical="center" wrapText="1"/>
    </xf>
    <xf numFmtId="0" fontId="32" fillId="41" borderId="3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2" fillId="41" borderId="13" xfId="0" applyFont="1" applyFill="1" applyBorder="1" applyAlignment="1">
      <alignment horizontal="center" vertical="center" wrapText="1"/>
    </xf>
    <xf numFmtId="0" fontId="32" fillId="32" borderId="40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8" borderId="18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22" fillId="19" borderId="31" xfId="0" applyFont="1" applyFill="1" applyBorder="1" applyAlignment="1">
      <alignment horizontal="left" vertical="center" wrapText="1"/>
    </xf>
    <xf numFmtId="0" fontId="20" fillId="6" borderId="12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22" fillId="23" borderId="44" xfId="0" applyFont="1" applyFill="1" applyBorder="1" applyAlignment="1">
      <alignment horizontal="center" vertical="center" wrapText="1"/>
    </xf>
    <xf numFmtId="0" fontId="22" fillId="24" borderId="41" xfId="0" applyFont="1" applyFill="1" applyBorder="1" applyAlignment="1">
      <alignment horizontal="left" vertical="center" wrapText="1"/>
    </xf>
    <xf numFmtId="0" fontId="22" fillId="8" borderId="44" xfId="0" applyFont="1" applyFill="1" applyBorder="1" applyAlignment="1">
      <alignment horizontal="left" vertical="center" wrapText="1"/>
    </xf>
    <xf numFmtId="0" fontId="22" fillId="8" borderId="22" xfId="0" applyFont="1" applyFill="1" applyBorder="1" applyAlignment="1">
      <alignment horizontal="left" vertical="center" wrapText="1"/>
    </xf>
    <xf numFmtId="0" fontId="22" fillId="8" borderId="25" xfId="0" applyFont="1" applyFill="1" applyBorder="1" applyAlignment="1">
      <alignment horizontal="left" vertical="center" wrapText="1"/>
    </xf>
    <xf numFmtId="0" fontId="20" fillId="4" borderId="79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76" xfId="0" applyFont="1" applyFill="1" applyBorder="1" applyAlignment="1">
      <alignment horizontal="center" vertical="center" wrapText="1"/>
    </xf>
    <xf numFmtId="0" fontId="20" fillId="4" borderId="77" xfId="0" applyFont="1" applyFill="1" applyBorder="1" applyAlignment="1">
      <alignment horizontal="center" vertical="center" wrapText="1"/>
    </xf>
    <xf numFmtId="0" fontId="20" fillId="4" borderId="78" xfId="0" applyFont="1" applyFill="1" applyBorder="1" applyAlignment="1">
      <alignment horizontal="center" vertical="center" wrapText="1"/>
    </xf>
    <xf numFmtId="0" fontId="20" fillId="4" borderId="128" xfId="0" applyFont="1" applyFill="1" applyBorder="1" applyAlignment="1">
      <alignment horizontal="center" vertical="center" wrapText="1"/>
    </xf>
    <xf numFmtId="0" fontId="20" fillId="4" borderId="129" xfId="0" applyFont="1" applyFill="1" applyBorder="1" applyAlignment="1">
      <alignment horizontal="center" vertical="center" wrapText="1"/>
    </xf>
    <xf numFmtId="0" fontId="20" fillId="30" borderId="76" xfId="0" applyFont="1" applyFill="1" applyBorder="1" applyAlignment="1">
      <alignment horizontal="center" vertical="center" wrapText="1"/>
    </xf>
    <xf numFmtId="0" fontId="20" fillId="16" borderId="77" xfId="0" applyFont="1" applyFill="1" applyBorder="1" applyAlignment="1">
      <alignment horizontal="center" vertical="center" wrapText="1"/>
    </xf>
    <xf numFmtId="0" fontId="20" fillId="16" borderId="78" xfId="0" applyFont="1" applyFill="1" applyBorder="1" applyAlignment="1">
      <alignment horizontal="center" vertical="center" wrapText="1"/>
    </xf>
    <xf numFmtId="0" fontId="20" fillId="16" borderId="76" xfId="0" applyFont="1" applyFill="1" applyBorder="1" applyAlignment="1">
      <alignment horizontal="center" vertical="center" wrapText="1"/>
    </xf>
    <xf numFmtId="0" fontId="20" fillId="30" borderId="77" xfId="0" applyFont="1" applyFill="1" applyBorder="1" applyAlignment="1">
      <alignment horizontal="center" vertical="center" wrapText="1"/>
    </xf>
    <xf numFmtId="0" fontId="20" fillId="30" borderId="78" xfId="0" applyFont="1" applyFill="1" applyBorder="1" applyAlignment="1">
      <alignment horizontal="center" vertical="center" wrapText="1"/>
    </xf>
    <xf numFmtId="0" fontId="9" fillId="0" borderId="12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19" borderId="142" xfId="0" applyFont="1" applyFill="1" applyBorder="1" applyAlignment="1">
      <alignment horizontal="left" vertical="center" wrapText="1"/>
    </xf>
    <xf numFmtId="0" fontId="22" fillId="19" borderId="136" xfId="0" applyFont="1" applyFill="1" applyBorder="1" applyAlignment="1">
      <alignment horizontal="left" vertical="center" wrapText="1"/>
    </xf>
    <xf numFmtId="0" fontId="23" fillId="0" borderId="130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0" fontId="23" fillId="8" borderId="133" xfId="0" applyFont="1" applyFill="1" applyBorder="1" applyAlignment="1">
      <alignment horizontal="center" vertical="center"/>
    </xf>
    <xf numFmtId="0" fontId="23" fillId="8" borderId="134" xfId="0" applyFont="1" applyFill="1" applyBorder="1" applyAlignment="1">
      <alignment horizontal="center" vertical="center"/>
    </xf>
    <xf numFmtId="0" fontId="9" fillId="8" borderId="138" xfId="0" applyFont="1" applyFill="1" applyBorder="1" applyAlignment="1">
      <alignment horizontal="center" vertical="center"/>
    </xf>
    <xf numFmtId="0" fontId="9" fillId="8" borderId="139" xfId="0" applyFont="1" applyFill="1" applyBorder="1" applyAlignment="1">
      <alignment horizontal="center" vertical="center"/>
    </xf>
    <xf numFmtId="0" fontId="9" fillId="8" borderId="102" xfId="0" applyFont="1" applyFill="1" applyBorder="1" applyAlignment="1">
      <alignment horizontal="center" vertical="center"/>
    </xf>
    <xf numFmtId="0" fontId="22" fillId="8" borderId="102" xfId="0" applyFont="1" applyFill="1" applyBorder="1" applyAlignment="1">
      <alignment horizontal="left" vertical="center" wrapText="1"/>
    </xf>
    <xf numFmtId="0" fontId="20" fillId="6" borderId="147" xfId="0" applyFont="1" applyFill="1" applyBorder="1" applyAlignment="1">
      <alignment horizontal="center" vertical="center"/>
    </xf>
    <xf numFmtId="0" fontId="9" fillId="8" borderId="151" xfId="0" applyFont="1" applyFill="1" applyBorder="1" applyAlignment="1">
      <alignment horizontal="center" vertical="center"/>
    </xf>
    <xf numFmtId="0" fontId="9" fillId="8" borderId="152" xfId="0" applyFont="1" applyFill="1" applyBorder="1" applyAlignment="1">
      <alignment horizontal="center" vertical="center"/>
    </xf>
    <xf numFmtId="0" fontId="9" fillId="8" borderId="133" xfId="0" applyFont="1" applyFill="1" applyBorder="1" applyAlignment="1">
      <alignment horizontal="center" vertical="center"/>
    </xf>
    <xf numFmtId="0" fontId="9" fillId="8" borderId="134" xfId="0" applyFont="1" applyFill="1" applyBorder="1" applyAlignment="1">
      <alignment horizontal="center" vertical="center"/>
    </xf>
    <xf numFmtId="0" fontId="22" fillId="23" borderId="140" xfId="0" applyFont="1" applyFill="1" applyBorder="1" applyAlignment="1">
      <alignment horizontal="center" vertical="center" wrapText="1"/>
    </xf>
    <xf numFmtId="0" fontId="22" fillId="24" borderId="150" xfId="0" applyFont="1" applyFill="1" applyBorder="1" applyAlignment="1">
      <alignment horizontal="left" vertical="center" wrapText="1"/>
    </xf>
    <xf numFmtId="0" fontId="22" fillId="8" borderId="140" xfId="0" applyFont="1" applyFill="1" applyBorder="1" applyAlignment="1">
      <alignment horizontal="left" vertical="center" wrapText="1"/>
    </xf>
    <xf numFmtId="0" fontId="22" fillId="8" borderId="153" xfId="0" applyFont="1" applyFill="1" applyBorder="1" applyAlignment="1">
      <alignment horizontal="left" vertical="center" wrapText="1"/>
    </xf>
    <xf numFmtId="0" fontId="22" fillId="8" borderId="102" xfId="0" applyFont="1" applyFill="1" applyBorder="1" applyAlignment="1">
      <alignment horizontal="center" vertical="center" wrapText="1"/>
    </xf>
    <xf numFmtId="0" fontId="32" fillId="41" borderId="59" xfId="0" applyFont="1" applyFill="1" applyBorder="1" applyAlignment="1">
      <alignment horizontal="center" vertical="center" wrapText="1"/>
    </xf>
    <xf numFmtId="0" fontId="32" fillId="41" borderId="40" xfId="0" applyFont="1" applyFill="1" applyBorder="1" applyAlignment="1">
      <alignment horizontal="center" vertical="center" wrapText="1"/>
    </xf>
    <xf numFmtId="0" fontId="8" fillId="26" borderId="49" xfId="0" applyFont="1" applyFill="1" applyBorder="1" applyAlignment="1">
      <alignment horizontal="center" vertical="center"/>
    </xf>
    <xf numFmtId="0" fontId="8" fillId="27" borderId="50" xfId="0" applyFont="1" applyFill="1" applyBorder="1" applyAlignment="1">
      <alignment horizontal="center" vertical="center"/>
    </xf>
    <xf numFmtId="0" fontId="8" fillId="28" borderId="57" xfId="0" applyFont="1" applyFill="1" applyBorder="1" applyAlignment="1">
      <alignment horizontal="center" vertical="center"/>
    </xf>
    <xf numFmtId="0" fontId="8" fillId="16" borderId="36" xfId="0" applyFont="1" applyFill="1" applyBorder="1" applyAlignment="1">
      <alignment horizontal="center" vertical="center" wrapText="1"/>
    </xf>
    <xf numFmtId="0" fontId="20" fillId="6" borderId="187" xfId="0" applyFont="1" applyFill="1" applyBorder="1" applyAlignment="1">
      <alignment horizontal="center" vertical="center"/>
    </xf>
  </cellXfs>
  <cellStyles count="5">
    <cellStyle name="Hyperlink" xfId="4"/>
    <cellStyle name="Normal" xfId="0" builtinId="0"/>
    <cellStyle name="Porcentagem" xfId="2" builtinId="5"/>
    <cellStyle name="TableStyleLight1" xfId="3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DDDDD"/>
      <rgbColor rgb="FFFFFF00"/>
      <rgbColor rgb="FFF4B183"/>
      <rgbColor rgb="FFA9D18E"/>
      <rgbColor rgb="FFD9D9D9"/>
      <rgbColor rgb="FF5EB91E"/>
      <rgbColor rgb="FFFFE699"/>
      <rgbColor rgb="FF70AD47"/>
      <rgbColor rgb="FFCCCCCC"/>
      <rgbColor rgb="FF8FAADC"/>
      <rgbColor rgb="FFC0C0C0"/>
      <rgbColor rgb="FF808080"/>
      <rgbColor rgb="FF8EA9DB"/>
      <rgbColor rgb="FFA1467E"/>
      <rgbColor rgb="FFFFFFCC"/>
      <rgbColor rgb="FFDEEBF7"/>
      <rgbColor rgb="FFFFCCCC"/>
      <rgbColor rgb="FFBF819E"/>
      <rgbColor rgb="FFB4C6E7"/>
      <rgbColor rgb="FFCCCCFF"/>
      <rgbColor rgb="FFFFF2CC"/>
      <rgbColor rgb="FFC1C1C1"/>
      <rgbColor rgb="FFFFD966"/>
      <rgbColor rgb="FFA9D08E"/>
      <rgbColor rgb="FFD0CECE"/>
      <rgbColor rgb="FFDBDBDB"/>
      <rgbColor rgb="FFADB9CA"/>
      <rgbColor rgb="FFFCE4D6"/>
      <rgbColor rgb="FF00CCFF"/>
      <rgbColor rgb="FFD9E1F2"/>
      <rgbColor rgb="FFC6E0B4"/>
      <rgbColor rgb="FFFFFF99"/>
      <rgbColor rgb="FF9BC2E6"/>
      <rgbColor rgb="FFFF9999"/>
      <rgbColor rgb="FFCC99FF"/>
      <rgbColor rgb="FFF8CBAD"/>
      <rgbColor rgb="FF729FCF"/>
      <rgbColor rgb="FF5B9BD5"/>
      <rgbColor rgb="FFBBE33D"/>
      <rgbColor rgb="FFFFCC00"/>
      <rgbColor rgb="FFFFC000"/>
      <rgbColor rgb="FFFD6802"/>
      <rgbColor rgb="FF5983B0"/>
      <rgbColor rgb="FF8497B0"/>
      <rgbColor rgb="FFB4C7DC"/>
      <rgbColor rgb="FF49873A"/>
      <rgbColor rgb="FFD6DCE4"/>
      <rgbColor rgb="FF3D4C2F"/>
      <rgbColor rgb="FF824802"/>
      <rgbColor rgb="FFA6A6A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7070"/>
      <color rgb="FFFACFD6"/>
      <color rgb="FFF7C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compras/pt-br/agente-publico/cadernos-tecnicos-e-valores-limites/cadernos-tecnicos-e-valores-limites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="88" zoomScaleNormal="88" workbookViewId="0">
      <selection sqref="A1:H1"/>
    </sheetView>
  </sheetViews>
  <sheetFormatPr defaultRowHeight="14.25" x14ac:dyDescent="0.2"/>
  <cols>
    <col min="2" max="2" width="15.125" customWidth="1"/>
    <col min="4" max="4" width="75.625" customWidth="1"/>
    <col min="5" max="5" width="12.375" customWidth="1"/>
    <col min="6" max="6" width="11.25" customWidth="1"/>
    <col min="7" max="7" width="13" bestFit="1" customWidth="1"/>
    <col min="8" max="8" width="18.875" customWidth="1"/>
    <col min="9" max="9" width="11.625" bestFit="1" customWidth="1"/>
  </cols>
  <sheetData>
    <row r="1" spans="1:9" ht="15" x14ac:dyDescent="0.2">
      <c r="A1" s="878" t="s">
        <v>644</v>
      </c>
      <c r="B1" s="878"/>
      <c r="C1" s="878"/>
      <c r="D1" s="878"/>
      <c r="E1" s="878"/>
      <c r="F1" s="878"/>
      <c r="G1" s="878"/>
      <c r="H1" s="878"/>
    </row>
    <row r="2" spans="1:9" ht="15" x14ac:dyDescent="0.2">
      <c r="A2" s="878" t="s">
        <v>610</v>
      </c>
      <c r="B2" s="878"/>
      <c r="C2" s="878"/>
      <c r="D2" s="878"/>
      <c r="E2" s="878"/>
      <c r="F2" s="878"/>
      <c r="G2" s="878"/>
      <c r="H2" s="878"/>
    </row>
    <row r="3" spans="1:9" ht="15" x14ac:dyDescent="0.2">
      <c r="A3" s="878" t="s">
        <v>611</v>
      </c>
      <c r="B3" s="878"/>
      <c r="C3" s="878"/>
      <c r="D3" s="878"/>
      <c r="E3" s="878"/>
      <c r="F3" s="878"/>
      <c r="G3" s="878"/>
      <c r="H3" s="878"/>
    </row>
    <row r="4" spans="1:9" ht="15" x14ac:dyDescent="0.2">
      <c r="A4" s="879" t="s">
        <v>612</v>
      </c>
      <c r="B4" s="879"/>
      <c r="C4" s="879"/>
      <c r="D4" s="879"/>
      <c r="E4" s="879"/>
      <c r="F4" s="879"/>
      <c r="G4" s="879"/>
      <c r="H4" s="879"/>
    </row>
    <row r="5" spans="1:9" ht="44.85" customHeight="1" x14ac:dyDescent="0.2">
      <c r="A5" s="880" t="s">
        <v>613</v>
      </c>
      <c r="B5" s="881"/>
      <c r="C5" s="881"/>
      <c r="D5" s="881"/>
      <c r="E5" s="881"/>
      <c r="F5" s="881"/>
      <c r="G5" s="881"/>
      <c r="H5" s="882"/>
    </row>
    <row r="7" spans="1:9" ht="30" x14ac:dyDescent="0.25">
      <c r="A7" s="862" t="s">
        <v>614</v>
      </c>
      <c r="B7" s="863" t="s">
        <v>615</v>
      </c>
      <c r="C7" s="863" t="s">
        <v>616</v>
      </c>
      <c r="D7" s="863" t="s">
        <v>617</v>
      </c>
      <c r="E7" s="863" t="s">
        <v>618</v>
      </c>
      <c r="F7" s="863" t="s">
        <v>619</v>
      </c>
      <c r="G7" s="863" t="s">
        <v>620</v>
      </c>
      <c r="H7" s="863" t="s">
        <v>621</v>
      </c>
    </row>
    <row r="8" spans="1:9" ht="73.5" customHeight="1" x14ac:dyDescent="0.2">
      <c r="A8" s="883">
        <v>2</v>
      </c>
      <c r="B8" s="864">
        <v>6</v>
      </c>
      <c r="C8" s="865">
        <v>24023</v>
      </c>
      <c r="D8" s="866" t="s">
        <v>622</v>
      </c>
      <c r="E8" s="864" t="s">
        <v>623</v>
      </c>
      <c r="F8" s="864" t="s">
        <v>624</v>
      </c>
      <c r="G8" s="867">
        <f>'Resumo Proposta'!Y58</f>
        <v>0</v>
      </c>
      <c r="H8" s="867">
        <f>G8*12</f>
        <v>0</v>
      </c>
    </row>
    <row r="9" spans="1:9" ht="73.5" customHeight="1" x14ac:dyDescent="0.2">
      <c r="A9" s="884"/>
      <c r="B9" s="864">
        <v>7</v>
      </c>
      <c r="C9" s="865">
        <v>25194</v>
      </c>
      <c r="D9" s="866" t="s">
        <v>625</v>
      </c>
      <c r="E9" s="864" t="s">
        <v>164</v>
      </c>
      <c r="F9" s="864" t="s">
        <v>624</v>
      </c>
      <c r="G9" s="867">
        <f>'Resumo Proposta'!Z58</f>
        <v>0</v>
      </c>
      <c r="H9" s="867">
        <f t="shared" ref="H9:H12" si="0">G9*12</f>
        <v>0</v>
      </c>
    </row>
    <row r="10" spans="1:9" ht="73.5" customHeight="1" x14ac:dyDescent="0.2">
      <c r="A10" s="884"/>
      <c r="B10" s="864">
        <v>8</v>
      </c>
      <c r="C10" s="865">
        <v>25194</v>
      </c>
      <c r="D10" s="868" t="s">
        <v>626</v>
      </c>
      <c r="E10" s="864" t="s">
        <v>164</v>
      </c>
      <c r="F10" s="864" t="s">
        <v>624</v>
      </c>
      <c r="G10" s="867">
        <f>'Resumo Proposta'!AA58</f>
        <v>0</v>
      </c>
      <c r="H10" s="867">
        <f t="shared" si="0"/>
        <v>0</v>
      </c>
    </row>
    <row r="11" spans="1:9" ht="73.5" customHeight="1" x14ac:dyDescent="0.2">
      <c r="A11" s="884"/>
      <c r="B11" s="864">
        <v>9</v>
      </c>
      <c r="C11" s="865">
        <v>25194</v>
      </c>
      <c r="D11" s="868" t="s">
        <v>627</v>
      </c>
      <c r="E11" s="864" t="s">
        <v>164</v>
      </c>
      <c r="F11" s="864" t="s">
        <v>624</v>
      </c>
      <c r="G11" s="867">
        <f>'Resumo Proposta'!AB58</f>
        <v>0</v>
      </c>
      <c r="H11" s="867">
        <f t="shared" si="0"/>
        <v>0</v>
      </c>
    </row>
    <row r="12" spans="1:9" ht="73.5" customHeight="1" x14ac:dyDescent="0.2">
      <c r="A12" s="884"/>
      <c r="B12" s="864">
        <v>10</v>
      </c>
      <c r="C12" s="865">
        <v>15890</v>
      </c>
      <c r="D12" s="868" t="s">
        <v>628</v>
      </c>
      <c r="E12" s="864" t="s">
        <v>164</v>
      </c>
      <c r="F12" s="864" t="s">
        <v>624</v>
      </c>
      <c r="G12" s="867">
        <f>'Resumo Proposta'!AC58</f>
        <v>0</v>
      </c>
      <c r="H12" s="867">
        <f t="shared" si="0"/>
        <v>0</v>
      </c>
    </row>
    <row r="13" spans="1:9" ht="17.25" customHeight="1" x14ac:dyDescent="0.2">
      <c r="A13" s="869" t="s">
        <v>629</v>
      </c>
      <c r="B13" s="870"/>
      <c r="C13" s="870"/>
      <c r="D13" s="870"/>
      <c r="E13" s="870"/>
      <c r="F13" s="870"/>
      <c r="G13" s="871">
        <f>SUM(G8:G12)</f>
        <v>0</v>
      </c>
      <c r="H13" s="872">
        <f>SUM(H8:H12)</f>
        <v>0</v>
      </c>
      <c r="I13" s="873"/>
    </row>
    <row r="14" spans="1:9" ht="15" x14ac:dyDescent="0.2">
      <c r="A14" s="874"/>
      <c r="B14" s="874"/>
      <c r="C14" s="874"/>
      <c r="D14" s="874"/>
      <c r="E14" s="874"/>
      <c r="F14" s="874"/>
      <c r="G14" s="874"/>
      <c r="H14" s="875"/>
    </row>
    <row r="15" spans="1:9" x14ac:dyDescent="0.2">
      <c r="A15" t="s">
        <v>630</v>
      </c>
    </row>
    <row r="16" spans="1:9" x14ac:dyDescent="0.2">
      <c r="A16" t="s">
        <v>631</v>
      </c>
    </row>
    <row r="17" spans="1:8" x14ac:dyDescent="0.2">
      <c r="A17" s="876" t="s">
        <v>632</v>
      </c>
    </row>
    <row r="18" spans="1:8" x14ac:dyDescent="0.2">
      <c r="A18" s="876" t="s">
        <v>633</v>
      </c>
    </row>
    <row r="19" spans="1:8" x14ac:dyDescent="0.2">
      <c r="A19" s="876" t="s">
        <v>634</v>
      </c>
    </row>
    <row r="20" spans="1:8" x14ac:dyDescent="0.2">
      <c r="A20" s="876" t="s">
        <v>635</v>
      </c>
    </row>
    <row r="21" spans="1:8" x14ac:dyDescent="0.2">
      <c r="A21" s="876" t="s">
        <v>636</v>
      </c>
    </row>
    <row r="22" spans="1:8" x14ac:dyDescent="0.2">
      <c r="A22" s="876" t="s">
        <v>637</v>
      </c>
    </row>
    <row r="23" spans="1:8" x14ac:dyDescent="0.2">
      <c r="A23" s="876" t="s">
        <v>638</v>
      </c>
    </row>
    <row r="24" spans="1:8" x14ac:dyDescent="0.2">
      <c r="A24" s="876" t="s">
        <v>639</v>
      </c>
    </row>
    <row r="25" spans="1:8" x14ac:dyDescent="0.2">
      <c r="A25" s="876" t="s">
        <v>640</v>
      </c>
    </row>
    <row r="26" spans="1:8" x14ac:dyDescent="0.2">
      <c r="A26" s="876" t="s">
        <v>641</v>
      </c>
    </row>
    <row r="27" spans="1:8" x14ac:dyDescent="0.2">
      <c r="A27" s="876" t="s">
        <v>642</v>
      </c>
    </row>
    <row r="28" spans="1:8" x14ac:dyDescent="0.2">
      <c r="A28" s="876"/>
      <c r="B28" s="876"/>
    </row>
    <row r="29" spans="1:8" x14ac:dyDescent="0.2">
      <c r="B29" s="877" t="s">
        <v>643</v>
      </c>
      <c r="C29" s="877"/>
      <c r="D29" s="877"/>
      <c r="E29" s="877"/>
      <c r="F29" s="877"/>
      <c r="G29" s="877"/>
      <c r="H29" s="877"/>
    </row>
  </sheetData>
  <mergeCells count="7">
    <mergeCell ref="B29:H29"/>
    <mergeCell ref="A1:H1"/>
    <mergeCell ref="A2:H2"/>
    <mergeCell ref="A3:H3"/>
    <mergeCell ref="A4:H4"/>
    <mergeCell ref="A5:H5"/>
    <mergeCell ref="A8:A12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LZ144"/>
  <sheetViews>
    <sheetView topLeftCell="A70" zoomScale="80" zoomScaleNormal="80" workbookViewId="0">
      <selection activeCell="AB40" sqref="AB40"/>
    </sheetView>
  </sheetViews>
  <sheetFormatPr defaultRowHeight="14.25" x14ac:dyDescent="0.2"/>
  <cols>
    <col min="1" max="1" width="55.5" style="84" customWidth="1"/>
    <col min="2" max="2" width="17" style="84" customWidth="1"/>
    <col min="3" max="3" width="15.25" style="84" customWidth="1"/>
    <col min="4" max="4" width="16.25" style="84" customWidth="1"/>
    <col min="5" max="1014" width="9" style="84"/>
  </cols>
  <sheetData>
    <row r="1" spans="1:4" ht="15.75" x14ac:dyDescent="0.2">
      <c r="A1" s="1041" t="s">
        <v>449</v>
      </c>
      <c r="B1" s="1042"/>
      <c r="C1" s="1042"/>
      <c r="D1" s="1043"/>
    </row>
    <row r="2" spans="1:4" ht="15.75" x14ac:dyDescent="0.2">
      <c r="A2" s="1044" t="s">
        <v>450</v>
      </c>
      <c r="B2" s="1011"/>
      <c r="C2" s="1011"/>
      <c r="D2" s="1045"/>
    </row>
    <row r="3" spans="1:4" ht="15.75" customHeight="1" x14ac:dyDescent="0.2">
      <c r="A3" s="1044" t="s">
        <v>451</v>
      </c>
      <c r="B3" s="1011"/>
      <c r="C3" s="1011"/>
      <c r="D3" s="1045"/>
    </row>
    <row r="4" spans="1:4" ht="15.75" x14ac:dyDescent="0.2">
      <c r="A4" s="433"/>
      <c r="B4" s="86"/>
      <c r="C4" s="87" t="s">
        <v>452</v>
      </c>
      <c r="D4" s="434" t="s">
        <v>453</v>
      </c>
    </row>
    <row r="5" spans="1:4" x14ac:dyDescent="0.2">
      <c r="A5" s="435"/>
      <c r="B5" s="89" t="s">
        <v>456</v>
      </c>
      <c r="C5" s="90">
        <f>MC!D11</f>
        <v>0</v>
      </c>
      <c r="D5" s="436">
        <f>MC!E11</f>
        <v>0</v>
      </c>
    </row>
    <row r="6" spans="1:4" x14ac:dyDescent="0.2">
      <c r="A6" s="435"/>
      <c r="B6" s="89" t="s">
        <v>457</v>
      </c>
      <c r="C6" s="91">
        <f>MC!D8</f>
        <v>0</v>
      </c>
      <c r="D6" s="437">
        <f>MC!D8</f>
        <v>0</v>
      </c>
    </row>
    <row r="7" spans="1:4" x14ac:dyDescent="0.2">
      <c r="A7" s="435"/>
      <c r="B7" s="89" t="s">
        <v>458</v>
      </c>
      <c r="C7" s="91">
        <f>MC!C8</f>
        <v>0</v>
      </c>
      <c r="D7" s="437">
        <f>MC!C8</f>
        <v>0</v>
      </c>
    </row>
    <row r="8" spans="1:4" x14ac:dyDescent="0.2">
      <c r="A8" s="435"/>
      <c r="B8" s="89" t="s">
        <v>459</v>
      </c>
      <c r="C8" s="92">
        <f>MC!E8</f>
        <v>0</v>
      </c>
      <c r="D8" s="438">
        <f>MC!E8</f>
        <v>0</v>
      </c>
    </row>
    <row r="9" spans="1:4" x14ac:dyDescent="0.2">
      <c r="A9" s="1046"/>
      <c r="B9" s="1012"/>
      <c r="C9" s="1012"/>
      <c r="D9" s="1047"/>
    </row>
    <row r="10" spans="1:4" ht="66.75" customHeight="1" x14ac:dyDescent="0.2">
      <c r="A10" s="439" t="s">
        <v>460</v>
      </c>
      <c r="B10" s="245" t="s">
        <v>461</v>
      </c>
      <c r="C10" s="245" t="s">
        <v>596</v>
      </c>
      <c r="D10" s="440" t="s">
        <v>597</v>
      </c>
    </row>
    <row r="11" spans="1:4" ht="14.25" customHeight="1" x14ac:dyDescent="0.2">
      <c r="A11" s="441" t="s">
        <v>466</v>
      </c>
      <c r="B11" s="395"/>
      <c r="C11" s="395"/>
      <c r="D11" s="442"/>
    </row>
    <row r="12" spans="1:4" ht="14.25" customHeight="1" x14ac:dyDescent="0.2">
      <c r="A12" s="443" t="s">
        <v>467</v>
      </c>
      <c r="B12" s="94" t="s">
        <v>468</v>
      </c>
      <c r="C12" s="94" t="s">
        <v>469</v>
      </c>
      <c r="D12" s="444" t="s">
        <v>469</v>
      </c>
    </row>
    <row r="13" spans="1:4" ht="14.25" customHeight="1" x14ac:dyDescent="0.2">
      <c r="A13" s="445" t="s">
        <v>470</v>
      </c>
      <c r="B13" s="97"/>
      <c r="C13" s="98">
        <f>C5</f>
        <v>0</v>
      </c>
      <c r="D13" s="446">
        <f>D5</f>
        <v>0</v>
      </c>
    </row>
    <row r="14" spans="1:4" ht="14.25" customHeight="1" x14ac:dyDescent="0.2">
      <c r="A14" s="445" t="s">
        <v>471</v>
      </c>
      <c r="B14" s="100">
        <v>0</v>
      </c>
      <c r="C14" s="98">
        <f>C13*$B$14</f>
        <v>0</v>
      </c>
      <c r="D14" s="446">
        <f>D13*$B$14</f>
        <v>0</v>
      </c>
    </row>
    <row r="15" spans="1:4" ht="14.25" customHeight="1" x14ac:dyDescent="0.2">
      <c r="A15" s="445" t="s">
        <v>472</v>
      </c>
      <c r="B15" s="101"/>
      <c r="C15" s="98"/>
      <c r="D15" s="446"/>
    </row>
    <row r="16" spans="1:4" ht="14.25" customHeight="1" x14ac:dyDescent="0.2">
      <c r="A16" s="445" t="s">
        <v>473</v>
      </c>
      <c r="B16" s="101"/>
      <c r="C16" s="98"/>
      <c r="D16" s="446"/>
    </row>
    <row r="17" spans="1:4" ht="14.25" customHeight="1" x14ac:dyDescent="0.2">
      <c r="A17" s="445" t="s">
        <v>474</v>
      </c>
      <c r="B17" s="101"/>
      <c r="C17" s="98"/>
      <c r="D17" s="446"/>
    </row>
    <row r="18" spans="1:4" ht="14.25" customHeight="1" x14ac:dyDescent="0.2">
      <c r="A18" s="445" t="s">
        <v>475</v>
      </c>
      <c r="B18" s="102"/>
      <c r="C18" s="98"/>
      <c r="D18" s="446"/>
    </row>
    <row r="19" spans="1:4" ht="14.25" customHeight="1" x14ac:dyDescent="0.2">
      <c r="A19" s="447" t="s">
        <v>476</v>
      </c>
      <c r="B19" s="104"/>
      <c r="C19" s="113">
        <f>SUM(C13:C18)</f>
        <v>0</v>
      </c>
      <c r="D19" s="448">
        <f>SUM(D13:D18)</f>
        <v>0</v>
      </c>
    </row>
    <row r="20" spans="1:4" ht="14.25" customHeight="1" x14ac:dyDescent="0.2">
      <c r="A20" s="1048"/>
      <c r="B20" s="1013"/>
      <c r="C20" s="106"/>
      <c r="D20" s="450"/>
    </row>
    <row r="21" spans="1:4" ht="14.25" customHeight="1" x14ac:dyDescent="0.2">
      <c r="A21" s="1039" t="s">
        <v>477</v>
      </c>
      <c r="B21" s="1014"/>
      <c r="C21" s="1014"/>
      <c r="D21" s="1040"/>
    </row>
    <row r="22" spans="1:4" ht="14.25" customHeight="1" x14ac:dyDescent="0.2">
      <c r="A22" s="451" t="s">
        <v>478</v>
      </c>
      <c r="B22" s="109" t="s">
        <v>468</v>
      </c>
      <c r="C22" s="109" t="s">
        <v>469</v>
      </c>
      <c r="D22" s="452" t="s">
        <v>469</v>
      </c>
    </row>
    <row r="23" spans="1:4" ht="14.25" customHeight="1" x14ac:dyDescent="0.2">
      <c r="A23" s="453" t="s">
        <v>479</v>
      </c>
      <c r="B23" s="100">
        <f>1/12</f>
        <v>8.3333333333333329E-2</v>
      </c>
      <c r="C23" s="98">
        <f>ROUND($B23*C$19,2)</f>
        <v>0</v>
      </c>
      <c r="D23" s="446">
        <f>ROUND($B23*D$19,2)</f>
        <v>0</v>
      </c>
    </row>
    <row r="24" spans="1:4" ht="14.25" customHeight="1" x14ac:dyDescent="0.2">
      <c r="A24" s="453" t="s">
        <v>480</v>
      </c>
      <c r="B24" s="100">
        <f>1/3*1/12</f>
        <v>2.7777777777777776E-2</v>
      </c>
      <c r="C24" s="98">
        <f>C$19*$B$24</f>
        <v>0</v>
      </c>
      <c r="D24" s="446">
        <f>D$19*$B$24</f>
        <v>0</v>
      </c>
    </row>
    <row r="25" spans="1:4" ht="14.25" customHeight="1" x14ac:dyDescent="0.2">
      <c r="A25" s="447" t="s">
        <v>476</v>
      </c>
      <c r="B25" s="112">
        <f>SUM(B23:B24)</f>
        <v>0.1111111111111111</v>
      </c>
      <c r="C25" s="113">
        <f>SUM(C23:C24)</f>
        <v>0</v>
      </c>
      <c r="D25" s="448">
        <f>SUM(D23:D24)</f>
        <v>0</v>
      </c>
    </row>
    <row r="26" spans="1:4" ht="14.25" customHeight="1" x14ac:dyDescent="0.2">
      <c r="A26" s="451" t="s">
        <v>481</v>
      </c>
      <c r="B26" s="109" t="s">
        <v>468</v>
      </c>
      <c r="C26" s="109" t="s">
        <v>469</v>
      </c>
      <c r="D26" s="452" t="s">
        <v>469</v>
      </c>
    </row>
    <row r="27" spans="1:4" ht="14.25" customHeight="1" x14ac:dyDescent="0.2">
      <c r="A27" s="451" t="s">
        <v>482</v>
      </c>
      <c r="B27" s="115"/>
      <c r="C27" s="115"/>
      <c r="D27" s="454"/>
    </row>
    <row r="28" spans="1:4" ht="14.25" customHeight="1" x14ac:dyDescent="0.2">
      <c r="A28" s="453" t="s">
        <v>483</v>
      </c>
      <c r="B28" s="100">
        <v>0.2</v>
      </c>
      <c r="C28" s="117">
        <f t="shared" ref="C28:C35" si="0">ROUND(($C$19+$C$25)*B28,2)</f>
        <v>0</v>
      </c>
      <c r="D28" s="455">
        <f t="shared" ref="D28:D35" si="1">ROUND(($D$19+$D$25)*B28,2)</f>
        <v>0</v>
      </c>
    </row>
    <row r="29" spans="1:4" ht="14.25" customHeight="1" x14ac:dyDescent="0.2">
      <c r="A29" s="453" t="s">
        <v>484</v>
      </c>
      <c r="B29" s="100">
        <v>2.5000000000000001E-2</v>
      </c>
      <c r="C29" s="117">
        <f t="shared" si="0"/>
        <v>0</v>
      </c>
      <c r="D29" s="455">
        <f t="shared" si="1"/>
        <v>0</v>
      </c>
    </row>
    <row r="30" spans="1:4" ht="14.25" customHeight="1" x14ac:dyDescent="0.2">
      <c r="A30" s="453" t="s">
        <v>485</v>
      </c>
      <c r="B30" s="100">
        <v>0.03</v>
      </c>
      <c r="C30" s="117">
        <f t="shared" si="0"/>
        <v>0</v>
      </c>
      <c r="D30" s="455">
        <f t="shared" si="1"/>
        <v>0</v>
      </c>
    </row>
    <row r="31" spans="1:4" ht="14.25" customHeight="1" x14ac:dyDescent="0.2">
      <c r="A31" s="453" t="s">
        <v>486</v>
      </c>
      <c r="B31" s="100">
        <v>1.4999999999999999E-2</v>
      </c>
      <c r="C31" s="117">
        <f t="shared" si="0"/>
        <v>0</v>
      </c>
      <c r="D31" s="455">
        <f t="shared" si="1"/>
        <v>0</v>
      </c>
    </row>
    <row r="32" spans="1:4" ht="14.25" customHeight="1" x14ac:dyDescent="0.2">
      <c r="A32" s="453" t="s">
        <v>487</v>
      </c>
      <c r="B32" s="100">
        <v>0.01</v>
      </c>
      <c r="C32" s="117">
        <f t="shared" si="0"/>
        <v>0</v>
      </c>
      <c r="D32" s="455">
        <f t="shared" si="1"/>
        <v>0</v>
      </c>
    </row>
    <row r="33" spans="1:4" ht="14.25" customHeight="1" x14ac:dyDescent="0.2">
      <c r="A33" s="453" t="s">
        <v>488</v>
      </c>
      <c r="B33" s="100">
        <v>6.0000000000000001E-3</v>
      </c>
      <c r="C33" s="117">
        <f t="shared" si="0"/>
        <v>0</v>
      </c>
      <c r="D33" s="455">
        <f t="shared" si="1"/>
        <v>0</v>
      </c>
    </row>
    <row r="34" spans="1:4" ht="14.25" customHeight="1" x14ac:dyDescent="0.2">
      <c r="A34" s="453" t="s">
        <v>489</v>
      </c>
      <c r="B34" s="100">
        <v>2E-3</v>
      </c>
      <c r="C34" s="117">
        <f t="shared" si="0"/>
        <v>0</v>
      </c>
      <c r="D34" s="455">
        <f t="shared" si="1"/>
        <v>0</v>
      </c>
    </row>
    <row r="35" spans="1:4" ht="14.25" customHeight="1" x14ac:dyDescent="0.2">
      <c r="A35" s="453" t="s">
        <v>490</v>
      </c>
      <c r="B35" s="100">
        <v>0.08</v>
      </c>
      <c r="C35" s="117">
        <f t="shared" si="0"/>
        <v>0</v>
      </c>
      <c r="D35" s="455">
        <f t="shared" si="1"/>
        <v>0</v>
      </c>
    </row>
    <row r="36" spans="1:4" ht="14.25" customHeight="1" x14ac:dyDescent="0.2">
      <c r="A36" s="447" t="s">
        <v>476</v>
      </c>
      <c r="B36" s="112">
        <f>SUM(B28:B35)</f>
        <v>0.36800000000000005</v>
      </c>
      <c r="C36" s="113">
        <f>SUM(C27:C35)</f>
        <v>0</v>
      </c>
      <c r="D36" s="448">
        <f>SUM(D27:D35)</f>
        <v>0</v>
      </c>
    </row>
    <row r="37" spans="1:4" ht="14.25" customHeight="1" x14ac:dyDescent="0.2">
      <c r="A37" s="451" t="s">
        <v>491</v>
      </c>
      <c r="B37" s="109" t="s">
        <v>492</v>
      </c>
      <c r="C37" s="109" t="s">
        <v>469</v>
      </c>
      <c r="D37" s="452" t="s">
        <v>469</v>
      </c>
    </row>
    <row r="38" spans="1:4" ht="14.25" customHeight="1" x14ac:dyDescent="0.2">
      <c r="A38" s="453" t="s">
        <v>493</v>
      </c>
      <c r="B38" s="119">
        <f>MC!J84</f>
        <v>0</v>
      </c>
      <c r="C38" s="98">
        <f>ROUND(((2*22*$B$38)-0.06*C$13),2)</f>
        <v>0</v>
      </c>
      <c r="D38" s="446">
        <f>ROUND(((2*22*$B$38)-0.06*D$13),2)</f>
        <v>0</v>
      </c>
    </row>
    <row r="39" spans="1:4" ht="14.25" customHeight="1" x14ac:dyDescent="0.2">
      <c r="A39" s="453" t="s">
        <v>494</v>
      </c>
      <c r="B39" s="120"/>
      <c r="C39" s="117">
        <f>MC!E16</f>
        <v>0</v>
      </c>
      <c r="D39" s="455">
        <f>MC!E17</f>
        <v>0</v>
      </c>
    </row>
    <row r="40" spans="1:4" ht="14.25" customHeight="1" x14ac:dyDescent="0.2">
      <c r="A40" s="453" t="s">
        <v>495</v>
      </c>
      <c r="B40" s="100">
        <f>MC!C21</f>
        <v>0</v>
      </c>
      <c r="C40" s="117"/>
      <c r="D40" s="455"/>
    </row>
    <row r="41" spans="1:4" ht="14.25" customHeight="1" x14ac:dyDescent="0.2">
      <c r="A41" s="453" t="s">
        <v>496</v>
      </c>
      <c r="B41" s="121">
        <f>MC!E23</f>
        <v>0</v>
      </c>
      <c r="C41" s="117">
        <f>B41</f>
        <v>0</v>
      </c>
      <c r="D41" s="455">
        <f>B41</f>
        <v>0</v>
      </c>
    </row>
    <row r="42" spans="1:4" ht="14.25" customHeight="1" x14ac:dyDescent="0.2">
      <c r="A42" s="453" t="s">
        <v>497</v>
      </c>
      <c r="B42" s="121">
        <f>MC!E24</f>
        <v>0</v>
      </c>
      <c r="C42" s="117">
        <f>B42</f>
        <v>0</v>
      </c>
      <c r="D42" s="455">
        <f>B42</f>
        <v>0</v>
      </c>
    </row>
    <row r="43" spans="1:4" ht="14.25" customHeight="1" x14ac:dyDescent="0.2">
      <c r="A43" s="453" t="s">
        <v>498</v>
      </c>
      <c r="B43" s="100"/>
      <c r="C43" s="117"/>
      <c r="D43" s="455"/>
    </row>
    <row r="44" spans="1:4" ht="14.25" customHeight="1" x14ac:dyDescent="0.2">
      <c r="A44" s="447" t="s">
        <v>476</v>
      </c>
      <c r="B44" s="104"/>
      <c r="C44" s="113">
        <f>SUM(C38:C43)</f>
        <v>0</v>
      </c>
      <c r="D44" s="448">
        <f>SUM(D38:D43)</f>
        <v>0</v>
      </c>
    </row>
    <row r="45" spans="1:4" ht="14.25" customHeight="1" x14ac:dyDescent="0.2">
      <c r="A45" s="443" t="s">
        <v>499</v>
      </c>
      <c r="B45" s="94" t="s">
        <v>468</v>
      </c>
      <c r="C45" s="94" t="s">
        <v>469</v>
      </c>
      <c r="D45" s="444" t="s">
        <v>469</v>
      </c>
    </row>
    <row r="46" spans="1:4" ht="14.25" customHeight="1" x14ac:dyDescent="0.2">
      <c r="A46" s="453" t="s">
        <v>478</v>
      </c>
      <c r="B46" s="122">
        <f>B25</f>
        <v>0.1111111111111111</v>
      </c>
      <c r="C46" s="123">
        <f>C25</f>
        <v>0</v>
      </c>
      <c r="D46" s="456">
        <f>D25</f>
        <v>0</v>
      </c>
    </row>
    <row r="47" spans="1:4" ht="14.25" customHeight="1" x14ac:dyDescent="0.2">
      <c r="A47" s="453" t="s">
        <v>500</v>
      </c>
      <c r="B47" s="122">
        <f>B36</f>
        <v>0.36800000000000005</v>
      </c>
      <c r="C47" s="123">
        <f>C36</f>
        <v>0</v>
      </c>
      <c r="D47" s="456">
        <f>D36</f>
        <v>0</v>
      </c>
    </row>
    <row r="48" spans="1:4" ht="14.25" customHeight="1" x14ac:dyDescent="0.2">
      <c r="A48" s="453" t="s">
        <v>491</v>
      </c>
      <c r="B48" s="122"/>
      <c r="C48" s="123">
        <f>C44</f>
        <v>0</v>
      </c>
      <c r="D48" s="456">
        <f>D44</f>
        <v>0</v>
      </c>
    </row>
    <row r="49" spans="1:4" ht="14.25" customHeight="1" x14ac:dyDescent="0.2">
      <c r="A49" s="447" t="s">
        <v>476</v>
      </c>
      <c r="B49" s="104"/>
      <c r="C49" s="113">
        <f>SUM(C46:C48)</f>
        <v>0</v>
      </c>
      <c r="D49" s="448">
        <f>SUM(D46:D48)</f>
        <v>0</v>
      </c>
    </row>
    <row r="50" spans="1:4" ht="14.25" customHeight="1" x14ac:dyDescent="0.2">
      <c r="A50" s="1048"/>
      <c r="B50" s="1013"/>
      <c r="C50" s="106"/>
      <c r="D50" s="450"/>
    </row>
    <row r="51" spans="1:4" s="125" customFormat="1" ht="14.25" customHeight="1" x14ac:dyDescent="0.2">
      <c r="A51" s="1039" t="s">
        <v>501</v>
      </c>
      <c r="B51" s="1014"/>
      <c r="C51" s="1014"/>
      <c r="D51" s="1040"/>
    </row>
    <row r="52" spans="1:4" ht="14.25" customHeight="1" x14ac:dyDescent="0.2">
      <c r="A52" s="443" t="s">
        <v>502</v>
      </c>
      <c r="B52" s="94" t="s">
        <v>468</v>
      </c>
      <c r="C52" s="94" t="s">
        <v>469</v>
      </c>
      <c r="D52" s="444" t="s">
        <v>469</v>
      </c>
    </row>
    <row r="53" spans="1:4" ht="14.25" customHeight="1" x14ac:dyDescent="0.2">
      <c r="A53" s="451" t="s">
        <v>503</v>
      </c>
      <c r="B53" s="126"/>
      <c r="C53" s="126"/>
      <c r="D53" s="457"/>
    </row>
    <row r="54" spans="1:4" ht="14.25" customHeight="1" x14ac:dyDescent="0.2">
      <c r="A54" s="453" t="s">
        <v>504</v>
      </c>
      <c r="B54" s="122">
        <f>1/12*0.05</f>
        <v>4.1666666666666666E-3</v>
      </c>
      <c r="C54" s="128">
        <f>C19*$B54</f>
        <v>0</v>
      </c>
      <c r="D54" s="458">
        <f t="shared" ref="D54" si="2">D19*$B54</f>
        <v>0</v>
      </c>
    </row>
    <row r="55" spans="1:4" ht="14.25" customHeight="1" x14ac:dyDescent="0.2">
      <c r="A55" s="453" t="s">
        <v>505</v>
      </c>
      <c r="B55" s="122">
        <f>B35*B54</f>
        <v>3.3333333333333332E-4</v>
      </c>
      <c r="C55" s="128">
        <f>$B$55*C19</f>
        <v>0</v>
      </c>
      <c r="D55" s="458">
        <f t="shared" ref="D55" si="3">$B$55*D19</f>
        <v>0</v>
      </c>
    </row>
    <row r="56" spans="1:4" ht="14.25" customHeight="1" x14ac:dyDescent="0.2">
      <c r="A56" s="453" t="s">
        <v>506</v>
      </c>
      <c r="B56" s="122">
        <v>0</v>
      </c>
      <c r="C56" s="128">
        <f>C35*$B56</f>
        <v>0</v>
      </c>
      <c r="D56" s="458">
        <f t="shared" ref="D56" si="4">D35*$B56</f>
        <v>0</v>
      </c>
    </row>
    <row r="57" spans="1:4" ht="14.25" customHeight="1" x14ac:dyDescent="0.2">
      <c r="A57" s="453" t="s">
        <v>507</v>
      </c>
      <c r="B57" s="122">
        <f>1/12*1/30*7</f>
        <v>1.9444444444444441E-2</v>
      </c>
      <c r="C57" s="123">
        <f>C19*$B57</f>
        <v>0</v>
      </c>
      <c r="D57" s="456">
        <f t="shared" ref="D57" si="5">D19*$B57</f>
        <v>0</v>
      </c>
    </row>
    <row r="58" spans="1:4" ht="14.25" customHeight="1" x14ac:dyDescent="0.2">
      <c r="A58" s="453" t="s">
        <v>508</v>
      </c>
      <c r="B58" s="122">
        <f>B36*B57</f>
        <v>7.1555555555555556E-3</v>
      </c>
      <c r="C58" s="123">
        <f>$B58*C19</f>
        <v>0</v>
      </c>
      <c r="D58" s="456">
        <f t="shared" ref="D58" si="6">$B58*D19</f>
        <v>0</v>
      </c>
    </row>
    <row r="59" spans="1:4" ht="14.25" customHeight="1" x14ac:dyDescent="0.2">
      <c r="A59" s="453" t="s">
        <v>509</v>
      </c>
      <c r="B59" s="122">
        <f>B35*40/100*90/100*(1+1/12+1/12+1/3*1/12)</f>
        <v>3.4399999999999993E-2</v>
      </c>
      <c r="C59" s="123">
        <f>C19*$B59</f>
        <v>0</v>
      </c>
      <c r="D59" s="456">
        <f t="shared" ref="D59" si="7">D19*$B59</f>
        <v>0</v>
      </c>
    </row>
    <row r="60" spans="1:4" ht="14.25" customHeight="1" x14ac:dyDescent="0.2">
      <c r="A60" s="447" t="s">
        <v>476</v>
      </c>
      <c r="B60" s="112">
        <f>SUM(B54:B59)</f>
        <v>6.5499999999999989E-2</v>
      </c>
      <c r="C60" s="129">
        <f>SUM(C54:C59)</f>
        <v>0</v>
      </c>
      <c r="D60" s="459">
        <f>SUM(D54:D59)</f>
        <v>0</v>
      </c>
    </row>
    <row r="61" spans="1:4" ht="14.25" customHeight="1" x14ac:dyDescent="0.2">
      <c r="A61" s="1048"/>
      <c r="B61" s="1013"/>
      <c r="C61" s="396"/>
      <c r="D61" s="460"/>
    </row>
    <row r="62" spans="1:4" ht="14.25" customHeight="1" x14ac:dyDescent="0.2">
      <c r="A62" s="1039" t="s">
        <v>510</v>
      </c>
      <c r="B62" s="1014"/>
      <c r="C62" s="1014"/>
      <c r="D62" s="1040"/>
    </row>
    <row r="63" spans="1:4" ht="14.25" customHeight="1" x14ac:dyDescent="0.2">
      <c r="A63" s="451" t="s">
        <v>39</v>
      </c>
      <c r="B63" s="109"/>
      <c r="C63" s="109"/>
      <c r="D63" s="452"/>
    </row>
    <row r="64" spans="1:4" ht="14.25" customHeight="1" x14ac:dyDescent="0.2">
      <c r="A64" s="453" t="s">
        <v>40</v>
      </c>
      <c r="B64" s="100">
        <f>1/12</f>
        <v>8.3333333333333329E-2</v>
      </c>
      <c r="C64" s="117">
        <f>B64*($C$19+$C$49+$C$60)</f>
        <v>0</v>
      </c>
      <c r="D64" s="455">
        <f>B64*($D$19+$D$49+$D$60)</f>
        <v>0</v>
      </c>
    </row>
    <row r="65" spans="1:4" ht="14.25" customHeight="1" x14ac:dyDescent="0.2">
      <c r="A65" s="453" t="s">
        <v>511</v>
      </c>
      <c r="B65" s="100">
        <f>MC!E51/30/12</f>
        <v>1.3538888888888885E-2</v>
      </c>
      <c r="C65" s="117">
        <f>B65*($C$19+$C$49+$C$60)</f>
        <v>0</v>
      </c>
      <c r="D65" s="455">
        <f>B65*($D$19+$D$49+$D$60)</f>
        <v>0</v>
      </c>
    </row>
    <row r="66" spans="1:4" ht="14.25" customHeight="1" x14ac:dyDescent="0.2">
      <c r="A66" s="453" t="s">
        <v>512</v>
      </c>
      <c r="B66" s="131">
        <f>(5/30)/12*MC!F53*MC!C54</f>
        <v>1.0764583333333333E-4</v>
      </c>
      <c r="C66" s="117">
        <f>B66*($C$19+$C$49+$C$60)</f>
        <v>0</v>
      </c>
      <c r="D66" s="455">
        <f>B66*($D$19+$D$49+$D$60)</f>
        <v>0</v>
      </c>
    </row>
    <row r="67" spans="1:4" ht="14.25" customHeight="1" x14ac:dyDescent="0.2">
      <c r="A67" s="453" t="s">
        <v>513</v>
      </c>
      <c r="B67" s="131">
        <f>MC!C56/30/12</f>
        <v>2.6830555555555553E-3</v>
      </c>
      <c r="C67" s="117">
        <f>B67*($C$19+$C$49+$C$60)</f>
        <v>0</v>
      </c>
      <c r="D67" s="455">
        <f>B67*($D$19+$D$49+$D$60)</f>
        <v>0</v>
      </c>
    </row>
    <row r="68" spans="1:4" ht="14.25" customHeight="1" x14ac:dyDescent="0.2">
      <c r="A68" s="453" t="s">
        <v>514</v>
      </c>
      <c r="B68" s="100"/>
      <c r="C68" s="117"/>
      <c r="D68" s="455"/>
    </row>
    <row r="69" spans="1:4" ht="14.25" customHeight="1" x14ac:dyDescent="0.2">
      <c r="A69" s="461" t="s">
        <v>515</v>
      </c>
      <c r="B69" s="133">
        <f>SUM(B64:B68)</f>
        <v>9.9662923611111107E-2</v>
      </c>
      <c r="C69" s="134">
        <f>SUM(C64:C68)</f>
        <v>0</v>
      </c>
      <c r="D69" s="462">
        <f>SUM(D64:D68)</f>
        <v>0</v>
      </c>
    </row>
    <row r="70" spans="1:4" ht="14.25" customHeight="1" x14ac:dyDescent="0.2">
      <c r="A70" s="451" t="s">
        <v>516</v>
      </c>
      <c r="B70" s="109"/>
      <c r="C70" s="109"/>
      <c r="D70" s="452"/>
    </row>
    <row r="71" spans="1:4" ht="14.25" customHeight="1" x14ac:dyDescent="0.2">
      <c r="A71" s="453" t="s">
        <v>517</v>
      </c>
      <c r="B71" s="100"/>
      <c r="C71" s="117"/>
      <c r="D71" s="455"/>
    </row>
    <row r="72" spans="1:4" ht="14.25" customHeight="1" x14ac:dyDescent="0.2">
      <c r="A72" s="461" t="s">
        <v>515</v>
      </c>
      <c r="B72" s="133"/>
      <c r="C72" s="134">
        <f>C71</f>
        <v>0</v>
      </c>
      <c r="D72" s="462"/>
    </row>
    <row r="73" spans="1:4" ht="14.25" customHeight="1" x14ac:dyDescent="0.2">
      <c r="A73" s="451" t="s">
        <v>61</v>
      </c>
      <c r="B73" s="109"/>
      <c r="C73" s="109"/>
      <c r="D73" s="452"/>
    </row>
    <row r="74" spans="1:4" ht="14.25" customHeight="1" x14ac:dyDescent="0.2">
      <c r="A74" s="453" t="s">
        <v>62</v>
      </c>
      <c r="B74" s="100">
        <f>120/30*MC!C59*MC!C60</f>
        <v>6.18624E-3</v>
      </c>
      <c r="C74" s="117">
        <f>(((C19*2)+ (C19*1/3))+(C36)+(C44-C38-C39))*$B$74</f>
        <v>0</v>
      </c>
      <c r="D74" s="455">
        <f>(((D19*2)+ (D19*1/3))+(D36)+(D44-D38-D39))*$B$74</f>
        <v>0</v>
      </c>
    </row>
    <row r="75" spans="1:4" ht="14.25" customHeight="1" x14ac:dyDescent="0.2">
      <c r="A75" s="461" t="s">
        <v>476</v>
      </c>
      <c r="B75" s="133"/>
      <c r="C75" s="134"/>
      <c r="D75" s="462"/>
    </row>
    <row r="76" spans="1:4" ht="14.25" customHeight="1" x14ac:dyDescent="0.2">
      <c r="A76" s="443" t="s">
        <v>518</v>
      </c>
      <c r="B76" s="94"/>
      <c r="C76" s="94"/>
      <c r="D76" s="444"/>
    </row>
    <row r="77" spans="1:4" ht="14.25" customHeight="1" x14ac:dyDescent="0.2">
      <c r="A77" s="453" t="s">
        <v>39</v>
      </c>
      <c r="B77" s="122">
        <f>B69</f>
        <v>9.9662923611111107E-2</v>
      </c>
      <c r="C77" s="123">
        <f>C69</f>
        <v>0</v>
      </c>
      <c r="D77" s="456">
        <f>D69</f>
        <v>0</v>
      </c>
    </row>
    <row r="78" spans="1:4" ht="14.25" customHeight="1" x14ac:dyDescent="0.2">
      <c r="A78" s="453" t="s">
        <v>516</v>
      </c>
      <c r="B78" s="122">
        <f>B72</f>
        <v>0</v>
      </c>
      <c r="C78" s="123">
        <f>C72</f>
        <v>0</v>
      </c>
      <c r="D78" s="456">
        <f>D72</f>
        <v>0</v>
      </c>
    </row>
    <row r="79" spans="1:4" ht="14.25" customHeight="1" x14ac:dyDescent="0.2">
      <c r="A79" s="453" t="s">
        <v>61</v>
      </c>
      <c r="B79" s="122">
        <f>B74</f>
        <v>6.18624E-3</v>
      </c>
      <c r="C79" s="123">
        <f>C74</f>
        <v>0</v>
      </c>
      <c r="D79" s="456">
        <f>D74</f>
        <v>0</v>
      </c>
    </row>
    <row r="80" spans="1:4" ht="14.25" customHeight="1" x14ac:dyDescent="0.2">
      <c r="A80" s="447" t="s">
        <v>476</v>
      </c>
      <c r="B80" s="104"/>
      <c r="C80" s="113">
        <f>SUM(C77:C79)</f>
        <v>0</v>
      </c>
      <c r="D80" s="448">
        <f>SUM(D77:D79)</f>
        <v>0</v>
      </c>
    </row>
    <row r="81" spans="1:4" ht="14.25" customHeight="1" x14ac:dyDescent="0.2">
      <c r="A81" s="449"/>
      <c r="B81" s="106"/>
      <c r="C81" s="106"/>
      <c r="D81" s="450"/>
    </row>
    <row r="82" spans="1:4" ht="14.25" customHeight="1" x14ac:dyDescent="0.2">
      <c r="A82" s="463" t="s">
        <v>519</v>
      </c>
      <c r="B82" s="257"/>
      <c r="C82" s="257"/>
      <c r="D82" s="464"/>
    </row>
    <row r="83" spans="1:4" ht="14.25" customHeight="1" x14ac:dyDescent="0.2">
      <c r="A83" s="443" t="s">
        <v>520</v>
      </c>
      <c r="B83" s="94" t="s">
        <v>492</v>
      </c>
      <c r="C83" s="94" t="s">
        <v>469</v>
      </c>
      <c r="D83" s="444" t="s">
        <v>469</v>
      </c>
    </row>
    <row r="84" spans="1:4" ht="14.25" customHeight="1" x14ac:dyDescent="0.2">
      <c r="A84" s="453" t="s">
        <v>521</v>
      </c>
      <c r="B84" s="496">
        <f>Insumos!G117</f>
        <v>0</v>
      </c>
      <c r="C84" s="98">
        <f>B84</f>
        <v>0</v>
      </c>
      <c r="D84" s="446">
        <f>B84</f>
        <v>0</v>
      </c>
    </row>
    <row r="85" spans="1:4" ht="14.25" customHeight="1" x14ac:dyDescent="0.2">
      <c r="A85" s="465" t="s">
        <v>522</v>
      </c>
      <c r="B85" s="496">
        <f>Insumos!G69</f>
        <v>0</v>
      </c>
      <c r="C85" s="98">
        <f>B85</f>
        <v>0</v>
      </c>
      <c r="D85" s="446">
        <f>B85</f>
        <v>0</v>
      </c>
    </row>
    <row r="86" spans="1:4" ht="14.25" customHeight="1" x14ac:dyDescent="0.2">
      <c r="A86" s="465" t="s">
        <v>523</v>
      </c>
      <c r="B86" s="497">
        <v>0</v>
      </c>
      <c r="C86" s="98"/>
      <c r="D86" s="446"/>
    </row>
    <row r="87" spans="1:4" ht="14.25" customHeight="1" x14ac:dyDescent="0.2">
      <c r="A87" s="465" t="s">
        <v>524</v>
      </c>
      <c r="B87" s="498"/>
      <c r="C87" s="98">
        <f>Insumos!I122</f>
        <v>0</v>
      </c>
      <c r="D87" s="446">
        <f>Insumos!H122</f>
        <v>0</v>
      </c>
    </row>
    <row r="88" spans="1:4" ht="14.25" customHeight="1" x14ac:dyDescent="0.2">
      <c r="A88" s="465" t="s">
        <v>525</v>
      </c>
      <c r="B88" s="499">
        <v>0</v>
      </c>
      <c r="C88" s="98"/>
      <c r="D88" s="446"/>
    </row>
    <row r="89" spans="1:4" ht="14.25" customHeight="1" x14ac:dyDescent="0.2">
      <c r="A89" s="465" t="s">
        <v>598</v>
      </c>
      <c r="B89" s="496">
        <v>0</v>
      </c>
      <c r="C89" s="98"/>
      <c r="D89" s="446"/>
    </row>
    <row r="90" spans="1:4" ht="14.25" customHeight="1" x14ac:dyDescent="0.2">
      <c r="A90" s="465" t="s">
        <v>527</v>
      </c>
      <c r="B90" s="496">
        <v>0</v>
      </c>
      <c r="C90" s="98"/>
      <c r="D90" s="446"/>
    </row>
    <row r="91" spans="1:4" ht="14.25" customHeight="1" x14ac:dyDescent="0.2">
      <c r="A91" s="461" t="s">
        <v>476</v>
      </c>
      <c r="B91" s="136"/>
      <c r="C91" s="134">
        <f>SUM(C84:C90)</f>
        <v>0</v>
      </c>
      <c r="D91" s="462">
        <f t="shared" ref="D91" si="8">SUM(D84:D90)</f>
        <v>0</v>
      </c>
    </row>
    <row r="92" spans="1:4" ht="14.25" customHeight="1" x14ac:dyDescent="0.2">
      <c r="A92" s="1048"/>
      <c r="B92" s="1013"/>
      <c r="C92" s="137"/>
      <c r="D92" s="466"/>
    </row>
    <row r="93" spans="1:4" ht="14.25" customHeight="1" x14ac:dyDescent="0.2">
      <c r="A93" s="463" t="s">
        <v>528</v>
      </c>
      <c r="B93" s="257"/>
      <c r="C93" s="257"/>
      <c r="D93" s="464"/>
    </row>
    <row r="94" spans="1:4" ht="14.25" customHeight="1" x14ac:dyDescent="0.2">
      <c r="A94" s="443" t="s">
        <v>529</v>
      </c>
      <c r="B94" s="94" t="s">
        <v>468</v>
      </c>
      <c r="C94" s="94" t="s">
        <v>469</v>
      </c>
      <c r="D94" s="444" t="s">
        <v>469</v>
      </c>
    </row>
    <row r="95" spans="1:4" ht="14.25" customHeight="1" x14ac:dyDescent="0.2">
      <c r="A95" s="445" t="s">
        <v>67</v>
      </c>
      <c r="B95" s="100">
        <v>0.03</v>
      </c>
      <c r="C95" s="117">
        <f>($C$19+$C$49+$C$60+$C$80+$C$91)*$B$95</f>
        <v>0</v>
      </c>
      <c r="D95" s="455">
        <f>($D$19+$D$49+$D$60+$D$80+$D$91)*$B$95</f>
        <v>0</v>
      </c>
    </row>
    <row r="96" spans="1:4" ht="14.25" customHeight="1" x14ac:dyDescent="0.2">
      <c r="A96" s="445" t="s">
        <v>68</v>
      </c>
      <c r="B96" s="100">
        <v>6.7900000000000002E-2</v>
      </c>
      <c r="C96" s="117">
        <f>($C$19+$C$49+$C$60+$C$80+$C$91+C95)*B96</f>
        <v>0</v>
      </c>
      <c r="D96" s="455">
        <f>($D$19+$D$49+$D$60+$D$80+$D$91+$D$95)*$B$96</f>
        <v>0</v>
      </c>
    </row>
    <row r="97" spans="1:4" ht="14.25" customHeight="1" x14ac:dyDescent="0.2">
      <c r="A97" s="467" t="s">
        <v>530</v>
      </c>
      <c r="B97" s="261">
        <f>B98+B99</f>
        <v>0.1125</v>
      </c>
      <c r="C97" s="262">
        <f>((C19+C49+C60+C80+C91+C95+C96)/(1-($B$97)))*$B$97</f>
        <v>0</v>
      </c>
      <c r="D97" s="468">
        <f>((D19+D49+D60+D80+D91+D95+D96)/(1-($B$97)))*$B$97</f>
        <v>0</v>
      </c>
    </row>
    <row r="98" spans="1:4" ht="14.25" customHeight="1" x14ac:dyDescent="0.2">
      <c r="A98" s="445" t="s">
        <v>531</v>
      </c>
      <c r="B98" s="100">
        <f>0.0165+0.076</f>
        <v>9.2499999999999999E-2</v>
      </c>
      <c r="C98" s="263">
        <f>((C$19+C$49+C$60+C$80+C$91+C$95+C$96)/(1-($B$97)))*$B$98</f>
        <v>0</v>
      </c>
      <c r="D98" s="469">
        <f t="shared" ref="D98" si="9">((D$19+D$49+D$60+D$80+D$91+D$95+D$96)/(1-($B$97)))*$B$98</f>
        <v>0</v>
      </c>
    </row>
    <row r="99" spans="1:4" ht="14.25" customHeight="1" x14ac:dyDescent="0.2">
      <c r="A99" s="445" t="s">
        <v>532</v>
      </c>
      <c r="B99" s="100">
        <v>0.02</v>
      </c>
      <c r="C99" s="264">
        <f>((C$19+C$49+C$60+C$80+C$91+C$95+C$96)/(1-($B$97)))*$B$99</f>
        <v>0</v>
      </c>
      <c r="D99" s="470">
        <f t="shared" ref="D99" si="10">((D$19+D$49+D$60+D$80+D$91+D$95+D$96)/(1-($B$97)))*$B$99</f>
        <v>0</v>
      </c>
    </row>
    <row r="100" spans="1:4" ht="14.25" customHeight="1" x14ac:dyDescent="0.2">
      <c r="A100" s="467" t="s">
        <v>533</v>
      </c>
      <c r="B100" s="261">
        <f>B101+B102</f>
        <v>0.11749999999999999</v>
      </c>
      <c r="C100" s="262">
        <f>((C19+C49+C60+C80+C91+C95+C96)/(1-($B$100)))*$B$100</f>
        <v>0</v>
      </c>
      <c r="D100" s="468">
        <f t="shared" ref="D100" si="11">((D19+D49+D60+D80+D91+D95+D96)/(1-($B$100)))*$B$100</f>
        <v>0</v>
      </c>
    </row>
    <row r="101" spans="1:4" ht="14.25" customHeight="1" x14ac:dyDescent="0.2">
      <c r="A101" s="445" t="s">
        <v>531</v>
      </c>
      <c r="B101" s="100">
        <f>0.0165+0.076</f>
        <v>9.2499999999999999E-2</v>
      </c>
      <c r="C101" s="263">
        <f>((C19+C49+C60+C80+C91+C95+C96)/(1-($B$100)))*$B$101</f>
        <v>0</v>
      </c>
      <c r="D101" s="469">
        <f t="shared" ref="D101" si="12">((D19+D49+D60+D80+D91+D95+D96)/(1-($B$100)))*$B$101</f>
        <v>0</v>
      </c>
    </row>
    <row r="102" spans="1:4" ht="14.25" customHeight="1" x14ac:dyDescent="0.2">
      <c r="A102" s="445" t="s">
        <v>532</v>
      </c>
      <c r="B102" s="100">
        <v>2.5000000000000001E-2</v>
      </c>
      <c r="C102" s="264">
        <f>((C$19+C$49+C$60+C$80+C$91+C$95+C$96)/(1-($B$100)))*$B$102</f>
        <v>0</v>
      </c>
      <c r="D102" s="470">
        <f t="shared" ref="D102" si="13">((D$19+D$49+D$60+D$80+D$91+D$95+D$96)/(1-($B$100)))*$B$102</f>
        <v>0</v>
      </c>
    </row>
    <row r="103" spans="1:4" ht="14.25" customHeight="1" x14ac:dyDescent="0.2">
      <c r="A103" s="467" t="s">
        <v>534</v>
      </c>
      <c r="B103" s="261">
        <f>B104+B105</f>
        <v>0.1225</v>
      </c>
      <c r="C103" s="262">
        <f>((C19+C49+C60+C80+C91+C95+C96)/(1-($B$103)))*$B$103</f>
        <v>0</v>
      </c>
      <c r="D103" s="468">
        <f t="shared" ref="D103" si="14">((D19+D49+D60+D80+D91+D95+D96)/(1-($B$103)))*$B$103</f>
        <v>0</v>
      </c>
    </row>
    <row r="104" spans="1:4" ht="14.25" customHeight="1" x14ac:dyDescent="0.2">
      <c r="A104" s="445" t="s">
        <v>531</v>
      </c>
      <c r="B104" s="100">
        <f>0.0165+0.076</f>
        <v>9.2499999999999999E-2</v>
      </c>
      <c r="C104" s="263">
        <f>((C19+C49+C60+C80+C91+C95+C96)/(1-($B$103)))*$B$104</f>
        <v>0</v>
      </c>
      <c r="D104" s="469">
        <f t="shared" ref="D104" si="15">((D19+D49+D60+D80+D91+D95+D96)/(1-($B$103)))*$B$104</f>
        <v>0</v>
      </c>
    </row>
    <row r="105" spans="1:4" ht="14.25" customHeight="1" x14ac:dyDescent="0.2">
      <c r="A105" s="445" t="s">
        <v>532</v>
      </c>
      <c r="B105" s="100">
        <v>0.03</v>
      </c>
      <c r="C105" s="264">
        <f>((C19+C49+C60+C80+C91+C95+C96)/(1-($B$103)))*$B$105</f>
        <v>0</v>
      </c>
      <c r="D105" s="470">
        <f t="shared" ref="D105" si="16">((D19+D49+D60+D80+D91+D95+D96)/(1-($B$103)))*$B$105</f>
        <v>0</v>
      </c>
    </row>
    <row r="106" spans="1:4" ht="14.25" customHeight="1" x14ac:dyDescent="0.2">
      <c r="A106" s="467" t="s">
        <v>535</v>
      </c>
      <c r="B106" s="261">
        <f>B107+B108</f>
        <v>0.13250000000000001</v>
      </c>
      <c r="C106" s="262">
        <f>((C19+C49+C60+C80+C91+C95+C96)/(1-($B$106)))*$B$106</f>
        <v>0</v>
      </c>
      <c r="D106" s="468">
        <f t="shared" ref="D106" si="17">((D19+D49+D60+D80+D91+D95+D96)/(1-($B$106)))*$B$106</f>
        <v>0</v>
      </c>
    </row>
    <row r="107" spans="1:4" ht="14.25" customHeight="1" x14ac:dyDescent="0.2">
      <c r="A107" s="445" t="s">
        <v>531</v>
      </c>
      <c r="B107" s="100">
        <f>0.0165+0.076</f>
        <v>9.2499999999999999E-2</v>
      </c>
      <c r="C107" s="263">
        <f>((C19+C49+C60+C80+C91+C95+C96)/(1-($B$106)))*$B$107</f>
        <v>0</v>
      </c>
      <c r="D107" s="469">
        <f t="shared" ref="D107" si="18">((D19+D49+D60+D80+D91+D95+D96)/(1-($B$106)))*$B$107</f>
        <v>0</v>
      </c>
    </row>
    <row r="108" spans="1:4" ht="14.25" customHeight="1" x14ac:dyDescent="0.2">
      <c r="A108" s="445" t="s">
        <v>532</v>
      </c>
      <c r="B108" s="100">
        <v>0.04</v>
      </c>
      <c r="C108" s="264">
        <f>((C19+C49+C60+C80+C91+C95+C96)/(1-($B$106)))*$B$108</f>
        <v>0</v>
      </c>
      <c r="D108" s="470">
        <f t="shared" ref="D108" si="19">((D19+D49+D60+D80+D91+D95+D96)/(1-($B$106)))*$B$108</f>
        <v>0</v>
      </c>
    </row>
    <row r="109" spans="1:4" ht="14.25" customHeight="1" x14ac:dyDescent="0.2">
      <c r="A109" s="467" t="s">
        <v>536</v>
      </c>
      <c r="B109" s="261">
        <f>B110+B111</f>
        <v>0.14250000000000002</v>
      </c>
      <c r="C109" s="262">
        <f>((C19+C49+C60+C80+C91+C95+C96)/(1-($B$109)))*$B$109</f>
        <v>0</v>
      </c>
      <c r="D109" s="468">
        <f t="shared" ref="D109" si="20">((D19+D49+D60+D80+D91+D95+D96)/(1-($B$109)))*$B$109</f>
        <v>0</v>
      </c>
    </row>
    <row r="110" spans="1:4" ht="14.25" customHeight="1" x14ac:dyDescent="0.2">
      <c r="A110" s="445" t="s">
        <v>531</v>
      </c>
      <c r="B110" s="100">
        <f>0.0165+0.076</f>
        <v>9.2499999999999999E-2</v>
      </c>
      <c r="C110" s="263">
        <f>((C19+C49+C60+C80+C91+C95+C96)/(1-($B$109)))*$B$110</f>
        <v>0</v>
      </c>
      <c r="D110" s="469">
        <f t="shared" ref="D110" si="21">((D19+D49+D60+D80+D91+D95+D96)/(1-($B$109)))*$B$110</f>
        <v>0</v>
      </c>
    </row>
    <row r="111" spans="1:4" ht="14.25" customHeight="1" x14ac:dyDescent="0.2">
      <c r="A111" s="445" t="s">
        <v>532</v>
      </c>
      <c r="B111" s="266">
        <v>0.05</v>
      </c>
      <c r="C111" s="264">
        <f>((C19+C49+C60+C80+C91+C95+C96)/(1-($B$109)))*$B$111</f>
        <v>0</v>
      </c>
      <c r="D111" s="470">
        <f t="shared" ref="D111" si="22">((D19+D49+D60+D80+D91+D95+D96)/(1-($B$109)))*$B$111</f>
        <v>0</v>
      </c>
    </row>
    <row r="112" spans="1:4" ht="14.25" customHeight="1" x14ac:dyDescent="0.2">
      <c r="A112" s="1050" t="s">
        <v>537</v>
      </c>
      <c r="B112" s="267">
        <v>0.02</v>
      </c>
      <c r="C112" s="268">
        <f>C95+C96+C97</f>
        <v>0</v>
      </c>
      <c r="D112" s="471">
        <f>D95+D96+D97</f>
        <v>0</v>
      </c>
    </row>
    <row r="113" spans="1:4" ht="14.25" customHeight="1" x14ac:dyDescent="0.2">
      <c r="A113" s="1050"/>
      <c r="B113" s="269">
        <v>2.5000000000000001E-2</v>
      </c>
      <c r="C113" s="270">
        <f>C95+C96+C100</f>
        <v>0</v>
      </c>
      <c r="D113" s="472">
        <f>D95+D96+D100</f>
        <v>0</v>
      </c>
    </row>
    <row r="114" spans="1:4" ht="14.25" customHeight="1" x14ac:dyDescent="0.2">
      <c r="A114" s="1050"/>
      <c r="B114" s="269">
        <v>0.03</v>
      </c>
      <c r="C114" s="270">
        <f>C95+C96+C103</f>
        <v>0</v>
      </c>
      <c r="D114" s="472">
        <f>D95+D96+D103</f>
        <v>0</v>
      </c>
    </row>
    <row r="115" spans="1:4" ht="14.25" customHeight="1" x14ac:dyDescent="0.2">
      <c r="A115" s="1050"/>
      <c r="B115" s="269">
        <v>0.04</v>
      </c>
      <c r="C115" s="270">
        <f>C95+C96+C106</f>
        <v>0</v>
      </c>
      <c r="D115" s="472">
        <f>D95+D96+D106</f>
        <v>0</v>
      </c>
    </row>
    <row r="116" spans="1:4" ht="14.25" customHeight="1" x14ac:dyDescent="0.2">
      <c r="A116" s="1050"/>
      <c r="B116" s="271">
        <v>0.05</v>
      </c>
      <c r="C116" s="272">
        <f>C95+C96+C109</f>
        <v>0</v>
      </c>
      <c r="D116" s="473">
        <f>D95+D96+D109</f>
        <v>0</v>
      </c>
    </row>
    <row r="117" spans="1:4" ht="14.25" customHeight="1" x14ac:dyDescent="0.2">
      <c r="A117" s="445" t="s">
        <v>538</v>
      </c>
      <c r="B117" s="273"/>
      <c r="C117" s="274"/>
      <c r="D117" s="474"/>
    </row>
    <row r="118" spans="1:4" ht="14.25" customHeight="1" x14ac:dyDescent="0.2">
      <c r="A118" s="475"/>
      <c r="B118" s="277"/>
      <c r="C118" s="278"/>
      <c r="D118" s="476"/>
    </row>
    <row r="119" spans="1:4" ht="7.5" customHeight="1" x14ac:dyDescent="0.2">
      <c r="A119" s="1051"/>
      <c r="B119" s="1016"/>
      <c r="C119" s="1016"/>
      <c r="D119" s="1052"/>
    </row>
    <row r="120" spans="1:4" ht="7.5" customHeight="1" x14ac:dyDescent="0.2">
      <c r="A120" s="1053"/>
      <c r="B120" s="1017"/>
      <c r="C120" s="1017"/>
      <c r="D120" s="1054"/>
    </row>
    <row r="121" spans="1:4" ht="54.75" customHeight="1" x14ac:dyDescent="0.2">
      <c r="A121" s="1055" t="s">
        <v>539</v>
      </c>
      <c r="B121" s="1018"/>
      <c r="C121" s="281" t="str">
        <f>C10</f>
        <v>Servente COVID 40h</v>
      </c>
      <c r="D121" s="477" t="str">
        <f>D10</f>
        <v>Servente COVID 30h</v>
      </c>
    </row>
    <row r="122" spans="1:4" ht="15.75" customHeight="1" x14ac:dyDescent="0.2">
      <c r="A122" s="1056" t="s">
        <v>540</v>
      </c>
      <c r="B122" s="1019"/>
      <c r="C122" s="284" t="s">
        <v>469</v>
      </c>
      <c r="D122" s="478" t="s">
        <v>469</v>
      </c>
    </row>
    <row r="123" spans="1:4" ht="14.25" customHeight="1" x14ac:dyDescent="0.2">
      <c r="A123" s="1057" t="s">
        <v>541</v>
      </c>
      <c r="B123" s="1020"/>
      <c r="C123" s="286">
        <f>C19</f>
        <v>0</v>
      </c>
      <c r="D123" s="479">
        <f>D19</f>
        <v>0</v>
      </c>
    </row>
    <row r="124" spans="1:4" ht="14.25" customHeight="1" x14ac:dyDescent="0.2">
      <c r="A124" s="1049" t="s">
        <v>542</v>
      </c>
      <c r="B124" s="1021"/>
      <c r="C124" s="139">
        <f>C49</f>
        <v>0</v>
      </c>
      <c r="D124" s="480">
        <f>D49</f>
        <v>0</v>
      </c>
    </row>
    <row r="125" spans="1:4" ht="14.25" customHeight="1" x14ac:dyDescent="0.2">
      <c r="A125" s="1049" t="s">
        <v>543</v>
      </c>
      <c r="B125" s="1021"/>
      <c r="C125" s="139">
        <f>C60</f>
        <v>0</v>
      </c>
      <c r="D125" s="480">
        <f>D60</f>
        <v>0</v>
      </c>
    </row>
    <row r="126" spans="1:4" ht="14.25" customHeight="1" x14ac:dyDescent="0.2">
      <c r="A126" s="1049" t="s">
        <v>544</v>
      </c>
      <c r="B126" s="1021"/>
      <c r="C126" s="139">
        <f>C80</f>
        <v>0</v>
      </c>
      <c r="D126" s="480">
        <f>D80</f>
        <v>0</v>
      </c>
    </row>
    <row r="127" spans="1:4" ht="15.75" customHeight="1" x14ac:dyDescent="0.2">
      <c r="A127" s="1049" t="s">
        <v>545</v>
      </c>
      <c r="B127" s="1021"/>
      <c r="C127" s="139">
        <f>C91</f>
        <v>0</v>
      </c>
      <c r="D127" s="480">
        <f>D91</f>
        <v>0</v>
      </c>
    </row>
    <row r="128" spans="1:4" ht="15.75" customHeight="1" x14ac:dyDescent="0.2">
      <c r="A128" s="1059" t="s">
        <v>546</v>
      </c>
      <c r="B128" s="1024"/>
      <c r="C128" s="141">
        <f>SUM(C123:C127)</f>
        <v>0</v>
      </c>
      <c r="D128" s="481">
        <f>SUM(D123:D127)</f>
        <v>0</v>
      </c>
    </row>
    <row r="129" spans="1:4" ht="15.75" customHeight="1" x14ac:dyDescent="0.2">
      <c r="A129" s="1058" t="s">
        <v>547</v>
      </c>
      <c r="B129" s="1022"/>
      <c r="C129" s="289">
        <f t="shared" ref="C129:D133" si="23">C112</f>
        <v>0</v>
      </c>
      <c r="D129" s="482">
        <f t="shared" si="23"/>
        <v>0</v>
      </c>
    </row>
    <row r="130" spans="1:4" ht="15.75" customHeight="1" x14ac:dyDescent="0.2">
      <c r="A130" s="1049" t="s">
        <v>548</v>
      </c>
      <c r="B130" s="1021"/>
      <c r="C130" s="291">
        <f t="shared" si="23"/>
        <v>0</v>
      </c>
      <c r="D130" s="483">
        <f t="shared" si="23"/>
        <v>0</v>
      </c>
    </row>
    <row r="131" spans="1:4" ht="15.75" customHeight="1" x14ac:dyDescent="0.2">
      <c r="A131" s="1049" t="s">
        <v>549</v>
      </c>
      <c r="B131" s="1021"/>
      <c r="C131" s="291">
        <f t="shared" si="23"/>
        <v>0</v>
      </c>
      <c r="D131" s="483">
        <f t="shared" si="23"/>
        <v>0</v>
      </c>
    </row>
    <row r="132" spans="1:4" ht="15.75" customHeight="1" x14ac:dyDescent="0.2">
      <c r="A132" s="1049" t="s">
        <v>550</v>
      </c>
      <c r="B132" s="1021"/>
      <c r="C132" s="291">
        <f t="shared" si="23"/>
        <v>0</v>
      </c>
      <c r="D132" s="483">
        <f t="shared" si="23"/>
        <v>0</v>
      </c>
    </row>
    <row r="133" spans="1:4" ht="15.75" customHeight="1" x14ac:dyDescent="0.2">
      <c r="A133" s="1058" t="s">
        <v>551</v>
      </c>
      <c r="B133" s="1022"/>
      <c r="C133" s="291">
        <f t="shared" si="23"/>
        <v>0</v>
      </c>
      <c r="D133" s="483">
        <f t="shared" si="23"/>
        <v>0</v>
      </c>
    </row>
    <row r="134" spans="1:4" ht="15.75" customHeight="1" x14ac:dyDescent="0.2">
      <c r="A134" s="484" t="s">
        <v>552</v>
      </c>
      <c r="B134" s="294"/>
      <c r="C134" s="295">
        <f>C128+C129</f>
        <v>0</v>
      </c>
      <c r="D134" s="485">
        <f>D128+D129</f>
        <v>0</v>
      </c>
    </row>
    <row r="135" spans="1:4" ht="15.75" customHeight="1" x14ac:dyDescent="0.2">
      <c r="A135" s="486" t="s">
        <v>553</v>
      </c>
      <c r="B135" s="298"/>
      <c r="C135" s="299">
        <f>C128+C130</f>
        <v>0</v>
      </c>
      <c r="D135" s="487">
        <f>D128+D130</f>
        <v>0</v>
      </c>
    </row>
    <row r="136" spans="1:4" ht="15.75" customHeight="1" x14ac:dyDescent="0.2">
      <c r="A136" s="486" t="s">
        <v>554</v>
      </c>
      <c r="B136" s="298"/>
      <c r="C136" s="299">
        <f>C128+C131</f>
        <v>0</v>
      </c>
      <c r="D136" s="487">
        <f>D128+D131</f>
        <v>0</v>
      </c>
    </row>
    <row r="137" spans="1:4" ht="15.75" customHeight="1" x14ac:dyDescent="0.2">
      <c r="A137" s="486" t="s">
        <v>555</v>
      </c>
      <c r="B137" s="298"/>
      <c r="C137" s="299">
        <f>C128+C132</f>
        <v>0</v>
      </c>
      <c r="D137" s="487">
        <f>D128+D132</f>
        <v>0</v>
      </c>
    </row>
    <row r="138" spans="1:4" ht="15.75" customHeight="1" x14ac:dyDescent="0.2">
      <c r="A138" s="486" t="s">
        <v>556</v>
      </c>
      <c r="B138" s="298"/>
      <c r="C138" s="299">
        <f>C128+C133</f>
        <v>0</v>
      </c>
      <c r="D138" s="487">
        <f>D128+D133</f>
        <v>0</v>
      </c>
    </row>
    <row r="139" spans="1:4" ht="15.75" customHeight="1" x14ac:dyDescent="0.2">
      <c r="A139" s="488" t="s">
        <v>557</v>
      </c>
      <c r="B139" s="302"/>
      <c r="C139" s="303">
        <f>C134/200</f>
        <v>0</v>
      </c>
      <c r="D139" s="489"/>
    </row>
    <row r="140" spans="1:4" ht="15.75" customHeight="1" x14ac:dyDescent="0.2">
      <c r="A140" s="490" t="s">
        <v>558</v>
      </c>
      <c r="B140" s="307"/>
      <c r="C140" s="308">
        <f>C135/200</f>
        <v>0</v>
      </c>
      <c r="D140" s="491"/>
    </row>
    <row r="141" spans="1:4" ht="15.75" customHeight="1" x14ac:dyDescent="0.2">
      <c r="A141" s="490" t="s">
        <v>559</v>
      </c>
      <c r="B141" s="307"/>
      <c r="C141" s="308">
        <f>C136/200</f>
        <v>0</v>
      </c>
      <c r="D141" s="491"/>
    </row>
    <row r="142" spans="1:4" ht="15.75" customHeight="1" x14ac:dyDescent="0.2">
      <c r="A142" s="490" t="s">
        <v>560</v>
      </c>
      <c r="B142" s="307"/>
      <c r="C142" s="308">
        <f>C137/200</f>
        <v>0</v>
      </c>
      <c r="D142" s="491"/>
    </row>
    <row r="143" spans="1:4" ht="15.75" customHeight="1" x14ac:dyDescent="0.2">
      <c r="A143" s="492" t="s">
        <v>561</v>
      </c>
      <c r="B143" s="493"/>
      <c r="C143" s="494">
        <f>C138/200</f>
        <v>0</v>
      </c>
      <c r="D143" s="495"/>
    </row>
    <row r="144" spans="1:4" x14ac:dyDescent="0.2">
      <c r="A144" s="316"/>
    </row>
  </sheetData>
  <mergeCells count="27"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21:D21"/>
    <mergeCell ref="A1:D1"/>
    <mergeCell ref="A2:D2"/>
    <mergeCell ref="A3:D3"/>
    <mergeCell ref="A9:D9"/>
    <mergeCell ref="A20:B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472C4"/>
  </sheetPr>
  <dimension ref="A1:AMC38"/>
  <sheetViews>
    <sheetView zoomScale="80" zoomScaleNormal="80" workbookViewId="0">
      <pane xSplit="1" topLeftCell="B1" activePane="topRight" state="frozen"/>
      <selection pane="topRight" activeCell="Q52" sqref="Q52"/>
    </sheetView>
  </sheetViews>
  <sheetFormatPr defaultRowHeight="14.25" x14ac:dyDescent="0.2"/>
  <cols>
    <col min="1" max="1" width="28.75" customWidth="1"/>
    <col min="2" max="2" width="8.5" customWidth="1"/>
    <col min="18" max="18" width="10.875" customWidth="1"/>
    <col min="19" max="20" width="10.625" customWidth="1"/>
  </cols>
  <sheetData>
    <row r="1" spans="1:21" ht="15" customHeight="1" x14ac:dyDescent="0.2">
      <c r="A1" s="172"/>
      <c r="B1" s="172"/>
      <c r="C1" s="993" t="s">
        <v>331</v>
      </c>
      <c r="D1" s="993"/>
      <c r="E1" s="993"/>
      <c r="F1" s="993"/>
      <c r="G1" s="994" t="s">
        <v>332</v>
      </c>
      <c r="H1" s="994"/>
      <c r="I1" s="994"/>
      <c r="J1" s="995" t="s">
        <v>333</v>
      </c>
      <c r="K1" s="995"/>
      <c r="L1" s="995"/>
      <c r="M1" s="172"/>
      <c r="N1" s="172"/>
      <c r="O1" s="172"/>
      <c r="P1" s="172"/>
      <c r="Q1" s="172"/>
      <c r="R1" s="1007"/>
      <c r="S1" s="1007"/>
      <c r="T1" s="1007"/>
      <c r="U1" s="172"/>
    </row>
    <row r="2" spans="1:21" ht="60" customHeight="1" x14ac:dyDescent="0.2">
      <c r="A2" s="1000" t="s">
        <v>340</v>
      </c>
      <c r="B2" s="1002" t="s">
        <v>71</v>
      </c>
      <c r="C2" s="1001" t="s">
        <v>342</v>
      </c>
      <c r="D2" s="969" t="s">
        <v>343</v>
      </c>
      <c r="E2" s="975" t="s">
        <v>344</v>
      </c>
      <c r="F2" s="1001" t="s">
        <v>415</v>
      </c>
      <c r="G2" s="996" t="s">
        <v>346</v>
      </c>
      <c r="H2" s="997" t="s">
        <v>416</v>
      </c>
      <c r="I2" s="999" t="s">
        <v>348</v>
      </c>
      <c r="J2" s="1004" t="s">
        <v>349</v>
      </c>
      <c r="K2" s="964" t="s">
        <v>350</v>
      </c>
      <c r="L2" s="1005" t="s">
        <v>351</v>
      </c>
      <c r="M2" s="1006" t="s">
        <v>417</v>
      </c>
      <c r="N2" s="1008" t="s">
        <v>418</v>
      </c>
      <c r="O2" s="1008"/>
      <c r="P2" s="1009" t="s">
        <v>419</v>
      </c>
      <c r="Q2" s="1009"/>
      <c r="R2" s="503" t="s">
        <v>420</v>
      </c>
      <c r="S2" s="504" t="s">
        <v>421</v>
      </c>
      <c r="T2" s="836" t="s">
        <v>422</v>
      </c>
      <c r="U2" s="193" t="s">
        <v>423</v>
      </c>
    </row>
    <row r="3" spans="1:21" x14ac:dyDescent="0.2">
      <c r="A3" s="1000"/>
      <c r="B3" s="1003"/>
      <c r="C3" s="1001"/>
      <c r="D3" s="969"/>
      <c r="E3" s="975"/>
      <c r="F3" s="1001"/>
      <c r="G3" s="996"/>
      <c r="H3" s="998"/>
      <c r="I3" s="999"/>
      <c r="J3" s="1004"/>
      <c r="K3" s="964"/>
      <c r="L3" s="1005"/>
      <c r="M3" s="1006"/>
      <c r="N3" s="192" t="s">
        <v>424</v>
      </c>
      <c r="O3" s="194" t="s">
        <v>425</v>
      </c>
      <c r="P3" s="195" t="s">
        <v>424</v>
      </c>
      <c r="Q3" s="501" t="s">
        <v>425</v>
      </c>
      <c r="R3" s="523" t="s">
        <v>426</v>
      </c>
      <c r="S3" s="505" t="s">
        <v>426</v>
      </c>
      <c r="T3" s="837" t="s">
        <v>427</v>
      </c>
      <c r="U3" s="193" t="s">
        <v>425</v>
      </c>
    </row>
    <row r="4" spans="1:21" ht="14.25" customHeight="1" x14ac:dyDescent="0.2">
      <c r="A4" s="635" t="s">
        <v>114</v>
      </c>
      <c r="B4" s="677">
        <f>MC!C91</f>
        <v>0</v>
      </c>
      <c r="C4" s="636">
        <v>2205.4899999999998</v>
      </c>
      <c r="D4" s="637">
        <v>782.2</v>
      </c>
      <c r="E4" s="637">
        <v>0</v>
      </c>
      <c r="F4" s="637">
        <v>144.51</v>
      </c>
      <c r="G4" s="637">
        <v>4.75</v>
      </c>
      <c r="H4" s="637">
        <v>0</v>
      </c>
      <c r="I4" s="637">
        <v>571.12</v>
      </c>
      <c r="J4" s="637">
        <v>295.14</v>
      </c>
      <c r="K4" s="637">
        <v>243.21</v>
      </c>
      <c r="L4" s="638">
        <v>538.35</v>
      </c>
      <c r="M4" s="196">
        <f t="shared" ref="M4:M17" si="0">C4/$C$19+D4/$D$19+E4/$E$19+F4/$F$19+G4/$G$19+H4/$H$19+I4/$I$19+K4/$K$19*16*1/188.76+L4/$L$19*16*1/188.76</f>
        <v>4.2404328718202766</v>
      </c>
      <c r="N4" s="747" t="s">
        <v>429</v>
      </c>
      <c r="O4" s="747">
        <v>4</v>
      </c>
      <c r="P4" s="765">
        <v>2</v>
      </c>
      <c r="Q4" s="749">
        <v>1</v>
      </c>
      <c r="R4" s="518">
        <v>6</v>
      </c>
      <c r="S4" s="530">
        <v>6</v>
      </c>
      <c r="T4" s="838">
        <v>22</v>
      </c>
      <c r="U4" s="845">
        <v>1</v>
      </c>
    </row>
    <row r="5" spans="1:21" x14ac:dyDescent="0.2">
      <c r="A5" s="546" t="s">
        <v>115</v>
      </c>
      <c r="B5" s="677">
        <f>MC!C92</f>
        <v>0</v>
      </c>
      <c r="C5" s="614">
        <v>2160.0700000000002</v>
      </c>
      <c r="D5" s="615">
        <v>341.41</v>
      </c>
      <c r="E5" s="615">
        <v>0</v>
      </c>
      <c r="F5" s="615">
        <v>73.11</v>
      </c>
      <c r="G5" s="615">
        <v>0</v>
      </c>
      <c r="H5" s="615">
        <v>780</v>
      </c>
      <c r="I5" s="615">
        <v>1150</v>
      </c>
      <c r="J5" s="615">
        <v>271.55</v>
      </c>
      <c r="K5" s="615">
        <v>139.62</v>
      </c>
      <c r="L5" s="616">
        <v>411.17</v>
      </c>
      <c r="M5" s="196">
        <f t="shared" si="0"/>
        <v>3.5516824969700687</v>
      </c>
      <c r="N5" s="751">
        <v>1</v>
      </c>
      <c r="O5" s="751">
        <v>3</v>
      </c>
      <c r="P5" s="766" t="s">
        <v>429</v>
      </c>
      <c r="Q5" s="749">
        <v>1</v>
      </c>
      <c r="R5" s="519">
        <v>6</v>
      </c>
      <c r="S5" s="526">
        <v>6</v>
      </c>
      <c r="T5" s="839"/>
      <c r="U5" s="846"/>
    </row>
    <row r="6" spans="1:21" x14ac:dyDescent="0.2">
      <c r="A6" s="546" t="s">
        <v>116</v>
      </c>
      <c r="B6" s="677">
        <f>MC!C93</f>
        <v>0</v>
      </c>
      <c r="C6" s="614">
        <v>771.71</v>
      </c>
      <c r="D6" s="615">
        <v>300</v>
      </c>
      <c r="E6" s="615">
        <v>0</v>
      </c>
      <c r="F6" s="615">
        <v>69.25</v>
      </c>
      <c r="G6" s="615">
        <v>40.380000000000003</v>
      </c>
      <c r="H6" s="615">
        <v>910.34</v>
      </c>
      <c r="I6" s="615">
        <v>1439.53</v>
      </c>
      <c r="J6" s="615">
        <v>0</v>
      </c>
      <c r="K6" s="615">
        <v>307.14999999999998</v>
      </c>
      <c r="L6" s="616">
        <v>307.14999999999998</v>
      </c>
      <c r="M6" s="196">
        <f t="shared" si="0"/>
        <v>1.8319214804084274</v>
      </c>
      <c r="N6" s="751"/>
      <c r="O6" s="661">
        <v>2</v>
      </c>
      <c r="P6" s="766" t="s">
        <v>429</v>
      </c>
      <c r="Q6" s="749">
        <v>1</v>
      </c>
      <c r="R6" s="519">
        <v>6</v>
      </c>
      <c r="S6" s="526">
        <v>6</v>
      </c>
      <c r="T6" s="840"/>
      <c r="U6" s="846"/>
    </row>
    <row r="7" spans="1:21" x14ac:dyDescent="0.2">
      <c r="A7" s="546" t="s">
        <v>117</v>
      </c>
      <c r="B7" s="677">
        <f>MC!C94</f>
        <v>0</v>
      </c>
      <c r="C7" s="614">
        <v>683.3</v>
      </c>
      <c r="D7" s="615">
        <v>150</v>
      </c>
      <c r="E7" s="615">
        <v>0</v>
      </c>
      <c r="F7" s="615">
        <v>43.18</v>
      </c>
      <c r="G7" s="615">
        <v>15</v>
      </c>
      <c r="H7" s="615">
        <v>777</v>
      </c>
      <c r="I7" s="615">
        <v>1053</v>
      </c>
      <c r="J7" s="615">
        <v>92.17</v>
      </c>
      <c r="K7" s="615">
        <v>96.79</v>
      </c>
      <c r="L7" s="616">
        <v>188.96</v>
      </c>
      <c r="M7" s="196">
        <f t="shared" si="0"/>
        <v>1.364090643219088</v>
      </c>
      <c r="N7" s="751" t="s">
        <v>429</v>
      </c>
      <c r="O7" s="751">
        <v>1</v>
      </c>
      <c r="P7" s="766" t="s">
        <v>429</v>
      </c>
      <c r="Q7" s="749" t="s">
        <v>429</v>
      </c>
      <c r="R7" s="519">
        <v>6</v>
      </c>
      <c r="S7" s="526">
        <v>6</v>
      </c>
      <c r="T7" s="840"/>
      <c r="U7" s="846"/>
    </row>
    <row r="8" spans="1:21" x14ac:dyDescent="0.2">
      <c r="A8" s="546" t="s">
        <v>118</v>
      </c>
      <c r="B8" s="677">
        <f>MC!C95</f>
        <v>0</v>
      </c>
      <c r="C8" s="614">
        <v>800</v>
      </c>
      <c r="D8" s="615">
        <v>0</v>
      </c>
      <c r="E8" s="615">
        <v>0</v>
      </c>
      <c r="F8" s="615">
        <v>0</v>
      </c>
      <c r="G8" s="615">
        <v>0</v>
      </c>
      <c r="H8" s="615">
        <v>0</v>
      </c>
      <c r="I8" s="615">
        <v>0</v>
      </c>
      <c r="J8" s="615">
        <v>0</v>
      </c>
      <c r="K8" s="615">
        <v>0</v>
      </c>
      <c r="L8" s="616">
        <v>0</v>
      </c>
      <c r="M8" s="196">
        <f t="shared" si="0"/>
        <v>1</v>
      </c>
      <c r="N8" s="751" t="s">
        <v>429</v>
      </c>
      <c r="O8" s="751">
        <v>1</v>
      </c>
      <c r="P8" s="766" t="s">
        <v>429</v>
      </c>
      <c r="Q8" s="749">
        <v>1</v>
      </c>
      <c r="R8" s="519">
        <v>6</v>
      </c>
      <c r="S8" s="526">
        <v>6</v>
      </c>
      <c r="T8" s="840"/>
      <c r="U8" s="846"/>
    </row>
    <row r="9" spans="1:21" x14ac:dyDescent="0.2">
      <c r="A9" s="546" t="s">
        <v>119</v>
      </c>
      <c r="B9" s="677">
        <f>MC!C96</f>
        <v>0</v>
      </c>
      <c r="C9" s="614">
        <v>1910.9</v>
      </c>
      <c r="D9" s="615">
        <v>450</v>
      </c>
      <c r="E9" s="615">
        <v>500</v>
      </c>
      <c r="F9" s="615">
        <v>75.099999999999994</v>
      </c>
      <c r="G9" s="615">
        <v>32.799999999999997</v>
      </c>
      <c r="H9" s="615">
        <v>300</v>
      </c>
      <c r="I9" s="615">
        <v>1160.5</v>
      </c>
      <c r="J9" s="615">
        <v>505.8</v>
      </c>
      <c r="K9" s="615">
        <v>156.74</v>
      </c>
      <c r="L9" s="616">
        <v>662.54</v>
      </c>
      <c r="M9" s="196">
        <f t="shared" si="0"/>
        <v>3.724301508676509</v>
      </c>
      <c r="N9" s="751" t="s">
        <v>429</v>
      </c>
      <c r="O9" s="751">
        <v>4</v>
      </c>
      <c r="P9" s="766" t="s">
        <v>429</v>
      </c>
      <c r="Q9" s="749">
        <v>1</v>
      </c>
      <c r="R9" s="519">
        <v>6</v>
      </c>
      <c r="S9" s="526">
        <v>6</v>
      </c>
      <c r="T9" s="840"/>
      <c r="U9" s="846"/>
    </row>
    <row r="10" spans="1:21" x14ac:dyDescent="0.2">
      <c r="A10" s="546" t="s">
        <v>120</v>
      </c>
      <c r="B10" s="677">
        <f>MC!C97</f>
        <v>0</v>
      </c>
      <c r="C10" s="614">
        <v>2191.5300000000002</v>
      </c>
      <c r="D10" s="615">
        <v>1200</v>
      </c>
      <c r="E10" s="615">
        <v>0</v>
      </c>
      <c r="F10" s="615">
        <v>90.25</v>
      </c>
      <c r="G10" s="615">
        <v>0</v>
      </c>
      <c r="H10" s="615">
        <v>493.82</v>
      </c>
      <c r="I10" s="615">
        <v>885.4</v>
      </c>
      <c r="J10" s="615">
        <v>463.96</v>
      </c>
      <c r="K10" s="615">
        <v>179.04</v>
      </c>
      <c r="L10" s="616">
        <v>643</v>
      </c>
      <c r="M10" s="196">
        <f t="shared" si="0"/>
        <v>4.2773447128186541</v>
      </c>
      <c r="N10" s="751" t="s">
        <v>429</v>
      </c>
      <c r="O10" s="751">
        <v>4</v>
      </c>
      <c r="P10" s="766">
        <v>1</v>
      </c>
      <c r="Q10" s="749" t="s">
        <v>429</v>
      </c>
      <c r="R10" s="519">
        <v>6</v>
      </c>
      <c r="S10" s="526">
        <v>6</v>
      </c>
      <c r="T10" s="840"/>
      <c r="U10" s="846"/>
    </row>
    <row r="11" spans="1:21" x14ac:dyDescent="0.2">
      <c r="A11" s="546" t="s">
        <v>403</v>
      </c>
      <c r="B11" s="677">
        <f>MC!C98</f>
        <v>0</v>
      </c>
      <c r="C11" s="614">
        <v>800</v>
      </c>
      <c r="D11" s="615">
        <v>0</v>
      </c>
      <c r="E11" s="615">
        <v>0</v>
      </c>
      <c r="F11" s="615">
        <v>0</v>
      </c>
      <c r="G11" s="615">
        <v>0</v>
      </c>
      <c r="H11" s="615">
        <v>0</v>
      </c>
      <c r="I11" s="615">
        <v>0</v>
      </c>
      <c r="J11" s="615">
        <v>0</v>
      </c>
      <c r="K11" s="615">
        <v>0</v>
      </c>
      <c r="L11" s="616">
        <v>0</v>
      </c>
      <c r="M11" s="196">
        <f t="shared" si="0"/>
        <v>1</v>
      </c>
      <c r="N11" s="751" t="s">
        <v>429</v>
      </c>
      <c r="O11" s="751">
        <v>1</v>
      </c>
      <c r="P11" s="766" t="s">
        <v>429</v>
      </c>
      <c r="Q11" s="749" t="s">
        <v>429</v>
      </c>
      <c r="R11" s="519">
        <v>6</v>
      </c>
      <c r="S11" s="526">
        <v>6</v>
      </c>
      <c r="T11" s="840"/>
      <c r="U11" s="846"/>
    </row>
    <row r="12" spans="1:21" x14ac:dyDescent="0.2">
      <c r="A12" s="546" t="s">
        <v>122</v>
      </c>
      <c r="B12" s="677">
        <f>MC!C99</f>
        <v>0</v>
      </c>
      <c r="C12" s="614">
        <v>800</v>
      </c>
      <c r="D12" s="615">
        <v>0</v>
      </c>
      <c r="E12" s="615">
        <v>0</v>
      </c>
      <c r="F12" s="615">
        <v>0</v>
      </c>
      <c r="G12" s="615">
        <v>0</v>
      </c>
      <c r="H12" s="615">
        <v>0</v>
      </c>
      <c r="I12" s="615">
        <v>0</v>
      </c>
      <c r="J12" s="615">
        <v>0</v>
      </c>
      <c r="K12" s="615">
        <v>0</v>
      </c>
      <c r="L12" s="616">
        <v>0</v>
      </c>
      <c r="M12" s="196">
        <f t="shared" si="0"/>
        <v>1</v>
      </c>
      <c r="N12" s="751" t="s">
        <v>429</v>
      </c>
      <c r="O12" s="751">
        <v>1</v>
      </c>
      <c r="P12" s="766" t="s">
        <v>429</v>
      </c>
      <c r="Q12" s="749" t="s">
        <v>429</v>
      </c>
      <c r="R12" s="519">
        <v>6</v>
      </c>
      <c r="S12" s="526">
        <v>6</v>
      </c>
      <c r="T12" s="840"/>
      <c r="U12" s="846"/>
    </row>
    <row r="13" spans="1:21" x14ac:dyDescent="0.2">
      <c r="A13" s="546" t="s">
        <v>123</v>
      </c>
      <c r="B13" s="677">
        <f>MC!C100</f>
        <v>0</v>
      </c>
      <c r="C13" s="614">
        <v>800</v>
      </c>
      <c r="D13" s="615">
        <v>0</v>
      </c>
      <c r="E13" s="615">
        <v>0</v>
      </c>
      <c r="F13" s="615">
        <v>0</v>
      </c>
      <c r="G13" s="615">
        <v>0</v>
      </c>
      <c r="H13" s="615">
        <v>0</v>
      </c>
      <c r="I13" s="615">
        <v>0</v>
      </c>
      <c r="J13" s="615">
        <v>0</v>
      </c>
      <c r="K13" s="615">
        <v>0</v>
      </c>
      <c r="L13" s="616">
        <v>0</v>
      </c>
      <c r="M13" s="196">
        <f t="shared" si="0"/>
        <v>1</v>
      </c>
      <c r="N13" s="751" t="s">
        <v>429</v>
      </c>
      <c r="O13" s="751">
        <v>1</v>
      </c>
      <c r="P13" s="766" t="s">
        <v>429</v>
      </c>
      <c r="Q13" s="749" t="s">
        <v>429</v>
      </c>
      <c r="R13" s="519">
        <v>6</v>
      </c>
      <c r="S13" s="526">
        <v>6</v>
      </c>
      <c r="T13" s="840"/>
      <c r="U13" s="846"/>
    </row>
    <row r="14" spans="1:21" x14ac:dyDescent="0.2">
      <c r="A14" s="546" t="s">
        <v>124</v>
      </c>
      <c r="B14" s="677">
        <f>MC!C101</f>
        <v>0</v>
      </c>
      <c r="C14" s="614">
        <v>800</v>
      </c>
      <c r="D14" s="615">
        <v>0</v>
      </c>
      <c r="E14" s="615">
        <v>0</v>
      </c>
      <c r="F14" s="615">
        <v>0</v>
      </c>
      <c r="G14" s="615">
        <v>0</v>
      </c>
      <c r="H14" s="615">
        <v>0</v>
      </c>
      <c r="I14" s="615">
        <v>0</v>
      </c>
      <c r="J14" s="615">
        <v>0</v>
      </c>
      <c r="K14" s="615">
        <v>0</v>
      </c>
      <c r="L14" s="616">
        <v>0</v>
      </c>
      <c r="M14" s="196">
        <f t="shared" si="0"/>
        <v>1</v>
      </c>
      <c r="N14" s="751" t="s">
        <v>429</v>
      </c>
      <c r="O14" s="751">
        <v>1</v>
      </c>
      <c r="P14" s="766" t="s">
        <v>429</v>
      </c>
      <c r="Q14" s="749" t="s">
        <v>429</v>
      </c>
      <c r="R14" s="519">
        <v>6</v>
      </c>
      <c r="S14" s="526">
        <v>6</v>
      </c>
      <c r="T14" s="840"/>
      <c r="U14" s="846"/>
    </row>
    <row r="15" spans="1:21" x14ac:dyDescent="0.2">
      <c r="A15" s="546" t="s">
        <v>125</v>
      </c>
      <c r="B15" s="677">
        <f>MC!C102</f>
        <v>0</v>
      </c>
      <c r="C15" s="614">
        <v>800</v>
      </c>
      <c r="D15" s="615">
        <v>0</v>
      </c>
      <c r="E15" s="615">
        <v>0</v>
      </c>
      <c r="F15" s="615">
        <v>0</v>
      </c>
      <c r="G15" s="615">
        <v>0</v>
      </c>
      <c r="H15" s="615">
        <v>0</v>
      </c>
      <c r="I15" s="615">
        <v>0</v>
      </c>
      <c r="J15" s="615">
        <v>0</v>
      </c>
      <c r="K15" s="615">
        <v>0</v>
      </c>
      <c r="L15" s="616">
        <v>0</v>
      </c>
      <c r="M15" s="196">
        <f t="shared" si="0"/>
        <v>1</v>
      </c>
      <c r="N15" s="751" t="s">
        <v>429</v>
      </c>
      <c r="O15" s="751">
        <v>1</v>
      </c>
      <c r="P15" s="766" t="s">
        <v>429</v>
      </c>
      <c r="Q15" s="749" t="s">
        <v>429</v>
      </c>
      <c r="R15" s="519">
        <v>6</v>
      </c>
      <c r="S15" s="526">
        <v>6</v>
      </c>
      <c r="T15" s="840"/>
      <c r="U15" s="846"/>
    </row>
    <row r="16" spans="1:21" x14ac:dyDescent="0.2">
      <c r="A16" s="546" t="s">
        <v>126</v>
      </c>
      <c r="B16" s="677">
        <f>MC!C103</f>
        <v>0</v>
      </c>
      <c r="C16" s="614">
        <v>800</v>
      </c>
      <c r="D16" s="615">
        <v>0</v>
      </c>
      <c r="E16" s="615">
        <v>0</v>
      </c>
      <c r="F16" s="615">
        <v>0</v>
      </c>
      <c r="G16" s="615">
        <v>0</v>
      </c>
      <c r="H16" s="615">
        <v>0</v>
      </c>
      <c r="I16" s="615">
        <v>0</v>
      </c>
      <c r="J16" s="615">
        <v>0</v>
      </c>
      <c r="K16" s="615">
        <v>0</v>
      </c>
      <c r="L16" s="616">
        <v>0</v>
      </c>
      <c r="M16" s="196">
        <f t="shared" si="0"/>
        <v>1</v>
      </c>
      <c r="N16" s="751" t="s">
        <v>429</v>
      </c>
      <c r="O16" s="751">
        <v>1</v>
      </c>
      <c r="P16" s="766" t="s">
        <v>429</v>
      </c>
      <c r="Q16" s="749" t="s">
        <v>429</v>
      </c>
      <c r="R16" s="519">
        <v>6</v>
      </c>
      <c r="S16" s="526">
        <v>6</v>
      </c>
      <c r="T16" s="840"/>
      <c r="U16" s="846"/>
    </row>
    <row r="17" spans="1:1017" x14ac:dyDescent="0.2">
      <c r="A17" s="613" t="s">
        <v>127</v>
      </c>
      <c r="B17" s="677">
        <f>MC!C104</f>
        <v>0</v>
      </c>
      <c r="C17" s="617">
        <v>165.39</v>
      </c>
      <c r="D17" s="618">
        <v>943.86</v>
      </c>
      <c r="E17" s="618">
        <v>0</v>
      </c>
      <c r="F17" s="618">
        <v>9.49</v>
      </c>
      <c r="G17" s="618">
        <v>0</v>
      </c>
      <c r="H17" s="618">
        <v>0</v>
      </c>
      <c r="I17" s="618">
        <v>120</v>
      </c>
      <c r="J17" s="618">
        <v>12.12</v>
      </c>
      <c r="K17" s="618">
        <v>19.68</v>
      </c>
      <c r="L17" s="619">
        <v>31.8</v>
      </c>
      <c r="M17" s="665">
        <f t="shared" si="0"/>
        <v>0.9082440869218501</v>
      </c>
      <c r="N17" s="661">
        <v>1</v>
      </c>
      <c r="O17" s="751"/>
      <c r="P17" s="767" t="s">
        <v>429</v>
      </c>
      <c r="Q17" s="755" t="s">
        <v>429</v>
      </c>
      <c r="R17" s="520">
        <v>6</v>
      </c>
      <c r="S17" s="527">
        <v>6</v>
      </c>
      <c r="T17" s="841"/>
      <c r="U17" s="846"/>
    </row>
    <row r="18" spans="1:1017" s="145" customFormat="1" ht="12.75" x14ac:dyDescent="0.2">
      <c r="A18" s="197" t="s">
        <v>430</v>
      </c>
      <c r="B18" s="197"/>
      <c r="C18" s="198">
        <f t="shared" ref="C18:U18" si="1">SUM(C4:C17)</f>
        <v>15688.39</v>
      </c>
      <c r="D18" s="199">
        <f t="shared" si="1"/>
        <v>4167.47</v>
      </c>
      <c r="E18" s="199">
        <f t="shared" si="1"/>
        <v>500</v>
      </c>
      <c r="F18" s="199">
        <f>SUM(F4:F17)</f>
        <v>504.89</v>
      </c>
      <c r="G18" s="199">
        <f t="shared" si="1"/>
        <v>92.93</v>
      </c>
      <c r="H18" s="199">
        <f t="shared" si="1"/>
        <v>3261.1600000000003</v>
      </c>
      <c r="I18" s="199">
        <f t="shared" si="1"/>
        <v>6379.5499999999993</v>
      </c>
      <c r="J18" s="199">
        <f t="shared" si="1"/>
        <v>1640.74</v>
      </c>
      <c r="K18" s="199">
        <f t="shared" si="1"/>
        <v>1142.23</v>
      </c>
      <c r="L18" s="663">
        <f t="shared" si="1"/>
        <v>2782.9700000000003</v>
      </c>
      <c r="M18" s="662">
        <f t="shared" si="1"/>
        <v>26.898017800834875</v>
      </c>
      <c r="N18" s="664">
        <f t="shared" si="1"/>
        <v>2</v>
      </c>
      <c r="O18" s="202">
        <f t="shared" si="1"/>
        <v>25</v>
      </c>
      <c r="P18" s="608">
        <f t="shared" si="1"/>
        <v>3</v>
      </c>
      <c r="Q18" s="609">
        <f t="shared" si="1"/>
        <v>5</v>
      </c>
      <c r="R18" s="639">
        <f t="shared" si="1"/>
        <v>84</v>
      </c>
      <c r="S18" s="640">
        <f t="shared" si="1"/>
        <v>84</v>
      </c>
      <c r="T18" s="855">
        <f t="shared" si="1"/>
        <v>22</v>
      </c>
      <c r="U18" s="848">
        <f t="shared" si="1"/>
        <v>1</v>
      </c>
      <c r="ALQ18" s="162"/>
      <c r="ALR18" s="162"/>
      <c r="ALS18" s="162"/>
      <c r="ALT18" s="162"/>
      <c r="ALU18" s="162"/>
      <c r="ALV18" s="162"/>
      <c r="ALW18" s="162"/>
      <c r="ALX18" s="162"/>
      <c r="ALY18" s="162"/>
      <c r="ALZ18" s="162"/>
      <c r="AMA18" s="162"/>
      <c r="AMB18" s="162"/>
      <c r="AMC18" s="162"/>
    </row>
    <row r="19" spans="1:1017" s="145" customFormat="1" ht="15" x14ac:dyDescent="0.25">
      <c r="A19" s="203" t="s">
        <v>431</v>
      </c>
      <c r="B19" s="172"/>
      <c r="C19" s="598">
        <v>800</v>
      </c>
      <c r="D19" s="599">
        <v>1500</v>
      </c>
      <c r="E19" s="599">
        <v>1500</v>
      </c>
      <c r="F19" s="599">
        <v>200</v>
      </c>
      <c r="G19" s="599">
        <v>2700</v>
      </c>
      <c r="H19" s="599">
        <v>100000</v>
      </c>
      <c r="I19" s="599">
        <v>9000</v>
      </c>
      <c r="J19" s="599">
        <v>160</v>
      </c>
      <c r="K19" s="599">
        <v>380</v>
      </c>
      <c r="L19" s="600">
        <v>380</v>
      </c>
      <c r="M19" s="204"/>
      <c r="N19" s="415" t="s">
        <v>432</v>
      </c>
      <c r="O19" s="413">
        <f>N18+O18</f>
        <v>27</v>
      </c>
      <c r="P19" s="610" t="s">
        <v>432</v>
      </c>
      <c r="Q19" s="414">
        <f>P18+Q18</f>
        <v>8</v>
      </c>
      <c r="R19" s="500"/>
      <c r="S19" s="500"/>
      <c r="T19" s="500"/>
      <c r="U19" s="174"/>
      <c r="ALT19" s="175"/>
      <c r="ALU19" s="175"/>
      <c r="ALV19" s="175"/>
      <c r="ALW19" s="175"/>
      <c r="ALX19" s="175"/>
      <c r="ALY19" s="175"/>
      <c r="ALZ19" s="175"/>
      <c r="AMA19" s="175"/>
      <c r="AMB19" s="175"/>
      <c r="AMC19" s="175"/>
    </row>
    <row r="20" spans="1:1017" s="145" customFormat="1" ht="15" x14ac:dyDescent="0.25">
      <c r="A20" s="206" t="s">
        <v>433</v>
      </c>
      <c r="B20" s="206"/>
      <c r="C20" s="207">
        <f t="shared" ref="C20:I20" si="2">C18/C19</f>
        <v>19.610487499999998</v>
      </c>
      <c r="D20" s="208">
        <f t="shared" si="2"/>
        <v>2.7783133333333336</v>
      </c>
      <c r="E20" s="208">
        <f t="shared" si="2"/>
        <v>0.33333333333333331</v>
      </c>
      <c r="F20" s="208">
        <f t="shared" si="2"/>
        <v>2.5244499999999999</v>
      </c>
      <c r="G20" s="208">
        <f t="shared" si="2"/>
        <v>3.4418518518518522E-2</v>
      </c>
      <c r="H20" s="208">
        <f t="shared" si="2"/>
        <v>3.2611600000000004E-2</v>
      </c>
      <c r="I20" s="208">
        <f t="shared" si="2"/>
        <v>0.7088388888888888</v>
      </c>
      <c r="J20" s="208">
        <f>1/J19*8*1/(30/7*44*6)*J18</f>
        <v>7.25074494949495E-2</v>
      </c>
      <c r="K20" s="208">
        <f>1/K19*16*1/188.76*K18</f>
        <v>0.25478859258763564</v>
      </c>
      <c r="L20" s="209">
        <f>1/L19*16*1/188.76*L18</f>
        <v>0.6207760341731634</v>
      </c>
      <c r="M20" s="329">
        <f>SUM(C20:L20)-J20</f>
        <v>26.898017800834872</v>
      </c>
      <c r="N20" s="416" t="s">
        <v>434</v>
      </c>
      <c r="O20" s="414">
        <f>O18+(N18*0.85)</f>
        <v>26.7</v>
      </c>
      <c r="P20" s="205"/>
      <c r="Q20" s="174"/>
      <c r="R20" s="174"/>
      <c r="S20" s="174"/>
      <c r="T20" s="174"/>
      <c r="U20" s="174"/>
      <c r="ALT20" s="175"/>
      <c r="ALU20" s="175"/>
      <c r="ALV20" s="175"/>
      <c r="ALW20" s="175"/>
      <c r="ALX20" s="175"/>
      <c r="ALY20" s="175"/>
      <c r="ALZ20" s="175"/>
      <c r="AMA20" s="175"/>
      <c r="AMB20" s="175"/>
      <c r="AMC20" s="175"/>
    </row>
    <row r="21" spans="1:1017" s="145" customFormat="1" ht="15" x14ac:dyDescent="0.25">
      <c r="A21" s="211" t="s">
        <v>435</v>
      </c>
      <c r="B21" s="211"/>
      <c r="C21" s="212">
        <f>C18/(M20*C19)</f>
        <v>0.72906812855894976</v>
      </c>
      <c r="D21" s="213">
        <f>D18/(M20*D19)</f>
        <v>0.10329063479343444</v>
      </c>
      <c r="E21" s="213">
        <f>E18/(M20*E19)</f>
        <v>1.2392486903737092E-2</v>
      </c>
      <c r="F21" s="213">
        <f>F18/(M20*F19)</f>
        <v>9.3852640692417305E-2</v>
      </c>
      <c r="G21" s="213">
        <f>G18/(M20*G19)</f>
        <v>1.27959311996032E-3</v>
      </c>
      <c r="H21" s="213">
        <f>H18/(M20*H19)</f>
        <v>1.2124164777297377E-3</v>
      </c>
      <c r="I21" s="213">
        <f>I18/(M20*I19)</f>
        <v>2.6352829942245321E-2</v>
      </c>
      <c r="J21" s="213">
        <f>1/4*1/J19*8*1/1132.6*J18</f>
        <v>1.8108114073812468E-2</v>
      </c>
      <c r="K21" s="213">
        <f>1/M20*1/K19*16*1/188.76*K18</f>
        <v>9.4723928905916435E-3</v>
      </c>
      <c r="L21" s="214">
        <f>1/M20*1/L19*16*1/188.76*L18</f>
        <v>2.3078876620934337E-2</v>
      </c>
      <c r="M21" s="215">
        <f>SUM(C21:L21)-J21</f>
        <v>0.99999999999999989</v>
      </c>
      <c r="N21" s="174"/>
      <c r="O21" s="174"/>
      <c r="P21" s="174"/>
      <c r="Q21" s="174"/>
      <c r="R21" s="174"/>
      <c r="S21" s="174"/>
      <c r="T21" s="174"/>
      <c r="U21" s="175"/>
      <c r="ALT21" s="175"/>
      <c r="ALU21" s="175"/>
      <c r="ALV21" s="175"/>
      <c r="ALW21" s="175"/>
      <c r="ALX21" s="175"/>
      <c r="ALY21" s="175"/>
      <c r="ALZ21" s="175"/>
      <c r="AMA21" s="175"/>
      <c r="AMB21" s="175"/>
      <c r="AMC21" s="175"/>
    </row>
    <row r="22" spans="1:1017" s="145" customFormat="1" ht="15" hidden="1" x14ac:dyDescent="0.25">
      <c r="A22" s="216" t="s">
        <v>436</v>
      </c>
      <c r="B22" s="216"/>
      <c r="C22" s="217">
        <f t="shared" ref="C22:I22" si="3">ROUND(1/C19,9)</f>
        <v>1.25E-3</v>
      </c>
      <c r="D22" s="218">
        <f t="shared" si="3"/>
        <v>6.6666700000000002E-4</v>
      </c>
      <c r="E22" s="218">
        <f t="shared" si="3"/>
        <v>6.6666700000000002E-4</v>
      </c>
      <c r="F22" s="218">
        <f t="shared" si="3"/>
        <v>5.0000000000000001E-3</v>
      </c>
      <c r="G22" s="218">
        <f t="shared" si="3"/>
        <v>3.7037000000000002E-4</v>
      </c>
      <c r="H22" s="218">
        <f t="shared" si="3"/>
        <v>1.0000000000000001E-5</v>
      </c>
      <c r="I22" s="218">
        <f t="shared" si="3"/>
        <v>1.11111E-4</v>
      </c>
      <c r="J22" s="219">
        <f>(1/J19)*(1/L30)*8</f>
        <v>4.8611111111111115E-5</v>
      </c>
      <c r="K22" s="219">
        <f>(1/K19)*(1/L29)*16</f>
        <v>2.4561403508771931E-4</v>
      </c>
      <c r="L22" s="220">
        <f>(1/L19)*(1/L29)*16</f>
        <v>2.4561403508771931E-4</v>
      </c>
      <c r="M22" s="175"/>
      <c r="N22" s="175"/>
      <c r="O22" s="175"/>
      <c r="P22" s="175"/>
      <c r="Q22" s="175"/>
      <c r="R22" s="175"/>
      <c r="S22" s="175"/>
      <c r="T22" s="175"/>
      <c r="U22" s="175"/>
      <c r="ALT22" s="175"/>
      <c r="ALU22" s="175"/>
      <c r="ALV22" s="175"/>
      <c r="ALW22" s="175"/>
      <c r="ALX22" s="175"/>
      <c r="ALY22" s="175"/>
      <c r="ALZ22" s="175"/>
      <c r="AMA22" s="175"/>
      <c r="AMB22" s="175"/>
      <c r="AMC22" s="175"/>
    </row>
    <row r="23" spans="1:1017" s="145" customFormat="1" ht="15" hidden="1" x14ac:dyDescent="0.25">
      <c r="A23" s="221" t="s">
        <v>437</v>
      </c>
      <c r="B23" s="221"/>
      <c r="C23" s="222">
        <f t="shared" ref="C23:L23" si="4">C22/$U$18</f>
        <v>1.25E-3</v>
      </c>
      <c r="D23" s="223">
        <f t="shared" si="4"/>
        <v>6.6666700000000002E-4</v>
      </c>
      <c r="E23" s="223">
        <f t="shared" si="4"/>
        <v>6.6666700000000002E-4</v>
      </c>
      <c r="F23" s="223">
        <f t="shared" si="4"/>
        <v>5.0000000000000001E-3</v>
      </c>
      <c r="G23" s="223">
        <f t="shared" si="4"/>
        <v>3.7037000000000002E-4</v>
      </c>
      <c r="H23" s="223">
        <f t="shared" si="4"/>
        <v>1.0000000000000001E-5</v>
      </c>
      <c r="I23" s="223">
        <f t="shared" si="4"/>
        <v>1.11111E-4</v>
      </c>
      <c r="J23" s="224">
        <f t="shared" si="4"/>
        <v>4.8611111111111115E-5</v>
      </c>
      <c r="K23" s="224">
        <f t="shared" si="4"/>
        <v>2.4561403508771931E-4</v>
      </c>
      <c r="L23" s="225">
        <f t="shared" si="4"/>
        <v>2.4561403508771931E-4</v>
      </c>
      <c r="M23" s="175"/>
      <c r="N23" s="175"/>
      <c r="O23" s="175"/>
      <c r="P23" s="175"/>
      <c r="Q23" s="175"/>
      <c r="R23" s="175"/>
      <c r="S23" s="175"/>
      <c r="T23" s="175"/>
      <c r="U23" s="175"/>
      <c r="ALT23" s="175"/>
      <c r="ALU23" s="175"/>
      <c r="ALV23" s="175"/>
      <c r="ALW23" s="175"/>
      <c r="ALX23" s="175"/>
      <c r="ALY23" s="175"/>
      <c r="ALZ23" s="175"/>
      <c r="AMA23" s="175"/>
      <c r="AMB23" s="175"/>
      <c r="AMC23" s="175"/>
    </row>
    <row r="24" spans="1:1017" s="145" customFormat="1" ht="15" hidden="1" x14ac:dyDescent="0.25">
      <c r="A24" s="226" t="s">
        <v>438</v>
      </c>
      <c r="B24" s="226"/>
      <c r="C24" s="227" t="s">
        <v>439</v>
      </c>
      <c r="D24" s="228" t="s">
        <v>440</v>
      </c>
      <c r="E24" s="228" t="s">
        <v>441</v>
      </c>
      <c r="F24" s="228" t="s">
        <v>442</v>
      </c>
      <c r="G24" s="229" t="s">
        <v>443</v>
      </c>
      <c r="H24" s="229" t="s">
        <v>443</v>
      </c>
      <c r="I24" s="229" t="s">
        <v>444</v>
      </c>
      <c r="J24" s="230" t="s">
        <v>445</v>
      </c>
      <c r="K24" s="230" t="s">
        <v>446</v>
      </c>
      <c r="L24" s="231" t="s">
        <v>446</v>
      </c>
      <c r="M24" s="175"/>
      <c r="N24" s="175"/>
      <c r="O24" s="175"/>
      <c r="P24" s="175"/>
      <c r="Q24" s="175"/>
      <c r="R24" s="175"/>
      <c r="S24" s="175"/>
      <c r="T24" s="175"/>
      <c r="U24" s="175"/>
      <c r="ALT24" s="175"/>
      <c r="ALU24" s="175"/>
      <c r="ALV24" s="175"/>
      <c r="ALW24" s="175"/>
      <c r="ALX24" s="175"/>
      <c r="ALY24" s="175"/>
      <c r="ALZ24" s="175"/>
      <c r="AMA24" s="175"/>
      <c r="AMB24" s="175"/>
      <c r="AMC24" s="175"/>
    </row>
    <row r="25" spans="1:1017" s="145" customFormat="1" ht="15" hidden="1" x14ac:dyDescent="0.25">
      <c r="A25" s="232"/>
      <c r="B25" s="232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ALQ25" s="162"/>
      <c r="ALR25" s="162"/>
      <c r="ALS25" s="162"/>
      <c r="ALT25" s="162"/>
      <c r="ALU25" s="162"/>
      <c r="ALV25" s="162"/>
      <c r="ALW25" s="162"/>
      <c r="ALX25" s="162"/>
      <c r="ALY25" s="162"/>
      <c r="ALZ25" s="162"/>
      <c r="AMA25" s="162"/>
      <c r="AMB25" s="162"/>
      <c r="AMC25" s="162"/>
    </row>
    <row r="26" spans="1:1017" s="145" customFormat="1" ht="15" x14ac:dyDescent="0.25">
      <c r="A26" s="233" t="s">
        <v>438</v>
      </c>
      <c r="B26" s="675"/>
      <c r="C26" s="228" t="s">
        <v>439</v>
      </c>
      <c r="D26" s="228" t="s">
        <v>440</v>
      </c>
      <c r="E26" s="228" t="s">
        <v>441</v>
      </c>
      <c r="F26" s="228" t="s">
        <v>442</v>
      </c>
      <c r="G26" s="229" t="s">
        <v>443</v>
      </c>
      <c r="H26" s="234">
        <v>100000</v>
      </c>
      <c r="I26" s="229" t="s">
        <v>444</v>
      </c>
      <c r="J26" s="229" t="s">
        <v>445</v>
      </c>
      <c r="K26" s="230" t="s">
        <v>446</v>
      </c>
      <c r="L26" s="231" t="s">
        <v>446</v>
      </c>
      <c r="M26" s="175"/>
      <c r="N26" s="175"/>
      <c r="O26" s="175"/>
      <c r="P26" s="175"/>
      <c r="Q26" s="175"/>
      <c r="R26" s="175"/>
      <c r="S26" s="175"/>
      <c r="T26" s="175"/>
      <c r="U26" s="175"/>
      <c r="ALQ26" s="162"/>
      <c r="ALR26" s="162"/>
      <c r="ALS26" s="162"/>
      <c r="ALT26" s="162"/>
      <c r="ALU26" s="162"/>
      <c r="ALV26" s="162"/>
      <c r="ALW26" s="162"/>
      <c r="ALX26" s="162"/>
      <c r="ALY26" s="162"/>
      <c r="ALZ26" s="162"/>
      <c r="AMA26" s="162"/>
      <c r="AMB26" s="162"/>
      <c r="AMC26" s="162"/>
    </row>
    <row r="27" spans="1:1017" s="145" customFormat="1" ht="15" hidden="1" x14ac:dyDescent="0.25">
      <c r="A27" s="235"/>
      <c r="B27" s="23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ALQ27" s="162"/>
      <c r="ALR27" s="162"/>
      <c r="ALS27" s="162"/>
      <c r="ALT27" s="162"/>
      <c r="ALU27" s="162"/>
      <c r="ALV27" s="162"/>
      <c r="ALW27" s="162"/>
      <c r="ALX27" s="162"/>
      <c r="ALY27" s="162"/>
      <c r="ALZ27" s="162"/>
      <c r="AMA27" s="162"/>
      <c r="AMB27" s="162"/>
      <c r="AMC27" s="162"/>
    </row>
    <row r="28" spans="1:1017" s="145" customFormat="1" ht="15" hidden="1" x14ac:dyDescent="0.25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ALQ28" s="162"/>
      <c r="ALR28" s="162"/>
      <c r="ALS28" s="162"/>
      <c r="ALT28" s="162"/>
      <c r="ALU28" s="162"/>
      <c r="ALV28" s="162"/>
      <c r="ALW28" s="162"/>
      <c r="ALX28" s="162"/>
      <c r="ALY28" s="162"/>
      <c r="ALZ28" s="162"/>
      <c r="AMA28" s="162"/>
      <c r="AMB28" s="162"/>
      <c r="AMC28" s="162"/>
    </row>
    <row r="29" spans="1:1017" s="145" customFormat="1" ht="15" hidden="1" x14ac:dyDescent="0.25">
      <c r="A29" s="175"/>
      <c r="B29" s="175"/>
      <c r="C29" s="175"/>
      <c r="D29" s="175"/>
      <c r="E29" s="175"/>
      <c r="F29" s="175"/>
      <c r="G29" s="175"/>
      <c r="H29" s="175"/>
      <c r="I29" s="175"/>
      <c r="J29" s="84">
        <f>30/7</f>
        <v>4.2857142857142856</v>
      </c>
      <c r="K29" s="84">
        <v>40</v>
      </c>
      <c r="L29" s="84">
        <f>J29*K29</f>
        <v>171.42857142857142</v>
      </c>
      <c r="M29" s="84"/>
      <c r="N29" s="84"/>
      <c r="O29" s="84"/>
      <c r="P29" s="84"/>
      <c r="Q29" s="84"/>
      <c r="R29" s="84"/>
      <c r="S29" s="84"/>
      <c r="T29" s="84"/>
      <c r="U29" s="84"/>
      <c r="ALQ29" s="162"/>
      <c r="ALR29" s="162"/>
      <c r="ALS29" s="162"/>
      <c r="ALT29" s="162"/>
      <c r="ALU29" s="162"/>
      <c r="ALV29" s="162"/>
      <c r="ALW29" s="162"/>
      <c r="ALX29" s="162"/>
      <c r="ALY29" s="162"/>
      <c r="ALZ29" s="162"/>
      <c r="AMA29" s="162"/>
      <c r="AMB29" s="162"/>
      <c r="AMC29" s="162"/>
    </row>
    <row r="30" spans="1:1017" s="145" customFormat="1" ht="15" hidden="1" x14ac:dyDescent="0.25">
      <c r="A30" s="175"/>
      <c r="B30" s="175"/>
      <c r="C30" s="175"/>
      <c r="D30" s="175"/>
      <c r="E30" s="175"/>
      <c r="F30" s="175"/>
      <c r="G30" s="175"/>
      <c r="H30" s="175"/>
      <c r="I30" s="175"/>
      <c r="J30" s="84"/>
      <c r="K30" s="84"/>
      <c r="L30" s="84">
        <f>L29*6</f>
        <v>1028.5714285714284</v>
      </c>
      <c r="M30" s="84" t="s">
        <v>447</v>
      </c>
      <c r="N30" s="84"/>
      <c r="O30" s="84"/>
      <c r="P30" s="84"/>
      <c r="Q30" s="84"/>
      <c r="R30" s="84"/>
      <c r="S30" s="84"/>
      <c r="T30" s="84"/>
      <c r="U30" s="84"/>
      <c r="ALQ30" s="162"/>
      <c r="ALR30" s="162"/>
      <c r="ALS30" s="162"/>
      <c r="ALT30" s="162"/>
      <c r="ALU30" s="162"/>
      <c r="ALV30" s="162"/>
      <c r="ALW30" s="162"/>
      <c r="ALX30" s="162"/>
      <c r="ALY30" s="162"/>
      <c r="ALZ30" s="162"/>
      <c r="AMA30" s="162"/>
      <c r="AMB30" s="162"/>
      <c r="AMC30" s="162"/>
    </row>
    <row r="31" spans="1:1017" hidden="1" x14ac:dyDescent="0.2"/>
    <row r="33" spans="7:7" x14ac:dyDescent="0.2">
      <c r="G33" s="799"/>
    </row>
    <row r="37" spans="7:7" hidden="1" x14ac:dyDescent="0.2"/>
    <row r="38" spans="7:7" hidden="1" x14ac:dyDescent="0.2"/>
  </sheetData>
  <mergeCells count="19">
    <mergeCell ref="C1:F1"/>
    <mergeCell ref="G1:I1"/>
    <mergeCell ref="J1:L1"/>
    <mergeCell ref="R1:T1"/>
    <mergeCell ref="G2:G3"/>
    <mergeCell ref="H2:H3"/>
    <mergeCell ref="I2:I3"/>
    <mergeCell ref="J2:J3"/>
    <mergeCell ref="K2:K3"/>
    <mergeCell ref="B2:B3"/>
    <mergeCell ref="M2:M3"/>
    <mergeCell ref="N2:O2"/>
    <mergeCell ref="P2:Q2"/>
    <mergeCell ref="A2:A3"/>
    <mergeCell ref="C2:C3"/>
    <mergeCell ref="D2:D3"/>
    <mergeCell ref="E2:E3"/>
    <mergeCell ref="F2:F3"/>
    <mergeCell ref="L2:L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6E7"/>
  </sheetPr>
  <dimension ref="A1:AMG192"/>
  <sheetViews>
    <sheetView topLeftCell="A55" zoomScale="80" zoomScaleNormal="80" workbookViewId="0">
      <selection activeCell="F89" sqref="F89"/>
    </sheetView>
  </sheetViews>
  <sheetFormatPr defaultRowHeight="14.25" x14ac:dyDescent="0.2"/>
  <cols>
    <col min="1" max="1" width="53.25" style="84" customWidth="1"/>
    <col min="2" max="2" width="10.75" style="84" customWidth="1"/>
    <col min="3" max="4" width="9" style="84"/>
    <col min="5" max="5" width="10.5" style="84" customWidth="1"/>
    <col min="6" max="6" width="10.75" style="84" customWidth="1"/>
    <col min="7" max="1021" width="9" style="84"/>
  </cols>
  <sheetData>
    <row r="1" spans="1:6" ht="15.75" x14ac:dyDescent="0.2">
      <c r="A1" s="1010" t="s">
        <v>449</v>
      </c>
      <c r="B1" s="1010"/>
      <c r="C1" s="1010"/>
      <c r="D1" s="1010"/>
      <c r="E1" s="1010"/>
      <c r="F1" s="1010"/>
    </row>
    <row r="2" spans="1:6" ht="15.75" x14ac:dyDescent="0.2">
      <c r="A2" s="1011" t="s">
        <v>450</v>
      </c>
      <c r="B2" s="1011"/>
      <c r="C2" s="1011"/>
      <c r="D2" s="1011"/>
      <c r="E2" s="1011"/>
      <c r="F2" s="1011"/>
    </row>
    <row r="3" spans="1:6" ht="15.75" customHeight="1" x14ac:dyDescent="0.2">
      <c r="A3" s="1011" t="s">
        <v>451</v>
      </c>
      <c r="B3" s="1011"/>
      <c r="C3" s="1011"/>
      <c r="D3" s="1011"/>
      <c r="E3" s="1011"/>
      <c r="F3" s="1011"/>
    </row>
    <row r="4" spans="1:6" ht="15.75" x14ac:dyDescent="0.2">
      <c r="A4" s="85"/>
      <c r="B4" s="86"/>
      <c r="C4" s="87" t="s">
        <v>452</v>
      </c>
      <c r="D4" s="236" t="s">
        <v>453</v>
      </c>
      <c r="E4" s="237" t="s">
        <v>454</v>
      </c>
      <c r="F4" s="237" t="s">
        <v>455</v>
      </c>
    </row>
    <row r="5" spans="1:6" x14ac:dyDescent="0.2">
      <c r="A5" s="88"/>
      <c r="B5" s="89" t="s">
        <v>456</v>
      </c>
      <c r="C5" s="90">
        <f>MC!D11</f>
        <v>0</v>
      </c>
      <c r="D5" s="238">
        <f>MC!E11</f>
        <v>0</v>
      </c>
      <c r="E5" s="239">
        <f>MC!C11</f>
        <v>0</v>
      </c>
      <c r="F5" s="239">
        <f>MC!D12</f>
        <v>0</v>
      </c>
    </row>
    <row r="6" spans="1:6" x14ac:dyDescent="0.2">
      <c r="A6" s="88"/>
      <c r="B6" s="89" t="s">
        <v>457</v>
      </c>
      <c r="C6" s="91">
        <f>MC!D8</f>
        <v>0</v>
      </c>
      <c r="D6" s="240">
        <f>MC!D8</f>
        <v>0</v>
      </c>
      <c r="E6" s="241">
        <f>MC!D8</f>
        <v>0</v>
      </c>
      <c r="F6" s="241">
        <f>MC!D8</f>
        <v>0</v>
      </c>
    </row>
    <row r="7" spans="1:6" x14ac:dyDescent="0.2">
      <c r="A7" s="88"/>
      <c r="B7" s="89" t="s">
        <v>458</v>
      </c>
      <c r="C7" s="91">
        <f>MC!C8</f>
        <v>0</v>
      </c>
      <c r="D7" s="240">
        <f>MC!C8</f>
        <v>0</v>
      </c>
      <c r="E7" s="241">
        <f>MC!C8</f>
        <v>0</v>
      </c>
      <c r="F7" s="241">
        <f>MC!C8</f>
        <v>0</v>
      </c>
    </row>
    <row r="8" spans="1:6" x14ac:dyDescent="0.2">
      <c r="A8" s="88"/>
      <c r="B8" s="89" t="s">
        <v>459</v>
      </c>
      <c r="C8" s="92">
        <f>MC!E8</f>
        <v>0</v>
      </c>
      <c r="D8" s="242">
        <f>MC!E8</f>
        <v>0</v>
      </c>
      <c r="E8" s="243">
        <f>MC!E8</f>
        <v>0</v>
      </c>
      <c r="F8" s="243">
        <f>MC!E8</f>
        <v>0</v>
      </c>
    </row>
    <row r="9" spans="1:6" x14ac:dyDescent="0.2">
      <c r="A9" s="1017"/>
      <c r="B9" s="1017"/>
      <c r="C9" s="1017"/>
      <c r="D9" s="1017"/>
      <c r="E9" s="1017"/>
      <c r="F9" s="1017"/>
    </row>
    <row r="10" spans="1:6" ht="66.75" customHeight="1" x14ac:dyDescent="0.2">
      <c r="A10" s="790" t="s">
        <v>460</v>
      </c>
      <c r="B10" s="793" t="s">
        <v>461</v>
      </c>
      <c r="C10" s="792" t="s">
        <v>462</v>
      </c>
      <c r="D10" s="794" t="s">
        <v>463</v>
      </c>
      <c r="E10" s="795" t="s">
        <v>464</v>
      </c>
      <c r="F10" s="792" t="s">
        <v>465</v>
      </c>
    </row>
    <row r="11" spans="1:6" ht="15.75" customHeight="1" x14ac:dyDescent="0.2">
      <c r="A11" s="441" t="s">
        <v>466</v>
      </c>
      <c r="B11" s="641"/>
      <c r="C11" s="641"/>
      <c r="D11" s="641"/>
      <c r="E11" s="641"/>
      <c r="F11" s="791"/>
    </row>
    <row r="12" spans="1:6" ht="15.75" customHeight="1" x14ac:dyDescent="0.2">
      <c r="A12" s="443" t="s">
        <v>467</v>
      </c>
      <c r="B12" s="94" t="s">
        <v>468</v>
      </c>
      <c r="C12" s="94" t="s">
        <v>469</v>
      </c>
      <c r="D12" s="94" t="s">
        <v>469</v>
      </c>
      <c r="E12" s="246"/>
      <c r="F12" s="444" t="s">
        <v>469</v>
      </c>
    </row>
    <row r="13" spans="1:6" ht="15.75" customHeight="1" x14ac:dyDescent="0.2">
      <c r="A13" s="445" t="s">
        <v>470</v>
      </c>
      <c r="B13" s="97"/>
      <c r="C13" s="98">
        <f>C5</f>
        <v>0</v>
      </c>
      <c r="D13" s="247">
        <f>D5</f>
        <v>0</v>
      </c>
      <c r="E13" s="247">
        <f>E5</f>
        <v>0</v>
      </c>
      <c r="F13" s="446">
        <f>F5</f>
        <v>0</v>
      </c>
    </row>
    <row r="14" spans="1:6" ht="15.75" customHeight="1" x14ac:dyDescent="0.2">
      <c r="A14" s="445" t="s">
        <v>471</v>
      </c>
      <c r="B14" s="100">
        <v>0</v>
      </c>
      <c r="C14" s="98">
        <f>C13*$B$14</f>
        <v>0</v>
      </c>
      <c r="D14" s="98">
        <f>D13*$B$14</f>
        <v>0</v>
      </c>
      <c r="E14" s="98">
        <f>E13*$B$14</f>
        <v>0</v>
      </c>
      <c r="F14" s="446">
        <f>F13*$B$14</f>
        <v>0</v>
      </c>
    </row>
    <row r="15" spans="1:6" ht="15.75" customHeight="1" x14ac:dyDescent="0.2">
      <c r="A15" s="445" t="s">
        <v>472</v>
      </c>
      <c r="B15" s="101"/>
      <c r="C15" s="98"/>
      <c r="D15" s="247"/>
      <c r="E15" s="247"/>
      <c r="F15" s="446"/>
    </row>
    <row r="16" spans="1:6" ht="15.75" customHeight="1" x14ac:dyDescent="0.2">
      <c r="A16" s="445" t="s">
        <v>473</v>
      </c>
      <c r="B16" s="101"/>
      <c r="C16" s="98"/>
      <c r="D16" s="247"/>
      <c r="E16" s="247"/>
      <c r="F16" s="446"/>
    </row>
    <row r="17" spans="1:6" ht="15.75" customHeight="1" x14ac:dyDescent="0.2">
      <c r="A17" s="445" t="s">
        <v>474</v>
      </c>
      <c r="B17" s="101"/>
      <c r="C17" s="98"/>
      <c r="D17" s="247"/>
      <c r="E17" s="247"/>
      <c r="F17" s="446"/>
    </row>
    <row r="18" spans="1:6" ht="15.75" customHeight="1" x14ac:dyDescent="0.2">
      <c r="A18" s="445" t="s">
        <v>475</v>
      </c>
      <c r="B18" s="102"/>
      <c r="C18" s="98"/>
      <c r="D18" s="98"/>
      <c r="E18" s="247">
        <f>MC!C13</f>
        <v>0</v>
      </c>
      <c r="F18" s="446"/>
    </row>
    <row r="19" spans="1:6" ht="15.75" customHeight="1" x14ac:dyDescent="0.2">
      <c r="A19" s="447" t="s">
        <v>476</v>
      </c>
      <c r="B19" s="104"/>
      <c r="C19" s="113">
        <f>SUM(C13:C18)</f>
        <v>0</v>
      </c>
      <c r="D19" s="248">
        <f>SUM(D13:D18)</f>
        <v>0</v>
      </c>
      <c r="E19" s="248">
        <f>SUM(E13:E18)</f>
        <v>0</v>
      </c>
      <c r="F19" s="448">
        <f>SUM(F13:F18)</f>
        <v>0</v>
      </c>
    </row>
    <row r="20" spans="1:6" ht="15.75" customHeight="1" x14ac:dyDescent="0.2">
      <c r="A20" s="1048"/>
      <c r="B20" s="1013"/>
      <c r="C20" s="106"/>
      <c r="D20" s="249"/>
      <c r="E20" s="249"/>
      <c r="F20" s="450"/>
    </row>
    <row r="21" spans="1:6" ht="15.75" customHeight="1" x14ac:dyDescent="0.2">
      <c r="A21" s="1039" t="s">
        <v>477</v>
      </c>
      <c r="B21" s="1014"/>
      <c r="C21" s="1014"/>
      <c r="D21" s="1014"/>
      <c r="E21" s="1014"/>
      <c r="F21" s="1040"/>
    </row>
    <row r="22" spans="1:6" ht="15.75" customHeight="1" x14ac:dyDescent="0.2">
      <c r="A22" s="451" t="s">
        <v>478</v>
      </c>
      <c r="B22" s="109" t="s">
        <v>468</v>
      </c>
      <c r="C22" s="109" t="s">
        <v>469</v>
      </c>
      <c r="D22" s="109" t="s">
        <v>469</v>
      </c>
      <c r="E22" s="109" t="s">
        <v>469</v>
      </c>
      <c r="F22" s="452" t="s">
        <v>469</v>
      </c>
    </row>
    <row r="23" spans="1:6" ht="15.75" customHeight="1" x14ac:dyDescent="0.2">
      <c r="A23" s="453" t="s">
        <v>479</v>
      </c>
      <c r="B23" s="100">
        <f>1/12</f>
        <v>8.3333333333333329E-2</v>
      </c>
      <c r="C23" s="98">
        <f>ROUND($B23*C$19,2)</f>
        <v>0</v>
      </c>
      <c r="D23" s="98">
        <f>ROUND($B23*D$19,2)</f>
        <v>0</v>
      </c>
      <c r="E23" s="98">
        <f>ROUND($B23*E$19,2)</f>
        <v>0</v>
      </c>
      <c r="F23" s="446">
        <f>ROUND($B23*F$19,2)</f>
        <v>0</v>
      </c>
    </row>
    <row r="24" spans="1:6" ht="15.75" customHeight="1" x14ac:dyDescent="0.2">
      <c r="A24" s="453" t="s">
        <v>480</v>
      </c>
      <c r="B24" s="100">
        <f>1/3*1/12</f>
        <v>2.7777777777777776E-2</v>
      </c>
      <c r="C24" s="98">
        <f>C$19*$B$24</f>
        <v>0</v>
      </c>
      <c r="D24" s="98">
        <f>D$19*$B$24</f>
        <v>0</v>
      </c>
      <c r="E24" s="98">
        <f>E$19*$B$24</f>
        <v>0</v>
      </c>
      <c r="F24" s="446">
        <f>F$19*$B$24</f>
        <v>0</v>
      </c>
    </row>
    <row r="25" spans="1:6" ht="15.75" customHeight="1" x14ac:dyDescent="0.2">
      <c r="A25" s="447" t="s">
        <v>476</v>
      </c>
      <c r="B25" s="112">
        <f>SUM(B23:B24)</f>
        <v>0.1111111111111111</v>
      </c>
      <c r="C25" s="113">
        <f>SUM(C23:C24)</f>
        <v>0</v>
      </c>
      <c r="D25" s="113">
        <f>SUM(D23:D24)</f>
        <v>0</v>
      </c>
      <c r="E25" s="113">
        <f>SUM(E23:E24)</f>
        <v>0</v>
      </c>
      <c r="F25" s="448">
        <f>SUM(F23:F24)</f>
        <v>0</v>
      </c>
    </row>
    <row r="26" spans="1:6" ht="15.75" customHeight="1" x14ac:dyDescent="0.2">
      <c r="A26" s="451" t="s">
        <v>481</v>
      </c>
      <c r="B26" s="109" t="s">
        <v>468</v>
      </c>
      <c r="C26" s="109" t="s">
        <v>469</v>
      </c>
      <c r="D26" s="109" t="s">
        <v>469</v>
      </c>
      <c r="E26" s="109" t="s">
        <v>469</v>
      </c>
      <c r="F26" s="452" t="s">
        <v>469</v>
      </c>
    </row>
    <row r="27" spans="1:6" ht="15.75" customHeight="1" x14ac:dyDescent="0.2">
      <c r="A27" s="451" t="s">
        <v>482</v>
      </c>
      <c r="B27" s="115"/>
      <c r="C27" s="115"/>
      <c r="D27" s="115"/>
      <c r="E27" s="250"/>
      <c r="F27" s="454"/>
    </row>
    <row r="28" spans="1:6" ht="15.75" customHeight="1" x14ac:dyDescent="0.2">
      <c r="A28" s="453" t="s">
        <v>483</v>
      </c>
      <c r="B28" s="100">
        <v>0.2</v>
      </c>
      <c r="C28" s="117">
        <f t="shared" ref="C28:C35" si="0">ROUND(($C$19+$C$25)*B28,2)</f>
        <v>0</v>
      </c>
      <c r="D28" s="117">
        <f t="shared" ref="D28:D35" si="1">ROUND(($D$19+$D$25)*B28,2)</f>
        <v>0</v>
      </c>
      <c r="E28" s="117">
        <f t="shared" ref="E28:E35" si="2">ROUND(($E$19+$E$25)*B28,2)</f>
        <v>0</v>
      </c>
      <c r="F28" s="455">
        <f t="shared" ref="F28:F35" si="3">ROUND(($F$19+$F$25)*B28,2)</f>
        <v>0</v>
      </c>
    </row>
    <row r="29" spans="1:6" ht="15.75" customHeight="1" x14ac:dyDescent="0.2">
      <c r="A29" s="453" t="s">
        <v>484</v>
      </c>
      <c r="B29" s="100">
        <v>2.5000000000000001E-2</v>
      </c>
      <c r="C29" s="117">
        <f t="shared" si="0"/>
        <v>0</v>
      </c>
      <c r="D29" s="117">
        <f t="shared" si="1"/>
        <v>0</v>
      </c>
      <c r="E29" s="117">
        <f t="shared" si="2"/>
        <v>0</v>
      </c>
      <c r="F29" s="455">
        <f t="shared" si="3"/>
        <v>0</v>
      </c>
    </row>
    <row r="30" spans="1:6" ht="15.75" customHeight="1" x14ac:dyDescent="0.2">
      <c r="A30" s="453" t="s">
        <v>485</v>
      </c>
      <c r="B30" s="100">
        <v>0.03</v>
      </c>
      <c r="C30" s="117">
        <f t="shared" si="0"/>
        <v>0</v>
      </c>
      <c r="D30" s="117">
        <f t="shared" si="1"/>
        <v>0</v>
      </c>
      <c r="E30" s="117">
        <f t="shared" si="2"/>
        <v>0</v>
      </c>
      <c r="F30" s="455">
        <f t="shared" si="3"/>
        <v>0</v>
      </c>
    </row>
    <row r="31" spans="1:6" ht="15.75" customHeight="1" x14ac:dyDescent="0.2">
      <c r="A31" s="453" t="s">
        <v>486</v>
      </c>
      <c r="B31" s="100">
        <v>1.4999999999999999E-2</v>
      </c>
      <c r="C31" s="117">
        <f t="shared" si="0"/>
        <v>0</v>
      </c>
      <c r="D31" s="117">
        <f t="shared" si="1"/>
        <v>0</v>
      </c>
      <c r="E31" s="117">
        <f t="shared" si="2"/>
        <v>0</v>
      </c>
      <c r="F31" s="455">
        <f t="shared" si="3"/>
        <v>0</v>
      </c>
    </row>
    <row r="32" spans="1:6" ht="15.75" customHeight="1" x14ac:dyDescent="0.2">
      <c r="A32" s="453" t="s">
        <v>487</v>
      </c>
      <c r="B32" s="100">
        <v>0.01</v>
      </c>
      <c r="C32" s="117">
        <f t="shared" si="0"/>
        <v>0</v>
      </c>
      <c r="D32" s="117">
        <f t="shared" si="1"/>
        <v>0</v>
      </c>
      <c r="E32" s="117">
        <f t="shared" si="2"/>
        <v>0</v>
      </c>
      <c r="F32" s="455">
        <f t="shared" si="3"/>
        <v>0</v>
      </c>
    </row>
    <row r="33" spans="1:6" ht="15.75" customHeight="1" x14ac:dyDescent="0.2">
      <c r="A33" s="453" t="s">
        <v>488</v>
      </c>
      <c r="B33" s="100">
        <v>6.0000000000000001E-3</v>
      </c>
      <c r="C33" s="117">
        <f t="shared" si="0"/>
        <v>0</v>
      </c>
      <c r="D33" s="117">
        <f t="shared" si="1"/>
        <v>0</v>
      </c>
      <c r="E33" s="117">
        <f t="shared" si="2"/>
        <v>0</v>
      </c>
      <c r="F33" s="455">
        <f t="shared" si="3"/>
        <v>0</v>
      </c>
    </row>
    <row r="34" spans="1:6" ht="15.75" customHeight="1" x14ac:dyDescent="0.2">
      <c r="A34" s="453" t="s">
        <v>489</v>
      </c>
      <c r="B34" s="100">
        <v>2E-3</v>
      </c>
      <c r="C34" s="117">
        <f t="shared" si="0"/>
        <v>0</v>
      </c>
      <c r="D34" s="117">
        <f t="shared" si="1"/>
        <v>0</v>
      </c>
      <c r="E34" s="117">
        <f t="shared" si="2"/>
        <v>0</v>
      </c>
      <c r="F34" s="455">
        <f t="shared" si="3"/>
        <v>0</v>
      </c>
    </row>
    <row r="35" spans="1:6" ht="15.75" customHeight="1" x14ac:dyDescent="0.2">
      <c r="A35" s="453" t="s">
        <v>490</v>
      </c>
      <c r="B35" s="100">
        <v>0.08</v>
      </c>
      <c r="C35" s="117">
        <f t="shared" si="0"/>
        <v>0</v>
      </c>
      <c r="D35" s="117">
        <f t="shared" si="1"/>
        <v>0</v>
      </c>
      <c r="E35" s="117">
        <f t="shared" si="2"/>
        <v>0</v>
      </c>
      <c r="F35" s="455">
        <f t="shared" si="3"/>
        <v>0</v>
      </c>
    </row>
    <row r="36" spans="1:6" ht="15.75" customHeight="1" x14ac:dyDescent="0.2">
      <c r="A36" s="447" t="s">
        <v>476</v>
      </c>
      <c r="B36" s="112">
        <f>SUM(B28:B35)</f>
        <v>0.36800000000000005</v>
      </c>
      <c r="C36" s="113">
        <f>SUM(C27:C35)</f>
        <v>0</v>
      </c>
      <c r="D36" s="113">
        <f>SUM(D27:D35)</f>
        <v>0</v>
      </c>
      <c r="E36" s="248">
        <f>SUM(E28:E35)</f>
        <v>0</v>
      </c>
      <c r="F36" s="448">
        <f>SUM(F27:F35)</f>
        <v>0</v>
      </c>
    </row>
    <row r="37" spans="1:6" ht="15.75" customHeight="1" x14ac:dyDescent="0.2">
      <c r="A37" s="451" t="s">
        <v>491</v>
      </c>
      <c r="B37" s="109" t="s">
        <v>492</v>
      </c>
      <c r="C37" s="109" t="s">
        <v>469</v>
      </c>
      <c r="D37" s="109" t="s">
        <v>469</v>
      </c>
      <c r="E37" s="109" t="s">
        <v>469</v>
      </c>
      <c r="F37" s="452" t="s">
        <v>469</v>
      </c>
    </row>
    <row r="38" spans="1:6" ht="15.75" customHeight="1" x14ac:dyDescent="0.2">
      <c r="A38" s="453" t="s">
        <v>493</v>
      </c>
      <c r="B38" s="119">
        <f>MC!D106</f>
        <v>0</v>
      </c>
      <c r="C38" s="98">
        <f>ROUND(((2*22*$B$38)-0.06*C$13),2)</f>
        <v>0</v>
      </c>
      <c r="D38" s="98">
        <f>ROUND(((2*22*$B$38)-0.06*D$13),2)</f>
        <v>0</v>
      </c>
      <c r="E38" s="98">
        <f>ROUND(((2*22*$B$38)-0.06*E$13),2)</f>
        <v>0</v>
      </c>
      <c r="F38" s="446">
        <f>ROUND(((2*22*$B$38)-0.06*F$13),2)</f>
        <v>0</v>
      </c>
    </row>
    <row r="39" spans="1:6" ht="15.75" customHeight="1" x14ac:dyDescent="0.2">
      <c r="A39" s="453" t="s">
        <v>494</v>
      </c>
      <c r="B39" s="120"/>
      <c r="C39" s="117">
        <f>MC!E16</f>
        <v>0</v>
      </c>
      <c r="D39" s="117">
        <f>MC!E17</f>
        <v>0</v>
      </c>
      <c r="E39" s="117">
        <f>MC!E16</f>
        <v>0</v>
      </c>
      <c r="F39" s="455">
        <f>MC!E16</f>
        <v>0</v>
      </c>
    </row>
    <row r="40" spans="1:6" ht="15.75" customHeight="1" x14ac:dyDescent="0.2">
      <c r="A40" s="453" t="s">
        <v>495</v>
      </c>
      <c r="B40" s="100">
        <f>MC!C21</f>
        <v>0</v>
      </c>
      <c r="C40" s="117"/>
      <c r="D40" s="117"/>
      <c r="E40" s="117">
        <f>MC!E21</f>
        <v>0</v>
      </c>
      <c r="F40" s="455"/>
    </row>
    <row r="41" spans="1:6" ht="15.75" customHeight="1" x14ac:dyDescent="0.2">
      <c r="A41" s="453" t="s">
        <v>496</v>
      </c>
      <c r="B41" s="121">
        <f>MC!E23</f>
        <v>0</v>
      </c>
      <c r="C41" s="117">
        <f>B41</f>
        <v>0</v>
      </c>
      <c r="D41" s="117">
        <f>B41</f>
        <v>0</v>
      </c>
      <c r="E41" s="251">
        <f>B41</f>
        <v>0</v>
      </c>
      <c r="F41" s="455">
        <f>B41</f>
        <v>0</v>
      </c>
    </row>
    <row r="42" spans="1:6" ht="15.75" customHeight="1" x14ac:dyDescent="0.2">
      <c r="A42" s="453" t="s">
        <v>497</v>
      </c>
      <c r="B42" s="121">
        <f>MC!E24</f>
        <v>0</v>
      </c>
      <c r="C42" s="117">
        <f>B42</f>
        <v>0</v>
      </c>
      <c r="D42" s="117">
        <f>B42</f>
        <v>0</v>
      </c>
      <c r="E42" s="251">
        <f>B42</f>
        <v>0</v>
      </c>
      <c r="F42" s="455">
        <f>B42</f>
        <v>0</v>
      </c>
    </row>
    <row r="43" spans="1:6" ht="15.75" customHeight="1" x14ac:dyDescent="0.2">
      <c r="A43" s="453" t="s">
        <v>498</v>
      </c>
      <c r="B43" s="100"/>
      <c r="C43" s="117"/>
      <c r="D43" s="117"/>
      <c r="E43" s="251"/>
      <c r="F43" s="455"/>
    </row>
    <row r="44" spans="1:6" ht="15.75" customHeight="1" x14ac:dyDescent="0.2">
      <c r="A44" s="447" t="s">
        <v>476</v>
      </c>
      <c r="B44" s="104"/>
      <c r="C44" s="113">
        <f>SUM(C38:C43)</f>
        <v>0</v>
      </c>
      <c r="D44" s="113">
        <f>SUM(D38:D43)</f>
        <v>0</v>
      </c>
      <c r="E44" s="248">
        <f>SUM(E38:E43)</f>
        <v>0</v>
      </c>
      <c r="F44" s="448">
        <f>SUM(F38:F43)</f>
        <v>0</v>
      </c>
    </row>
    <row r="45" spans="1:6" ht="15.75" customHeight="1" x14ac:dyDescent="0.2">
      <c r="A45" s="443" t="s">
        <v>499</v>
      </c>
      <c r="B45" s="94" t="s">
        <v>468</v>
      </c>
      <c r="C45" s="94" t="s">
        <v>469</v>
      </c>
      <c r="D45" s="94" t="s">
        <v>469</v>
      </c>
      <c r="E45" s="94" t="s">
        <v>469</v>
      </c>
      <c r="F45" s="444" t="s">
        <v>469</v>
      </c>
    </row>
    <row r="46" spans="1:6" ht="15.75" customHeight="1" x14ac:dyDescent="0.2">
      <c r="A46" s="453" t="s">
        <v>478</v>
      </c>
      <c r="B46" s="122">
        <f>B25</f>
        <v>0.1111111111111111</v>
      </c>
      <c r="C46" s="123">
        <f>C25</f>
        <v>0</v>
      </c>
      <c r="D46" s="123">
        <f>D25</f>
        <v>0</v>
      </c>
      <c r="E46" s="123">
        <f>E25</f>
        <v>0</v>
      </c>
      <c r="F46" s="456">
        <f>F25</f>
        <v>0</v>
      </c>
    </row>
    <row r="47" spans="1:6" ht="15.75" customHeight="1" x14ac:dyDescent="0.2">
      <c r="A47" s="453" t="s">
        <v>500</v>
      </c>
      <c r="B47" s="122">
        <f>B36</f>
        <v>0.36800000000000005</v>
      </c>
      <c r="C47" s="123">
        <f>C36</f>
        <v>0</v>
      </c>
      <c r="D47" s="123">
        <f>D36</f>
        <v>0</v>
      </c>
      <c r="E47" s="123">
        <f>E36</f>
        <v>0</v>
      </c>
      <c r="F47" s="456">
        <f>F36</f>
        <v>0</v>
      </c>
    </row>
    <row r="48" spans="1:6" ht="15.75" customHeight="1" x14ac:dyDescent="0.2">
      <c r="A48" s="453" t="s">
        <v>491</v>
      </c>
      <c r="B48" s="122"/>
      <c r="C48" s="123">
        <f>C44</f>
        <v>0</v>
      </c>
      <c r="D48" s="123">
        <f>D44</f>
        <v>0</v>
      </c>
      <c r="E48" s="123">
        <f>E44</f>
        <v>0</v>
      </c>
      <c r="F48" s="456">
        <f>F44</f>
        <v>0</v>
      </c>
    </row>
    <row r="49" spans="1:6" ht="15.75" customHeight="1" x14ac:dyDescent="0.2">
      <c r="A49" s="447" t="s">
        <v>476</v>
      </c>
      <c r="B49" s="104"/>
      <c r="C49" s="113">
        <f>SUM(C46:C48)</f>
        <v>0</v>
      </c>
      <c r="D49" s="113">
        <f>SUM(D46:D48)</f>
        <v>0</v>
      </c>
      <c r="E49" s="248">
        <f>SUM(E46:E48)</f>
        <v>0</v>
      </c>
      <c r="F49" s="448">
        <f>SUM(F46:F48)</f>
        <v>0</v>
      </c>
    </row>
    <row r="50" spans="1:6" ht="15.75" customHeight="1" x14ac:dyDescent="0.2">
      <c r="A50" s="1048"/>
      <c r="B50" s="1013"/>
      <c r="C50" s="106"/>
      <c r="D50" s="107"/>
      <c r="E50" s="107"/>
      <c r="F50" s="450"/>
    </row>
    <row r="51" spans="1:6" s="125" customFormat="1" ht="15.75" customHeight="1" x14ac:dyDescent="0.2">
      <c r="A51" s="1039" t="s">
        <v>501</v>
      </c>
      <c r="B51" s="1014"/>
      <c r="C51" s="1014"/>
      <c r="D51" s="1014"/>
      <c r="E51" s="1014"/>
      <c r="F51" s="1040"/>
    </row>
    <row r="52" spans="1:6" ht="15.75" customHeight="1" x14ac:dyDescent="0.2">
      <c r="A52" s="443" t="s">
        <v>502</v>
      </c>
      <c r="B52" s="94" t="s">
        <v>468</v>
      </c>
      <c r="C52" s="94" t="s">
        <v>469</v>
      </c>
      <c r="D52" s="94" t="s">
        <v>469</v>
      </c>
      <c r="E52" s="94" t="s">
        <v>469</v>
      </c>
      <c r="F52" s="444" t="s">
        <v>469</v>
      </c>
    </row>
    <row r="53" spans="1:6" ht="15.75" customHeight="1" x14ac:dyDescent="0.2">
      <c r="A53" s="451" t="s">
        <v>503</v>
      </c>
      <c r="B53" s="126"/>
      <c r="C53" s="126"/>
      <c r="D53" s="126"/>
      <c r="E53" s="252"/>
      <c r="F53" s="457"/>
    </row>
    <row r="54" spans="1:6" ht="15.75" customHeight="1" x14ac:dyDescent="0.2">
      <c r="A54" s="453" t="s">
        <v>504</v>
      </c>
      <c r="B54" s="122">
        <f>1/12*0.05</f>
        <v>4.1666666666666666E-3</v>
      </c>
      <c r="C54" s="128">
        <f>C19*$B54</f>
        <v>0</v>
      </c>
      <c r="D54" s="128">
        <f t="shared" ref="D54:F54" si="4">D19*$B54</f>
        <v>0</v>
      </c>
      <c r="E54" s="128">
        <f t="shared" si="4"/>
        <v>0</v>
      </c>
      <c r="F54" s="458">
        <f t="shared" si="4"/>
        <v>0</v>
      </c>
    </row>
    <row r="55" spans="1:6" ht="15.75" customHeight="1" x14ac:dyDescent="0.2">
      <c r="A55" s="453" t="s">
        <v>505</v>
      </c>
      <c r="B55" s="122">
        <f>B35*B54</f>
        <v>3.3333333333333332E-4</v>
      </c>
      <c r="C55" s="128">
        <f>$B$55*C19</f>
        <v>0</v>
      </c>
      <c r="D55" s="128">
        <f t="shared" ref="D55:F55" si="5">$B$55*D19</f>
        <v>0</v>
      </c>
      <c r="E55" s="128">
        <f t="shared" si="5"/>
        <v>0</v>
      </c>
      <c r="F55" s="458">
        <f t="shared" si="5"/>
        <v>0</v>
      </c>
    </row>
    <row r="56" spans="1:6" ht="15.75" customHeight="1" x14ac:dyDescent="0.2">
      <c r="A56" s="453" t="s">
        <v>506</v>
      </c>
      <c r="B56" s="122">
        <v>0</v>
      </c>
      <c r="C56" s="128">
        <f>C35*$B56</f>
        <v>0</v>
      </c>
      <c r="D56" s="128">
        <f t="shared" ref="D56:F56" si="6">D35*$B56</f>
        <v>0</v>
      </c>
      <c r="E56" s="128">
        <f t="shared" si="6"/>
        <v>0</v>
      </c>
      <c r="F56" s="458">
        <f t="shared" si="6"/>
        <v>0</v>
      </c>
    </row>
    <row r="57" spans="1:6" ht="15.75" customHeight="1" x14ac:dyDescent="0.2">
      <c r="A57" s="453" t="s">
        <v>507</v>
      </c>
      <c r="B57" s="122">
        <f>1/12*1/30*7</f>
        <v>1.9444444444444441E-2</v>
      </c>
      <c r="C57" s="123">
        <f>C19*$B57</f>
        <v>0</v>
      </c>
      <c r="D57" s="123">
        <f t="shared" ref="D57:F57" si="7">D19*$B57</f>
        <v>0</v>
      </c>
      <c r="E57" s="123">
        <f t="shared" si="7"/>
        <v>0</v>
      </c>
      <c r="F57" s="456">
        <f t="shared" si="7"/>
        <v>0</v>
      </c>
    </row>
    <row r="58" spans="1:6" ht="15.75" customHeight="1" x14ac:dyDescent="0.2">
      <c r="A58" s="453" t="s">
        <v>508</v>
      </c>
      <c r="B58" s="122">
        <f>B36*B57</f>
        <v>7.1555555555555556E-3</v>
      </c>
      <c r="C58" s="123">
        <f>$B58*C19</f>
        <v>0</v>
      </c>
      <c r="D58" s="123">
        <f t="shared" ref="D58:F58" si="8">$B58*D19</f>
        <v>0</v>
      </c>
      <c r="E58" s="123">
        <f t="shared" si="8"/>
        <v>0</v>
      </c>
      <c r="F58" s="456">
        <f t="shared" si="8"/>
        <v>0</v>
      </c>
    </row>
    <row r="59" spans="1:6" ht="15.75" customHeight="1" x14ac:dyDescent="0.2">
      <c r="A59" s="453" t="s">
        <v>509</v>
      </c>
      <c r="B59" s="122">
        <f>B35*40/100*90/100*(1+1/12+1/12+1/3*1/12)</f>
        <v>3.4399999999999993E-2</v>
      </c>
      <c r="C59" s="123">
        <f>C19*$B59</f>
        <v>0</v>
      </c>
      <c r="D59" s="123">
        <f t="shared" ref="D59:F59" si="9">D19*$B59</f>
        <v>0</v>
      </c>
      <c r="E59" s="123">
        <f t="shared" si="9"/>
        <v>0</v>
      </c>
      <c r="F59" s="456">
        <f t="shared" si="9"/>
        <v>0</v>
      </c>
    </row>
    <row r="60" spans="1:6" ht="15.75" customHeight="1" x14ac:dyDescent="0.2">
      <c r="A60" s="447" t="s">
        <v>476</v>
      </c>
      <c r="B60" s="112">
        <f>SUM(B54:B59)</f>
        <v>6.5499999999999989E-2</v>
      </c>
      <c r="C60" s="129">
        <f>SUM(C54:C59)</f>
        <v>0</v>
      </c>
      <c r="D60" s="129">
        <f>SUM(D54:D59)</f>
        <v>0</v>
      </c>
      <c r="E60" s="253">
        <f>SUM(E54:E59)</f>
        <v>0</v>
      </c>
      <c r="F60" s="459">
        <f>SUM(F54:F59)</f>
        <v>0</v>
      </c>
    </row>
    <row r="61" spans="1:6" ht="15.75" customHeight="1" x14ac:dyDescent="0.2">
      <c r="A61" s="1048"/>
      <c r="B61" s="1013"/>
      <c r="C61" s="396"/>
      <c r="D61" s="396"/>
      <c r="E61" s="397"/>
      <c r="F61" s="460"/>
    </row>
    <row r="62" spans="1:6" ht="15.75" customHeight="1" x14ac:dyDescent="0.2">
      <c r="A62" s="1039" t="s">
        <v>510</v>
      </c>
      <c r="B62" s="1014"/>
      <c r="C62" s="1014"/>
      <c r="D62" s="1014"/>
      <c r="E62" s="1014"/>
      <c r="F62" s="1040"/>
    </row>
    <row r="63" spans="1:6" ht="15.75" customHeight="1" x14ac:dyDescent="0.2">
      <c r="A63" s="451" t="s">
        <v>39</v>
      </c>
      <c r="B63" s="109"/>
      <c r="C63" s="109"/>
      <c r="D63" s="109"/>
      <c r="E63" s="254"/>
      <c r="F63" s="452"/>
    </row>
    <row r="64" spans="1:6" ht="15.75" customHeight="1" x14ac:dyDescent="0.2">
      <c r="A64" s="453" t="s">
        <v>40</v>
      </c>
      <c r="B64" s="100">
        <f>1/12</f>
        <v>8.3333333333333329E-2</v>
      </c>
      <c r="C64" s="117">
        <f>B64*($C$19+$C$49+$C$60)</f>
        <v>0</v>
      </c>
      <c r="D64" s="117">
        <f>B64*($D$19+$D$49+$D$60)</f>
        <v>0</v>
      </c>
      <c r="E64" s="251">
        <f>B64*($E$19+$E$49+$E$60)</f>
        <v>0</v>
      </c>
      <c r="F64" s="455">
        <f>B64*($F$19+$F$49+$F$60)</f>
        <v>0</v>
      </c>
    </row>
    <row r="65" spans="1:6" ht="15.75" customHeight="1" x14ac:dyDescent="0.2">
      <c r="A65" s="453" t="s">
        <v>511</v>
      </c>
      <c r="B65" s="100">
        <f>MC!E51/30/12</f>
        <v>1.3538888888888885E-2</v>
      </c>
      <c r="C65" s="117">
        <f>B65*($C$19+$C$49+$C$60)</f>
        <v>0</v>
      </c>
      <c r="D65" s="117">
        <f>B65*($D$19+$D$49+$D$60)</f>
        <v>0</v>
      </c>
      <c r="E65" s="251">
        <f>B65*($E$19+$E$49+$E$60)</f>
        <v>0</v>
      </c>
      <c r="F65" s="455">
        <f>B65*($F$19+$F$49+$F$60)</f>
        <v>0</v>
      </c>
    </row>
    <row r="66" spans="1:6" ht="15.75" customHeight="1" x14ac:dyDescent="0.2">
      <c r="A66" s="453" t="s">
        <v>512</v>
      </c>
      <c r="B66" s="131">
        <f>(5/30)/12*MC!F53*MC!C54</f>
        <v>1.0764583333333333E-4</v>
      </c>
      <c r="C66" s="117">
        <f>B66*($C$19+$C$49+$C$60)</f>
        <v>0</v>
      </c>
      <c r="D66" s="117">
        <f>B66*($D$19+$D$49+$D$60)</f>
        <v>0</v>
      </c>
      <c r="E66" s="251">
        <f>B66*($E$19+$E$49+$E$60)</f>
        <v>0</v>
      </c>
      <c r="F66" s="455">
        <f>B66*($F$19+$F$49+$F$60)</f>
        <v>0</v>
      </c>
    </row>
    <row r="67" spans="1:6" ht="15.75" customHeight="1" x14ac:dyDescent="0.2">
      <c r="A67" s="453" t="s">
        <v>513</v>
      </c>
      <c r="B67" s="131">
        <f>MC!C56/30/12</f>
        <v>2.6830555555555553E-3</v>
      </c>
      <c r="C67" s="117">
        <f>B67*($C$19+$C$49+$C$60)</f>
        <v>0</v>
      </c>
      <c r="D67" s="117">
        <f>B67*($D$19+$D$49+$D$60)</f>
        <v>0</v>
      </c>
      <c r="E67" s="251">
        <f>B67*($E$19+$E$49+$E$60)</f>
        <v>0</v>
      </c>
      <c r="F67" s="455">
        <f>B67*($F$19+$F$49+$F$60)</f>
        <v>0</v>
      </c>
    </row>
    <row r="68" spans="1:6" ht="15.75" customHeight="1" x14ac:dyDescent="0.2">
      <c r="A68" s="453" t="s">
        <v>514</v>
      </c>
      <c r="B68" s="100"/>
      <c r="C68" s="117"/>
      <c r="D68" s="117"/>
      <c r="E68" s="251">
        <f>B68*($E$19+$E$49+$E$60)</f>
        <v>0</v>
      </c>
      <c r="F68" s="455"/>
    </row>
    <row r="69" spans="1:6" ht="15.75" customHeight="1" x14ac:dyDescent="0.2">
      <c r="A69" s="461" t="s">
        <v>515</v>
      </c>
      <c r="B69" s="133">
        <f>SUM(B64:B68)</f>
        <v>9.9662923611111107E-2</v>
      </c>
      <c r="C69" s="134">
        <f>SUM(C64:C68)</f>
        <v>0</v>
      </c>
      <c r="D69" s="134">
        <f>SUM(D64:D68)</f>
        <v>0</v>
      </c>
      <c r="E69" s="255">
        <f>SUM(E64:E68)</f>
        <v>0</v>
      </c>
      <c r="F69" s="462">
        <f>SUM(F64:F68)</f>
        <v>0</v>
      </c>
    </row>
    <row r="70" spans="1:6" ht="15.75" customHeight="1" x14ac:dyDescent="0.2">
      <c r="A70" s="451" t="s">
        <v>516</v>
      </c>
      <c r="B70" s="109"/>
      <c r="C70" s="109"/>
      <c r="D70" s="109"/>
      <c r="E70" s="254"/>
      <c r="F70" s="452"/>
    </row>
    <row r="71" spans="1:6" ht="15.75" customHeight="1" x14ac:dyDescent="0.2">
      <c r="A71" s="453" t="s">
        <v>517</v>
      </c>
      <c r="B71" s="100"/>
      <c r="C71" s="117"/>
      <c r="D71" s="117"/>
      <c r="E71" s="251"/>
      <c r="F71" s="455"/>
    </row>
    <row r="72" spans="1:6" ht="15.75" customHeight="1" x14ac:dyDescent="0.2">
      <c r="A72" s="461" t="s">
        <v>515</v>
      </c>
      <c r="B72" s="133"/>
      <c r="C72" s="134">
        <f>C71</f>
        <v>0</v>
      </c>
      <c r="D72" s="134"/>
      <c r="E72" s="255"/>
      <c r="F72" s="462"/>
    </row>
    <row r="73" spans="1:6" ht="15.75" customHeight="1" x14ac:dyDescent="0.2">
      <c r="A73" s="451" t="s">
        <v>61</v>
      </c>
      <c r="B73" s="109"/>
      <c r="C73" s="109"/>
      <c r="D73" s="109"/>
      <c r="E73" s="254"/>
      <c r="F73" s="452"/>
    </row>
    <row r="74" spans="1:6" ht="15.75" customHeight="1" x14ac:dyDescent="0.2">
      <c r="A74" s="453" t="s">
        <v>62</v>
      </c>
      <c r="B74" s="100">
        <f>120/30*MC!C59*MC!C60</f>
        <v>6.18624E-3</v>
      </c>
      <c r="C74" s="117">
        <f>(((C19*2)+ (C19*1/3))+(C36)+(C44-C38-C39))*$B$74</f>
        <v>0</v>
      </c>
      <c r="D74" s="117">
        <f>(((D19*2)+ (D19*1/3))+(D36)+(D44-D38-D39))*$B$74</f>
        <v>0</v>
      </c>
      <c r="E74" s="117">
        <f>(((E19*2)+ (E19*1/3))+(E36)+(E44-E38-E39))*$B$74</f>
        <v>0</v>
      </c>
      <c r="F74" s="455">
        <f>(((F19*2)+ (F19*1/3))+(F36)+(F44-F38-F39))*$B$74</f>
        <v>0</v>
      </c>
    </row>
    <row r="75" spans="1:6" ht="15.75" customHeight="1" x14ac:dyDescent="0.2">
      <c r="A75" s="461" t="s">
        <v>476</v>
      </c>
      <c r="B75" s="133"/>
      <c r="C75" s="134"/>
      <c r="D75" s="134"/>
      <c r="E75" s="255"/>
      <c r="F75" s="462"/>
    </row>
    <row r="76" spans="1:6" ht="15.75" customHeight="1" x14ac:dyDescent="0.2">
      <c r="A76" s="443" t="s">
        <v>518</v>
      </c>
      <c r="B76" s="94"/>
      <c r="C76" s="94"/>
      <c r="D76" s="94"/>
      <c r="E76" s="246"/>
      <c r="F76" s="444"/>
    </row>
    <row r="77" spans="1:6" ht="15.75" customHeight="1" x14ac:dyDescent="0.2">
      <c r="A77" s="453" t="s">
        <v>39</v>
      </c>
      <c r="B77" s="122">
        <f>B69</f>
        <v>9.9662923611111107E-2</v>
      </c>
      <c r="C77" s="123">
        <f>C69</f>
        <v>0</v>
      </c>
      <c r="D77" s="123">
        <f>D69</f>
        <v>0</v>
      </c>
      <c r="E77" s="123">
        <f>E69</f>
        <v>0</v>
      </c>
      <c r="F77" s="456">
        <f>F69</f>
        <v>0</v>
      </c>
    </row>
    <row r="78" spans="1:6" ht="15.75" customHeight="1" x14ac:dyDescent="0.2">
      <c r="A78" s="453" t="s">
        <v>516</v>
      </c>
      <c r="B78" s="122">
        <f>B72</f>
        <v>0</v>
      </c>
      <c r="C78" s="123">
        <f>C72</f>
        <v>0</v>
      </c>
      <c r="D78" s="123">
        <f>D72</f>
        <v>0</v>
      </c>
      <c r="E78" s="123">
        <f>E72</f>
        <v>0</v>
      </c>
      <c r="F78" s="456">
        <f>F72</f>
        <v>0</v>
      </c>
    </row>
    <row r="79" spans="1:6" ht="15.75" customHeight="1" x14ac:dyDescent="0.2">
      <c r="A79" s="453" t="s">
        <v>61</v>
      </c>
      <c r="B79" s="122">
        <f>B74</f>
        <v>6.18624E-3</v>
      </c>
      <c r="C79" s="123">
        <f>C74</f>
        <v>0</v>
      </c>
      <c r="D79" s="123">
        <f>D74</f>
        <v>0</v>
      </c>
      <c r="E79" s="123">
        <f>E74</f>
        <v>0</v>
      </c>
      <c r="F79" s="456">
        <f>F74</f>
        <v>0</v>
      </c>
    </row>
    <row r="80" spans="1:6" ht="15.75" customHeight="1" x14ac:dyDescent="0.2">
      <c r="A80" s="447" t="s">
        <v>476</v>
      </c>
      <c r="B80" s="104"/>
      <c r="C80" s="113">
        <f>SUM(C77:C79)</f>
        <v>0</v>
      </c>
      <c r="D80" s="113">
        <f>SUM(D77:D79)</f>
        <v>0</v>
      </c>
      <c r="E80" s="248">
        <f>SUM(E77:E79)</f>
        <v>0</v>
      </c>
      <c r="F80" s="448">
        <f>SUM(F77:F79)</f>
        <v>0</v>
      </c>
    </row>
    <row r="81" spans="1:6" ht="15.75" customHeight="1" x14ac:dyDescent="0.2">
      <c r="A81" s="449"/>
      <c r="B81" s="106"/>
      <c r="C81" s="106"/>
      <c r="D81" s="106"/>
      <c r="E81" s="249"/>
      <c r="F81" s="450"/>
    </row>
    <row r="82" spans="1:6" ht="15.75" customHeight="1" x14ac:dyDescent="0.2">
      <c r="A82" s="463" t="s">
        <v>519</v>
      </c>
      <c r="B82" s="257"/>
      <c r="C82" s="257"/>
      <c r="D82" s="257"/>
      <c r="E82" s="257"/>
      <c r="F82" s="464"/>
    </row>
    <row r="83" spans="1:6" ht="15.75" customHeight="1" x14ac:dyDescent="0.2">
      <c r="A83" s="443" t="s">
        <v>520</v>
      </c>
      <c r="B83" s="94" t="s">
        <v>492</v>
      </c>
      <c r="C83" s="94" t="s">
        <v>469</v>
      </c>
      <c r="D83" s="94" t="s">
        <v>469</v>
      </c>
      <c r="E83" s="94" t="s">
        <v>469</v>
      </c>
      <c r="F83" s="444" t="s">
        <v>469</v>
      </c>
    </row>
    <row r="84" spans="1:6" ht="15.75" customHeight="1" x14ac:dyDescent="0.2">
      <c r="A84" s="768" t="s">
        <v>521</v>
      </c>
      <c r="B84" s="769">
        <f>Insumos!G117</f>
        <v>0</v>
      </c>
      <c r="C84" s="779">
        <f>B84</f>
        <v>0</v>
      </c>
      <c r="D84" s="780">
        <f>B84</f>
        <v>0</v>
      </c>
      <c r="E84" s="781">
        <f>B84</f>
        <v>0</v>
      </c>
      <c r="F84" s="778">
        <f>Insumos!G118</f>
        <v>0</v>
      </c>
    </row>
    <row r="85" spans="1:6" ht="15.75" customHeight="1" x14ac:dyDescent="0.2">
      <c r="A85" s="770" t="s">
        <v>522</v>
      </c>
      <c r="B85" s="772">
        <f>Insumos!G59</f>
        <v>0</v>
      </c>
      <c r="C85" s="783">
        <f>B85</f>
        <v>0</v>
      </c>
      <c r="D85" s="783">
        <f>B85</f>
        <v>0</v>
      </c>
      <c r="E85" s="774" t="s">
        <v>429</v>
      </c>
      <c r="F85" s="776" t="s">
        <v>429</v>
      </c>
    </row>
    <row r="86" spans="1:6" ht="15.75" customHeight="1" x14ac:dyDescent="0.2">
      <c r="A86" s="770" t="s">
        <v>523</v>
      </c>
      <c r="B86" s="772">
        <f>Insumos!K99</f>
        <v>0</v>
      </c>
      <c r="C86" s="783">
        <f>B86</f>
        <v>0</v>
      </c>
      <c r="D86" s="783">
        <f>B86</f>
        <v>0</v>
      </c>
      <c r="E86" s="774" t="s">
        <v>429</v>
      </c>
      <c r="F86" s="776" t="s">
        <v>429</v>
      </c>
    </row>
    <row r="87" spans="1:6" ht="15.75" customHeight="1" x14ac:dyDescent="0.2">
      <c r="A87" s="770" t="s">
        <v>524</v>
      </c>
      <c r="B87" s="771" t="s">
        <v>429</v>
      </c>
      <c r="C87" s="785">
        <f>Insumos!I129</f>
        <v>0</v>
      </c>
      <c r="D87" s="785">
        <f>Insumos!H129</f>
        <v>0</v>
      </c>
      <c r="E87" s="774" t="s">
        <v>429</v>
      </c>
      <c r="F87" s="776" t="s">
        <v>429</v>
      </c>
    </row>
    <row r="88" spans="1:6" ht="15.75" customHeight="1" x14ac:dyDescent="0.2">
      <c r="A88" s="770" t="s">
        <v>525</v>
      </c>
      <c r="B88" s="775">
        <v>0.12</v>
      </c>
      <c r="C88" s="773" t="s">
        <v>429</v>
      </c>
      <c r="D88" s="773" t="s">
        <v>429</v>
      </c>
      <c r="E88" s="784">
        <f>B88*(E84+E123+E124)</f>
        <v>0</v>
      </c>
      <c r="F88" s="776" t="s">
        <v>429</v>
      </c>
    </row>
    <row r="89" spans="1:6" ht="15.75" customHeight="1" x14ac:dyDescent="0.2">
      <c r="A89" s="770" t="s">
        <v>526</v>
      </c>
      <c r="B89" s="772">
        <f>Insumos!H145</f>
        <v>0</v>
      </c>
      <c r="C89" s="773" t="s">
        <v>429</v>
      </c>
      <c r="D89" s="773" t="s">
        <v>429</v>
      </c>
      <c r="E89" s="774" t="s">
        <v>429</v>
      </c>
      <c r="F89" s="778">
        <f>Insumos!H145</f>
        <v>0</v>
      </c>
    </row>
    <row r="90" spans="1:6" ht="15.75" customHeight="1" x14ac:dyDescent="0.2">
      <c r="A90" s="770" t="s">
        <v>527</v>
      </c>
      <c r="B90" s="771" t="s">
        <v>429</v>
      </c>
      <c r="C90" s="773" t="s">
        <v>429</v>
      </c>
      <c r="D90" s="773" t="s">
        <v>429</v>
      </c>
      <c r="E90" s="774" t="s">
        <v>429</v>
      </c>
      <c r="F90" s="777" t="s">
        <v>86</v>
      </c>
    </row>
    <row r="91" spans="1:6" ht="15.75" customHeight="1" x14ac:dyDescent="0.2">
      <c r="A91" s="461" t="s">
        <v>476</v>
      </c>
      <c r="B91" s="136"/>
      <c r="C91" s="134">
        <f>SUM(C84:C90)</f>
        <v>0</v>
      </c>
      <c r="D91" s="134">
        <f t="shared" ref="D91:F91" si="10">SUM(D84:D90)</f>
        <v>0</v>
      </c>
      <c r="E91" s="134">
        <f t="shared" si="10"/>
        <v>0</v>
      </c>
      <c r="F91" s="462">
        <f t="shared" si="10"/>
        <v>0</v>
      </c>
    </row>
    <row r="92" spans="1:6" ht="15.75" customHeight="1" x14ac:dyDescent="0.2">
      <c r="A92" s="1048"/>
      <c r="B92" s="1013"/>
      <c r="C92" s="137"/>
      <c r="D92" s="137"/>
      <c r="E92" s="259"/>
      <c r="F92" s="466"/>
    </row>
    <row r="93" spans="1:6" ht="15.75" customHeight="1" x14ac:dyDescent="0.2">
      <c r="A93" s="463" t="s">
        <v>528</v>
      </c>
      <c r="B93" s="257"/>
      <c r="C93" s="257"/>
      <c r="D93" s="257"/>
      <c r="E93" s="257"/>
      <c r="F93" s="464"/>
    </row>
    <row r="94" spans="1:6" ht="15.75" customHeight="1" x14ac:dyDescent="0.2">
      <c r="A94" s="443" t="s">
        <v>529</v>
      </c>
      <c r="B94" s="94" t="s">
        <v>468</v>
      </c>
      <c r="C94" s="94" t="s">
        <v>469</v>
      </c>
      <c r="D94" s="94" t="s">
        <v>469</v>
      </c>
      <c r="E94" s="94" t="s">
        <v>469</v>
      </c>
      <c r="F94" s="444"/>
    </row>
    <row r="95" spans="1:6" ht="15.75" customHeight="1" x14ac:dyDescent="0.2">
      <c r="A95" s="445" t="s">
        <v>67</v>
      </c>
      <c r="B95" s="100">
        <f>MC!C63</f>
        <v>0</v>
      </c>
      <c r="C95" s="117">
        <f>($C$19+$C$49+$C$60+$C$80+$C$91)*$B$95</f>
        <v>0</v>
      </c>
      <c r="D95" s="117">
        <f>($D$19+$D$49+$D$60+$D$80+$D$91)*$B$95</f>
        <v>0</v>
      </c>
      <c r="E95" s="251">
        <f>($E$19+$E$49+$E$60+$E$80+$E$91)*$B$95</f>
        <v>0</v>
      </c>
      <c r="F95" s="455">
        <f>($F$19+$F$49+$F$60+$F$80+$F$91)*$B$95</f>
        <v>0</v>
      </c>
    </row>
    <row r="96" spans="1:6" ht="15.75" customHeight="1" x14ac:dyDescent="0.2">
      <c r="A96" s="445" t="s">
        <v>68</v>
      </c>
      <c r="B96" s="100">
        <f>MC!C64</f>
        <v>0</v>
      </c>
      <c r="C96" s="117">
        <f>($C$19+$C$49+$C$60+$C$80+$C$91+C95)*B96</f>
        <v>0</v>
      </c>
      <c r="D96" s="117">
        <f>($D$19+$D$49+$D$60+$D$80+$D$91+$D$95)*$B$96</f>
        <v>0</v>
      </c>
      <c r="E96" s="117">
        <f>($E$19+$E$49+$E$60+$E$80+$E$91+$E$95)*$B$96</f>
        <v>0</v>
      </c>
      <c r="F96" s="455">
        <f>($F$19+$F$49+$F$60+$F$80+$F$91+F95)*$B$96</f>
        <v>0</v>
      </c>
    </row>
    <row r="97" spans="1:7" ht="15.75" customHeight="1" x14ac:dyDescent="0.2">
      <c r="A97" s="467" t="s">
        <v>530</v>
      </c>
      <c r="B97" s="261">
        <f>B98+B99</f>
        <v>0.1125</v>
      </c>
      <c r="C97" s="262">
        <f>((C19+C49+C60+C80+C91+C95+C96)/(1-($B$97)))*$B$97</f>
        <v>0</v>
      </c>
      <c r="D97" s="262">
        <f>((D19+D49+D60+D80+D91+D95+D96)/(1-($B$97)))*$B$97</f>
        <v>0</v>
      </c>
      <c r="E97" s="262">
        <f>((E19+E49+E60+E80+E91+E95+E96)/(1-($B$97)))*$B$97</f>
        <v>0</v>
      </c>
      <c r="F97" s="468">
        <f>((F19+F49+F60+F80+F91+F95+F96)/(1-($B$97)))*$B$97</f>
        <v>0</v>
      </c>
    </row>
    <row r="98" spans="1:7" ht="15.75" customHeight="1" x14ac:dyDescent="0.2">
      <c r="A98" s="445" t="s">
        <v>531</v>
      </c>
      <c r="B98" s="100">
        <f>0.0165+0.076</f>
        <v>9.2499999999999999E-2</v>
      </c>
      <c r="C98" s="263">
        <f>((C$19+C$49+C$60+C$80+C$91+C$95+C$96)/(1-($B$97)))*$B$98</f>
        <v>0</v>
      </c>
      <c r="D98" s="263">
        <f t="shared" ref="D98:F98" si="11">((D$19+D$49+D$60+D$80+D$91+D$95+D$96)/(1-($B$97)))*$B$98</f>
        <v>0</v>
      </c>
      <c r="E98" s="263">
        <f t="shared" si="11"/>
        <v>0</v>
      </c>
      <c r="F98" s="469">
        <f t="shared" si="11"/>
        <v>0</v>
      </c>
    </row>
    <row r="99" spans="1:7" ht="15.75" customHeight="1" x14ac:dyDescent="0.2">
      <c r="A99" s="445" t="s">
        <v>532</v>
      </c>
      <c r="B99" s="100">
        <v>0.02</v>
      </c>
      <c r="C99" s="264">
        <f>((C$19+C$49+C$60+C$80+C$91+C$95+C$96)/(1-($B$97)))*$B$99</f>
        <v>0</v>
      </c>
      <c r="D99" s="264">
        <f t="shared" ref="D99:F99" si="12">((D$19+D$49+D$60+D$80+D$91+D$95+D$96)/(1-($B$97)))*$B$99</f>
        <v>0</v>
      </c>
      <c r="E99" s="264">
        <f t="shared" si="12"/>
        <v>0</v>
      </c>
      <c r="F99" s="470">
        <f t="shared" si="12"/>
        <v>0</v>
      </c>
    </row>
    <row r="100" spans="1:7" ht="15.75" customHeight="1" x14ac:dyDescent="0.2">
      <c r="A100" s="467" t="s">
        <v>603</v>
      </c>
      <c r="B100" s="261">
        <f>B101+B102</f>
        <v>0.1225</v>
      </c>
      <c r="C100" s="262">
        <f>((C19+C49+C60+C80+C91+C95+C96)/(1-($B$100)))*$B$100</f>
        <v>0</v>
      </c>
      <c r="D100" s="262">
        <f t="shared" ref="D100:F100" si="13">((D19+D49+D60+D80+D91+D95+D96)/(1-($B$100)))*$B$100</f>
        <v>0</v>
      </c>
      <c r="E100" s="262">
        <f t="shared" si="13"/>
        <v>0</v>
      </c>
      <c r="F100" s="468">
        <f t="shared" si="13"/>
        <v>0</v>
      </c>
    </row>
    <row r="101" spans="1:7" ht="15.75" customHeight="1" x14ac:dyDescent="0.2">
      <c r="A101" s="445" t="s">
        <v>531</v>
      </c>
      <c r="B101" s="100">
        <f>0.0165+0.076</f>
        <v>9.2499999999999999E-2</v>
      </c>
      <c r="C101" s="263">
        <f>((C19+C49+C60+C80+C91+C95+C96)/(1-($B$100)))*$B$101</f>
        <v>0</v>
      </c>
      <c r="D101" s="263">
        <f t="shared" ref="D101:F101" si="14">((D19+D49+D60+D80+D91+D95+D96)/(1-($B$100)))*$B$101</f>
        <v>0</v>
      </c>
      <c r="E101" s="263">
        <f t="shared" si="14"/>
        <v>0</v>
      </c>
      <c r="F101" s="469">
        <f t="shared" si="14"/>
        <v>0</v>
      </c>
    </row>
    <row r="102" spans="1:7" ht="15.75" customHeight="1" x14ac:dyDescent="0.2">
      <c r="A102" s="445" t="s">
        <v>532</v>
      </c>
      <c r="B102" s="100">
        <v>0.03</v>
      </c>
      <c r="C102" s="264">
        <f>((C$19+C$49+C$60+C$80+C$91+C$95+C$96)/(1-($B$100)))*$B$102</f>
        <v>0</v>
      </c>
      <c r="D102" s="264">
        <f t="shared" ref="D102:F102" si="15">((D$19+D$49+D$60+D$80+D$91+D$95+D$96)/(1-($B$100)))*$B$102</f>
        <v>0</v>
      </c>
      <c r="E102" s="264">
        <f t="shared" si="15"/>
        <v>0</v>
      </c>
      <c r="F102" s="470">
        <f t="shared" si="15"/>
        <v>0</v>
      </c>
    </row>
    <row r="103" spans="1:7" ht="15.75" customHeight="1" x14ac:dyDescent="0.2">
      <c r="A103" s="467" t="s">
        <v>604</v>
      </c>
      <c r="B103" s="261">
        <f>B104+B105</f>
        <v>0.1245</v>
      </c>
      <c r="C103" s="262">
        <f>((C19+C49+C60+C80+C91+C95+C96)/(1-($B$103)))*$B$103</f>
        <v>0</v>
      </c>
      <c r="D103" s="262">
        <f t="shared" ref="D103:F103" si="16">((D19+D49+D60+D80+D91+D95+D96)/(1-($B$103)))*$B$103</f>
        <v>0</v>
      </c>
      <c r="E103" s="262">
        <f t="shared" si="16"/>
        <v>0</v>
      </c>
      <c r="F103" s="468">
        <f t="shared" si="16"/>
        <v>0</v>
      </c>
    </row>
    <row r="104" spans="1:7" ht="15.75" customHeight="1" x14ac:dyDescent="0.2">
      <c r="A104" s="445" t="s">
        <v>531</v>
      </c>
      <c r="B104" s="100">
        <f>0.0165+0.076</f>
        <v>9.2499999999999999E-2</v>
      </c>
      <c r="C104" s="263">
        <f>((C19+C49+C60+C80+C91+C95+C96)/(1-($B$103)))*$B$104</f>
        <v>0</v>
      </c>
      <c r="D104" s="263">
        <f t="shared" ref="D104:F104" si="17">((D19+D49+D60+D80+D91+D95+D96)/(1-($B$103)))*$B$104</f>
        <v>0</v>
      </c>
      <c r="E104" s="263">
        <f t="shared" si="17"/>
        <v>0</v>
      </c>
      <c r="F104" s="469">
        <f t="shared" si="17"/>
        <v>0</v>
      </c>
    </row>
    <row r="105" spans="1:7" ht="15.75" customHeight="1" x14ac:dyDescent="0.2">
      <c r="A105" s="445" t="s">
        <v>532</v>
      </c>
      <c r="B105" s="100">
        <v>3.2000000000000001E-2</v>
      </c>
      <c r="C105" s="264">
        <f>((C19+C49+C60+C80+C91+C95+C96)/(1-($B$103)))*$B$105</f>
        <v>0</v>
      </c>
      <c r="D105" s="264">
        <f t="shared" ref="D105:F105" si="18">((D19+D49+D60+D80+D91+D95+D96)/(1-($B$103)))*$B$105</f>
        <v>0</v>
      </c>
      <c r="E105" s="264">
        <f t="shared" si="18"/>
        <v>0</v>
      </c>
      <c r="F105" s="470">
        <f t="shared" si="18"/>
        <v>0</v>
      </c>
      <c r="G105" s="265"/>
    </row>
    <row r="106" spans="1:7" ht="15.75" customHeight="1" x14ac:dyDescent="0.2">
      <c r="A106" s="467" t="s">
        <v>535</v>
      </c>
      <c r="B106" s="261">
        <f>B107+B108</f>
        <v>0.13250000000000001</v>
      </c>
      <c r="C106" s="262">
        <f>((C19+C49+C60+C80+C91+C95+C96)/(1-($B$106)))*$B$106</f>
        <v>0</v>
      </c>
      <c r="D106" s="262">
        <f t="shared" ref="D106:F106" si="19">((D19+D49+D60+D80+D91+D95+D96)/(1-($B$106)))*$B$106</f>
        <v>0</v>
      </c>
      <c r="E106" s="262">
        <f t="shared" si="19"/>
        <v>0</v>
      </c>
      <c r="F106" s="468">
        <f t="shared" si="19"/>
        <v>0</v>
      </c>
    </row>
    <row r="107" spans="1:7" ht="15.75" customHeight="1" x14ac:dyDescent="0.2">
      <c r="A107" s="445" t="s">
        <v>531</v>
      </c>
      <c r="B107" s="100">
        <f>0.0165+0.076</f>
        <v>9.2499999999999999E-2</v>
      </c>
      <c r="C107" s="263">
        <f>((C19+C49+C60+C80+C91+C95+C96)/(1-($B$106)))*$B$107</f>
        <v>0</v>
      </c>
      <c r="D107" s="263">
        <f t="shared" ref="D107:F107" si="20">((D19+D49+D60+D80+D91+D95+D96)/(1-($B$106)))*$B$107</f>
        <v>0</v>
      </c>
      <c r="E107" s="263">
        <f t="shared" si="20"/>
        <v>0</v>
      </c>
      <c r="F107" s="469">
        <f t="shared" si="20"/>
        <v>0</v>
      </c>
    </row>
    <row r="108" spans="1:7" ht="15.75" customHeight="1" x14ac:dyDescent="0.2">
      <c r="A108" s="445" t="s">
        <v>532</v>
      </c>
      <c r="B108" s="100">
        <v>0.04</v>
      </c>
      <c r="C108" s="264">
        <f>((C19+C49+C60+C80+C91+C95+C96)/(1-($B$106)))*$B$108</f>
        <v>0</v>
      </c>
      <c r="D108" s="264">
        <f t="shared" ref="D108:F108" si="21">((D19+D49+D60+D80+D91+D95+D96)/(1-($B$106)))*$B$108</f>
        <v>0</v>
      </c>
      <c r="E108" s="264">
        <f t="shared" si="21"/>
        <v>0</v>
      </c>
      <c r="F108" s="470">
        <f t="shared" si="21"/>
        <v>0</v>
      </c>
    </row>
    <row r="109" spans="1:7" ht="15.75" customHeight="1" x14ac:dyDescent="0.2">
      <c r="A109" s="467" t="s">
        <v>536</v>
      </c>
      <c r="B109" s="261">
        <f>B110+B111</f>
        <v>0.14250000000000002</v>
      </c>
      <c r="C109" s="262">
        <f>((C19+C49+C60+C80+C91+C95+C96)/(1-($B$109)))*$B$109</f>
        <v>0</v>
      </c>
      <c r="D109" s="262">
        <f t="shared" ref="D109:F109" si="22">((D19+D49+D60+D80+D91+D95+D96)/(1-($B$109)))*$B$109</f>
        <v>0</v>
      </c>
      <c r="E109" s="262">
        <f t="shared" si="22"/>
        <v>0</v>
      </c>
      <c r="F109" s="468">
        <f t="shared" si="22"/>
        <v>0</v>
      </c>
    </row>
    <row r="110" spans="1:7" ht="15.75" customHeight="1" x14ac:dyDescent="0.2">
      <c r="A110" s="445" t="s">
        <v>531</v>
      </c>
      <c r="B110" s="100">
        <f>0.0165+0.076</f>
        <v>9.2499999999999999E-2</v>
      </c>
      <c r="C110" s="263">
        <f>((C19+C49+C60+C80+C91+C95+C96)/(1-($B$109)))*$B$110</f>
        <v>0</v>
      </c>
      <c r="D110" s="263">
        <f t="shared" ref="D110:F110" si="23">((D19+D49+D60+D80+D91+D95+D96)/(1-($B$109)))*$B$110</f>
        <v>0</v>
      </c>
      <c r="E110" s="263">
        <f t="shared" si="23"/>
        <v>0</v>
      </c>
      <c r="F110" s="469">
        <f t="shared" si="23"/>
        <v>0</v>
      </c>
    </row>
    <row r="111" spans="1:7" ht="15.75" customHeight="1" x14ac:dyDescent="0.2">
      <c r="A111" s="445" t="s">
        <v>532</v>
      </c>
      <c r="B111" s="266">
        <v>0.05</v>
      </c>
      <c r="C111" s="264">
        <f>((C19+C49+C60+C80+C91+C95+C96)/(1-($B$109)))*$B$111</f>
        <v>0</v>
      </c>
      <c r="D111" s="264">
        <f t="shared" ref="D111:F111" si="24">((D19+D49+D60+D80+D91+D95+D96)/(1-($B$109)))*$B$111</f>
        <v>0</v>
      </c>
      <c r="E111" s="264">
        <f t="shared" si="24"/>
        <v>0</v>
      </c>
      <c r="F111" s="470">
        <f t="shared" si="24"/>
        <v>0</v>
      </c>
    </row>
    <row r="112" spans="1:7" ht="15.75" customHeight="1" x14ac:dyDescent="0.2">
      <c r="A112" s="1050" t="s">
        <v>537</v>
      </c>
      <c r="B112" s="267">
        <v>0.02</v>
      </c>
      <c r="C112" s="268">
        <f>C95+C96+C97</f>
        <v>0</v>
      </c>
      <c r="D112" s="268">
        <f>D95+D96+D97</f>
        <v>0</v>
      </c>
      <c r="E112" s="268">
        <f>E95+E96+E97</f>
        <v>0</v>
      </c>
      <c r="F112" s="471">
        <f>F95+F96+F97</f>
        <v>0</v>
      </c>
    </row>
    <row r="113" spans="1:7" ht="15.75" customHeight="1" x14ac:dyDescent="0.2">
      <c r="A113" s="1050"/>
      <c r="B113" s="269">
        <v>2.5000000000000001E-2</v>
      </c>
      <c r="C113" s="270">
        <f>C95+C96+C100</f>
        <v>0</v>
      </c>
      <c r="D113" s="270">
        <f>D95+D96+D100</f>
        <v>0</v>
      </c>
      <c r="E113" s="270">
        <f>E95+E96+E100</f>
        <v>0</v>
      </c>
      <c r="F113" s="472">
        <f>F95+F96+F100</f>
        <v>0</v>
      </c>
    </row>
    <row r="114" spans="1:7" ht="15.75" customHeight="1" x14ac:dyDescent="0.2">
      <c r="A114" s="1050"/>
      <c r="B114" s="269">
        <v>0.03</v>
      </c>
      <c r="C114" s="270">
        <f>C95+C96+C103</f>
        <v>0</v>
      </c>
      <c r="D114" s="270">
        <f>D95+D96+D103</f>
        <v>0</v>
      </c>
      <c r="E114" s="270">
        <f>E95+E96+E103</f>
        <v>0</v>
      </c>
      <c r="F114" s="472">
        <f>F95+F96+F103</f>
        <v>0</v>
      </c>
      <c r="G114" s="265"/>
    </row>
    <row r="115" spans="1:7" ht="15.75" customHeight="1" x14ac:dyDescent="0.2">
      <c r="A115" s="1050"/>
      <c r="B115" s="269">
        <v>0.04</v>
      </c>
      <c r="C115" s="270">
        <f>C95+C96+C106</f>
        <v>0</v>
      </c>
      <c r="D115" s="270">
        <f>D95+D96+D106</f>
        <v>0</v>
      </c>
      <c r="E115" s="270">
        <f>E95+E96+E106</f>
        <v>0</v>
      </c>
      <c r="F115" s="472">
        <f>F95+F96+F106</f>
        <v>0</v>
      </c>
    </row>
    <row r="116" spans="1:7" ht="15.75" customHeight="1" x14ac:dyDescent="0.2">
      <c r="A116" s="1050"/>
      <c r="B116" s="271">
        <v>0.05</v>
      </c>
      <c r="C116" s="272">
        <f>C95+C96+C109</f>
        <v>0</v>
      </c>
      <c r="D116" s="272">
        <f>D95+D96+D109</f>
        <v>0</v>
      </c>
      <c r="E116" s="272">
        <f>E95+E96+E109</f>
        <v>0</v>
      </c>
      <c r="F116" s="473">
        <f>F95+F96+F109</f>
        <v>0</v>
      </c>
    </row>
    <row r="117" spans="1:7" ht="15.75" customHeight="1" x14ac:dyDescent="0.2">
      <c r="A117" s="445" t="s">
        <v>538</v>
      </c>
      <c r="B117" s="273"/>
      <c r="C117" s="274"/>
      <c r="D117" s="274"/>
      <c r="E117" s="275"/>
      <c r="F117" s="474"/>
    </row>
    <row r="118" spans="1:7" ht="15.75" customHeight="1" x14ac:dyDescent="0.2">
      <c r="A118" s="642"/>
      <c r="B118" s="643"/>
      <c r="C118" s="644"/>
      <c r="D118" s="644"/>
      <c r="E118" s="645"/>
      <c r="F118" s="646"/>
    </row>
    <row r="119" spans="1:7" ht="15.75" customHeight="1" x14ac:dyDescent="0.2">
      <c r="A119" s="1017"/>
      <c r="B119" s="1017"/>
      <c r="C119" s="1017"/>
      <c r="D119" s="1017"/>
      <c r="E119" s="1017"/>
      <c r="F119" s="1017"/>
    </row>
    <row r="120" spans="1:7" ht="15.75" customHeight="1" x14ac:dyDescent="0.2">
      <c r="A120" s="1017"/>
      <c r="B120" s="1017"/>
      <c r="C120" s="1017"/>
      <c r="D120" s="1017"/>
      <c r="E120" s="1017"/>
      <c r="F120" s="1017"/>
    </row>
    <row r="121" spans="1:7" ht="54.75" customHeight="1" x14ac:dyDescent="0.2">
      <c r="A121" s="1018" t="s">
        <v>539</v>
      </c>
      <c r="B121" s="1018"/>
      <c r="C121" s="281" t="str">
        <f>C10</f>
        <v xml:space="preserve">Servente 40h </v>
      </c>
      <c r="D121" s="281" t="str">
        <f>D10</f>
        <v xml:space="preserve">Servente 30h </v>
      </c>
      <c r="E121" s="282" t="str">
        <f>E10</f>
        <v>Servente 44h limpeza de esquadrias com risco</v>
      </c>
      <c r="F121" s="283" t="str">
        <f>F10</f>
        <v>Encarregada 40h</v>
      </c>
    </row>
    <row r="122" spans="1:7" ht="15.75" customHeight="1" x14ac:dyDescent="0.2">
      <c r="A122" s="1019" t="s">
        <v>540</v>
      </c>
      <c r="B122" s="1019"/>
      <c r="C122" s="284" t="s">
        <v>469</v>
      </c>
      <c r="D122" s="284" t="s">
        <v>469</v>
      </c>
      <c r="E122" s="284" t="s">
        <v>469</v>
      </c>
      <c r="F122" s="285" t="s">
        <v>469</v>
      </c>
    </row>
    <row r="123" spans="1:7" ht="14.25" customHeight="1" x14ac:dyDescent="0.2">
      <c r="A123" s="1020" t="s">
        <v>541</v>
      </c>
      <c r="B123" s="1020"/>
      <c r="C123" s="286">
        <f>C19</f>
        <v>0</v>
      </c>
      <c r="D123" s="286">
        <f>D19</f>
        <v>0</v>
      </c>
      <c r="E123" s="286">
        <f>E19</f>
        <v>0</v>
      </c>
      <c r="F123" s="287">
        <f>F19</f>
        <v>0</v>
      </c>
    </row>
    <row r="124" spans="1:7" ht="14.25" customHeight="1" x14ac:dyDescent="0.2">
      <c r="A124" s="1021" t="s">
        <v>542</v>
      </c>
      <c r="B124" s="1021"/>
      <c r="C124" s="139">
        <f>C49</f>
        <v>0</v>
      </c>
      <c r="D124" s="139">
        <f>D49</f>
        <v>0</v>
      </c>
      <c r="E124" s="139">
        <f>E49</f>
        <v>0</v>
      </c>
      <c r="F124" s="140">
        <f>F49</f>
        <v>0</v>
      </c>
    </row>
    <row r="125" spans="1:7" ht="14.25" customHeight="1" x14ac:dyDescent="0.2">
      <c r="A125" s="1021" t="s">
        <v>543</v>
      </c>
      <c r="B125" s="1021"/>
      <c r="C125" s="139">
        <f>C60</f>
        <v>0</v>
      </c>
      <c r="D125" s="139">
        <f>D60</f>
        <v>0</v>
      </c>
      <c r="E125" s="139">
        <f>E60</f>
        <v>0</v>
      </c>
      <c r="F125" s="140">
        <f>F60</f>
        <v>0</v>
      </c>
    </row>
    <row r="126" spans="1:7" ht="14.25" customHeight="1" x14ac:dyDescent="0.2">
      <c r="A126" s="1021" t="s">
        <v>544</v>
      </c>
      <c r="B126" s="1021"/>
      <c r="C126" s="139">
        <f>C80</f>
        <v>0</v>
      </c>
      <c r="D126" s="139">
        <f>D80</f>
        <v>0</v>
      </c>
      <c r="E126" s="139">
        <f>E80</f>
        <v>0</v>
      </c>
      <c r="F126" s="140">
        <f>F69</f>
        <v>0</v>
      </c>
    </row>
    <row r="127" spans="1:7" ht="15.75" customHeight="1" x14ac:dyDescent="0.2">
      <c r="A127" s="1021" t="s">
        <v>545</v>
      </c>
      <c r="B127" s="1021"/>
      <c r="C127" s="139">
        <f>C91</f>
        <v>0</v>
      </c>
      <c r="D127" s="139">
        <f>D91</f>
        <v>0</v>
      </c>
      <c r="E127" s="139">
        <f>E91</f>
        <v>0</v>
      </c>
      <c r="F127" s="140">
        <f>F91</f>
        <v>0</v>
      </c>
    </row>
    <row r="128" spans="1:7" ht="15.75" customHeight="1" x14ac:dyDescent="0.2">
      <c r="A128" s="1024" t="s">
        <v>546</v>
      </c>
      <c r="B128" s="1024"/>
      <c r="C128" s="141">
        <f>SUM(C123:C127)</f>
        <v>0</v>
      </c>
      <c r="D128" s="141">
        <f>SUM(D123:D127)</f>
        <v>0</v>
      </c>
      <c r="E128" s="288">
        <f>SUM(E123:E127)</f>
        <v>0</v>
      </c>
      <c r="F128" s="142">
        <f>SUM(F123:F127)</f>
        <v>0</v>
      </c>
    </row>
    <row r="129" spans="1:12" ht="15.75" customHeight="1" x14ac:dyDescent="0.2">
      <c r="A129" s="1022" t="s">
        <v>547</v>
      </c>
      <c r="B129" s="1022"/>
      <c r="C129" s="289">
        <f t="shared" ref="C129:F133" si="25">C112</f>
        <v>0</v>
      </c>
      <c r="D129" s="289">
        <f t="shared" si="25"/>
        <v>0</v>
      </c>
      <c r="E129" s="289">
        <f t="shared" si="25"/>
        <v>0</v>
      </c>
      <c r="F129" s="290">
        <f t="shared" si="25"/>
        <v>0</v>
      </c>
    </row>
    <row r="130" spans="1:12" ht="15.75" customHeight="1" x14ac:dyDescent="0.2">
      <c r="A130" s="1021" t="s">
        <v>548</v>
      </c>
      <c r="B130" s="1021"/>
      <c r="C130" s="291">
        <f t="shared" si="25"/>
        <v>0</v>
      </c>
      <c r="D130" s="291">
        <f t="shared" si="25"/>
        <v>0</v>
      </c>
      <c r="E130" s="291">
        <f t="shared" si="25"/>
        <v>0</v>
      </c>
      <c r="F130" s="292">
        <f t="shared" si="25"/>
        <v>0</v>
      </c>
    </row>
    <row r="131" spans="1:12" ht="15.75" customHeight="1" x14ac:dyDescent="0.2">
      <c r="A131" s="1021" t="s">
        <v>549</v>
      </c>
      <c r="B131" s="1021"/>
      <c r="C131" s="291">
        <f t="shared" si="25"/>
        <v>0</v>
      </c>
      <c r="D131" s="291">
        <f t="shared" si="25"/>
        <v>0</v>
      </c>
      <c r="E131" s="291">
        <f t="shared" si="25"/>
        <v>0</v>
      </c>
      <c r="F131" s="292">
        <f t="shared" si="25"/>
        <v>0</v>
      </c>
    </row>
    <row r="132" spans="1:12" ht="15.75" customHeight="1" x14ac:dyDescent="0.2">
      <c r="A132" s="1021" t="s">
        <v>550</v>
      </c>
      <c r="B132" s="1021"/>
      <c r="C132" s="291">
        <f t="shared" si="25"/>
        <v>0</v>
      </c>
      <c r="D132" s="291">
        <f t="shared" si="25"/>
        <v>0</v>
      </c>
      <c r="E132" s="291">
        <f t="shared" si="25"/>
        <v>0</v>
      </c>
      <c r="F132" s="292">
        <f t="shared" si="25"/>
        <v>0</v>
      </c>
    </row>
    <row r="133" spans="1:12" ht="15.75" customHeight="1" x14ac:dyDescent="0.2">
      <c r="A133" s="1022" t="s">
        <v>551</v>
      </c>
      <c r="B133" s="1022"/>
      <c r="C133" s="291">
        <f t="shared" si="25"/>
        <v>0</v>
      </c>
      <c r="D133" s="291">
        <f t="shared" si="25"/>
        <v>0</v>
      </c>
      <c r="E133" s="291">
        <f t="shared" si="25"/>
        <v>0</v>
      </c>
      <c r="F133" s="292">
        <f t="shared" si="25"/>
        <v>0</v>
      </c>
    </row>
    <row r="134" spans="1:12" ht="15.75" customHeight="1" x14ac:dyDescent="0.2">
      <c r="A134" s="293" t="s">
        <v>552</v>
      </c>
      <c r="B134" s="294"/>
      <c r="C134" s="295">
        <f>C128+C129</f>
        <v>0</v>
      </c>
      <c r="D134" s="295">
        <f>D128+D129</f>
        <v>0</v>
      </c>
      <c r="E134" s="295">
        <f>E128+E129</f>
        <v>0</v>
      </c>
      <c r="F134" s="296">
        <f>F128+F129</f>
        <v>0</v>
      </c>
    </row>
    <row r="135" spans="1:12" ht="15.75" customHeight="1" x14ac:dyDescent="0.2">
      <c r="A135" s="297" t="s">
        <v>554</v>
      </c>
      <c r="B135" s="298"/>
      <c r="C135" s="299">
        <f>C128+C130</f>
        <v>0</v>
      </c>
      <c r="D135" s="299">
        <f>D128+D130</f>
        <v>0</v>
      </c>
      <c r="E135" s="299">
        <f>E128+E130</f>
        <v>0</v>
      </c>
      <c r="F135" s="300">
        <f>F128+F130</f>
        <v>0</v>
      </c>
    </row>
    <row r="136" spans="1:12" ht="15.75" customHeight="1" x14ac:dyDescent="0.2">
      <c r="A136" s="297" t="s">
        <v>605</v>
      </c>
      <c r="B136" s="298"/>
      <c r="C136" s="299">
        <f>C128+C131</f>
        <v>0</v>
      </c>
      <c r="D136" s="299">
        <f>D128+D131</f>
        <v>0</v>
      </c>
      <c r="E136" s="299">
        <f>E128+E131</f>
        <v>0</v>
      </c>
      <c r="F136" s="300">
        <f>F128+F131</f>
        <v>0</v>
      </c>
    </row>
    <row r="137" spans="1:12" ht="15.75" customHeight="1" x14ac:dyDescent="0.2">
      <c r="A137" s="297" t="s">
        <v>555</v>
      </c>
      <c r="B137" s="298"/>
      <c r="C137" s="299">
        <f>C128+C132</f>
        <v>0</v>
      </c>
      <c r="D137" s="299">
        <f>D128+D132</f>
        <v>0</v>
      </c>
      <c r="E137" s="299">
        <f>E128+E132</f>
        <v>0</v>
      </c>
      <c r="F137" s="300">
        <f>F128+F132</f>
        <v>0</v>
      </c>
    </row>
    <row r="138" spans="1:12" ht="15.75" customHeight="1" x14ac:dyDescent="0.2">
      <c r="A138" s="297" t="s">
        <v>556</v>
      </c>
      <c r="B138" s="298"/>
      <c r="C138" s="299">
        <f>C128+C133</f>
        <v>0</v>
      </c>
      <c r="D138" s="299">
        <f>D128+D133</f>
        <v>0</v>
      </c>
      <c r="E138" s="299">
        <f>E128+E133</f>
        <v>0</v>
      </c>
      <c r="F138" s="300">
        <f>F128+F133</f>
        <v>0</v>
      </c>
    </row>
    <row r="139" spans="1:12" ht="15.75" customHeight="1" x14ac:dyDescent="0.2">
      <c r="A139" s="301" t="s">
        <v>557</v>
      </c>
      <c r="B139" s="302"/>
      <c r="C139" s="303">
        <f>C134/200</f>
        <v>0</v>
      </c>
      <c r="D139" s="303"/>
      <c r="E139" s="304"/>
      <c r="F139" s="305"/>
    </row>
    <row r="140" spans="1:12" ht="15.75" customHeight="1" x14ac:dyDescent="0.2">
      <c r="A140" s="306" t="s">
        <v>559</v>
      </c>
      <c r="B140" s="307"/>
      <c r="C140" s="308">
        <f>C135/200</f>
        <v>0</v>
      </c>
      <c r="D140" s="308"/>
      <c r="E140" s="309"/>
      <c r="F140" s="310"/>
    </row>
    <row r="141" spans="1:12" ht="15.75" customHeight="1" x14ac:dyDescent="0.2">
      <c r="A141" s="306" t="s">
        <v>606</v>
      </c>
      <c r="B141" s="307"/>
      <c r="C141" s="308">
        <f>C136/200</f>
        <v>0</v>
      </c>
      <c r="D141" s="308"/>
      <c r="E141" s="309"/>
      <c r="F141" s="310"/>
    </row>
    <row r="142" spans="1:12" ht="15.75" customHeight="1" x14ac:dyDescent="0.2">
      <c r="A142" s="306" t="s">
        <v>560</v>
      </c>
      <c r="B142" s="307"/>
      <c r="C142" s="308">
        <f>C137/200</f>
        <v>0</v>
      </c>
      <c r="D142" s="308"/>
      <c r="E142" s="309"/>
      <c r="F142" s="310"/>
    </row>
    <row r="143" spans="1:12" ht="15.75" customHeight="1" x14ac:dyDescent="0.2">
      <c r="A143" s="311" t="s">
        <v>561</v>
      </c>
      <c r="B143" s="312"/>
      <c r="C143" s="313">
        <f>C138/200</f>
        <v>0</v>
      </c>
      <c r="D143" s="313"/>
      <c r="E143" s="314"/>
      <c r="F143" s="315"/>
    </row>
    <row r="144" spans="1:12" x14ac:dyDescent="0.2">
      <c r="A144" s="316"/>
      <c r="B144"/>
      <c r="C144"/>
      <c r="D144"/>
      <c r="E144"/>
      <c r="F144"/>
      <c r="G144"/>
      <c r="H144"/>
      <c r="I144"/>
      <c r="J144"/>
      <c r="K144"/>
      <c r="L144"/>
    </row>
    <row r="145" spans="1:15" ht="14.25" customHeight="1" x14ac:dyDescent="0.2">
      <c r="A145" s="1023" t="s">
        <v>562</v>
      </c>
      <c r="B145" s="1023"/>
      <c r="C145" s="1023" t="s">
        <v>563</v>
      </c>
      <c r="D145" s="1023"/>
      <c r="E145" s="1029" t="s">
        <v>565</v>
      </c>
      <c r="F145" s="1030"/>
      <c r="G145" s="1025" t="s">
        <v>607</v>
      </c>
      <c r="H145" s="1025"/>
      <c r="I145" s="1025" t="s">
        <v>566</v>
      </c>
      <c r="J145" s="1025"/>
      <c r="K145" s="1025" t="s">
        <v>567</v>
      </c>
      <c r="L145" s="1025"/>
    </row>
    <row r="146" spans="1:15" ht="38.25" x14ac:dyDescent="0.2">
      <c r="A146" s="347" t="s">
        <v>568</v>
      </c>
      <c r="B146" s="348" t="s">
        <v>569</v>
      </c>
      <c r="C146" s="348" t="s">
        <v>570</v>
      </c>
      <c r="D146" s="348" t="s">
        <v>571</v>
      </c>
      <c r="E146" s="348" t="s">
        <v>570</v>
      </c>
      <c r="F146" s="348" t="s">
        <v>571</v>
      </c>
      <c r="G146" s="348" t="s">
        <v>570</v>
      </c>
      <c r="H146" s="348" t="s">
        <v>571</v>
      </c>
      <c r="I146" s="348" t="s">
        <v>570</v>
      </c>
      <c r="J146" s="348" t="s">
        <v>571</v>
      </c>
      <c r="K146" s="348" t="s">
        <v>570</v>
      </c>
      <c r="L146" s="348" t="s">
        <v>571</v>
      </c>
    </row>
    <row r="147" spans="1:15" x14ac:dyDescent="0.2">
      <c r="A147" s="349" t="s">
        <v>572</v>
      </c>
      <c r="B147" s="350">
        <f>1/'Prod. GEXMRG'!C19</f>
        <v>1.25E-3</v>
      </c>
      <c r="C147" s="351">
        <f>C134</f>
        <v>0</v>
      </c>
      <c r="D147" s="351">
        <f>B147*C147</f>
        <v>0</v>
      </c>
      <c r="E147" s="351">
        <f>C135</f>
        <v>0</v>
      </c>
      <c r="F147" s="351">
        <f>B147*E147</f>
        <v>0</v>
      </c>
      <c r="G147" s="351">
        <f>C136</f>
        <v>0</v>
      </c>
      <c r="H147" s="351">
        <f>B147*G147</f>
        <v>0</v>
      </c>
      <c r="I147" s="351">
        <f>C137</f>
        <v>0</v>
      </c>
      <c r="J147" s="351">
        <f>B147*I147</f>
        <v>0</v>
      </c>
      <c r="K147" s="351">
        <f>C138</f>
        <v>0</v>
      </c>
      <c r="L147" s="351">
        <f>B147*K147</f>
        <v>0</v>
      </c>
    </row>
    <row r="148" spans="1:15" x14ac:dyDescent="0.2">
      <c r="A148" s="352" t="s">
        <v>573</v>
      </c>
      <c r="B148" s="350">
        <f>B147/'Prod. GEXMRG'!O19</f>
        <v>4.6296296296296294E-5</v>
      </c>
      <c r="C148" s="351">
        <f>F135</f>
        <v>0</v>
      </c>
      <c r="D148" s="351">
        <f>C148*B148</f>
        <v>0</v>
      </c>
      <c r="E148" s="351">
        <f>F135</f>
        <v>0</v>
      </c>
      <c r="F148" s="351">
        <f>B148*E148</f>
        <v>0</v>
      </c>
      <c r="G148" s="351">
        <f>F135</f>
        <v>0</v>
      </c>
      <c r="H148" s="351">
        <f>B148*G148</f>
        <v>0</v>
      </c>
      <c r="I148" s="351">
        <f>F135</f>
        <v>0</v>
      </c>
      <c r="J148" s="351">
        <f>B148*I148</f>
        <v>0</v>
      </c>
      <c r="K148" s="351">
        <f>F135</f>
        <v>0</v>
      </c>
      <c r="L148" s="351">
        <f>B148*K148</f>
        <v>0</v>
      </c>
      <c r="M148" s="1037" t="s">
        <v>574</v>
      </c>
      <c r="N148" s="1038"/>
      <c r="O148" s="517" t="s">
        <v>575</v>
      </c>
    </row>
    <row r="149" spans="1:15" x14ac:dyDescent="0.2">
      <c r="A149" s="353" t="s">
        <v>576</v>
      </c>
      <c r="B149" s="354"/>
      <c r="C149" s="355"/>
      <c r="D149" s="355">
        <f>SUM(D147:D148)</f>
        <v>0</v>
      </c>
      <c r="E149" s="355"/>
      <c r="F149" s="355">
        <f>SUM(F147:F148)</f>
        <v>0</v>
      </c>
      <c r="G149" s="355"/>
      <c r="H149" s="355">
        <f>SUM(H147:H148)</f>
        <v>0</v>
      </c>
      <c r="I149" s="355"/>
      <c r="J149" s="355">
        <f>SUM(J147:J148)</f>
        <v>0</v>
      </c>
      <c r="K149" s="355"/>
      <c r="L149" s="355">
        <f>SUM(L147:L148)</f>
        <v>0</v>
      </c>
      <c r="M149" s="515">
        <v>3.08</v>
      </c>
      <c r="N149" s="516">
        <v>5.56</v>
      </c>
    </row>
    <row r="150" spans="1:15" x14ac:dyDescent="0.2">
      <c r="A150" s="317"/>
      <c r="B150" s="318"/>
      <c r="C150" s="318"/>
      <c r="D150" s="319"/>
      <c r="E150" s="319"/>
      <c r="F150"/>
      <c r="G150"/>
      <c r="H150"/>
      <c r="I150"/>
      <c r="J150"/>
      <c r="K150"/>
      <c r="L150"/>
    </row>
    <row r="151" spans="1:15" ht="14.25" customHeight="1" x14ac:dyDescent="0.2">
      <c r="A151" s="1026" t="s">
        <v>577</v>
      </c>
      <c r="B151" s="1026"/>
      <c r="C151" s="1023" t="s">
        <v>563</v>
      </c>
      <c r="D151" s="1023"/>
      <c r="E151" s="1029" t="s">
        <v>565</v>
      </c>
      <c r="F151" s="1030"/>
      <c r="G151" s="1025" t="s">
        <v>607</v>
      </c>
      <c r="H151" s="1025"/>
      <c r="I151" s="1025" t="s">
        <v>566</v>
      </c>
      <c r="J151" s="1025"/>
      <c r="K151" s="1025" t="s">
        <v>567</v>
      </c>
      <c r="L151" s="1025"/>
    </row>
    <row r="152" spans="1:15" ht="38.25" x14ac:dyDescent="0.2">
      <c r="A152" s="347" t="s">
        <v>568</v>
      </c>
      <c r="B152" s="348" t="s">
        <v>578</v>
      </c>
      <c r="C152" s="348" t="s">
        <v>570</v>
      </c>
      <c r="D152" s="348" t="s">
        <v>571</v>
      </c>
      <c r="E152" s="348" t="s">
        <v>570</v>
      </c>
      <c r="F152" s="348" t="s">
        <v>571</v>
      </c>
      <c r="G152" s="348" t="s">
        <v>570</v>
      </c>
      <c r="H152" s="348" t="s">
        <v>571</v>
      </c>
      <c r="I152" s="348" t="s">
        <v>570</v>
      </c>
      <c r="J152" s="348" t="s">
        <v>571</v>
      </c>
      <c r="K152" s="348" t="s">
        <v>570</v>
      </c>
      <c r="L152" s="348" t="s">
        <v>571</v>
      </c>
    </row>
    <row r="153" spans="1:15" x14ac:dyDescent="0.2">
      <c r="A153" s="349" t="s">
        <v>572</v>
      </c>
      <c r="B153" s="356">
        <f>1/'Prod. GEXMRG'!D19</f>
        <v>6.6666666666666664E-4</v>
      </c>
      <c r="C153" s="357">
        <f>C134</f>
        <v>0</v>
      </c>
      <c r="D153" s="351">
        <f>B153*C153</f>
        <v>0</v>
      </c>
      <c r="E153" s="351">
        <f>C135</f>
        <v>0</v>
      </c>
      <c r="F153" s="351">
        <f>B153*E153</f>
        <v>0</v>
      </c>
      <c r="G153" s="351">
        <f>C136</f>
        <v>0</v>
      </c>
      <c r="H153" s="351">
        <f>B153*G153</f>
        <v>0</v>
      </c>
      <c r="I153" s="351">
        <f>C137</f>
        <v>0</v>
      </c>
      <c r="J153" s="351">
        <f>B153*I153</f>
        <v>0</v>
      </c>
      <c r="K153" s="351">
        <f>C138</f>
        <v>0</v>
      </c>
      <c r="L153" s="351">
        <f>B153*K153</f>
        <v>0</v>
      </c>
    </row>
    <row r="154" spans="1:15" x14ac:dyDescent="0.2">
      <c r="A154" s="352" t="s">
        <v>573</v>
      </c>
      <c r="B154" s="350">
        <f>B153/'Prod. GEXMRG'!O19</f>
        <v>2.4691358024691357E-5</v>
      </c>
      <c r="C154" s="351">
        <f>F135</f>
        <v>0</v>
      </c>
      <c r="D154" s="351">
        <f>B154*C154</f>
        <v>0</v>
      </c>
      <c r="E154" s="351">
        <f>F135</f>
        <v>0</v>
      </c>
      <c r="F154" s="351">
        <f>B154*E154</f>
        <v>0</v>
      </c>
      <c r="G154" s="351">
        <f>F135</f>
        <v>0</v>
      </c>
      <c r="H154" s="351">
        <f>B154*G154</f>
        <v>0</v>
      </c>
      <c r="I154" s="351">
        <f>F135</f>
        <v>0</v>
      </c>
      <c r="J154" s="351">
        <f>B154*I154</f>
        <v>0</v>
      </c>
      <c r="K154" s="351">
        <f>F135</f>
        <v>0</v>
      </c>
      <c r="L154" s="351">
        <f>B154*K154</f>
        <v>0</v>
      </c>
    </row>
    <row r="155" spans="1:15" x14ac:dyDescent="0.2">
      <c r="A155" s="353" t="s">
        <v>579</v>
      </c>
      <c r="B155" s="354"/>
      <c r="C155" s="355"/>
      <c r="D155" s="355">
        <f>SUM(D153:D154)</f>
        <v>0</v>
      </c>
      <c r="E155" s="355"/>
      <c r="F155" s="355">
        <f>SUM(F153:F154)</f>
        <v>0</v>
      </c>
      <c r="G155" s="355"/>
      <c r="H155" s="355">
        <f>SUM(H153:H154)</f>
        <v>0</v>
      </c>
      <c r="I155" s="355"/>
      <c r="J155" s="355">
        <f>SUM(J153:J154)</f>
        <v>0</v>
      </c>
      <c r="K155" s="355"/>
      <c r="L155" s="355">
        <f>SUM(L153:L154)</f>
        <v>0</v>
      </c>
    </row>
    <row r="156" spans="1:15" x14ac:dyDescent="0.2">
      <c r="A156" s="317"/>
      <c r="B156" s="320"/>
      <c r="C156" s="320"/>
      <c r="D156" s="320"/>
      <c r="E156" s="320"/>
      <c r="F156"/>
      <c r="G156"/>
      <c r="H156"/>
      <c r="I156"/>
      <c r="J156"/>
      <c r="K156"/>
      <c r="L156"/>
    </row>
    <row r="157" spans="1:15" ht="14.25" customHeight="1" x14ac:dyDescent="0.2">
      <c r="A157" s="1026" t="s">
        <v>580</v>
      </c>
      <c r="B157" s="1026"/>
      <c r="C157" s="1023" t="s">
        <v>563</v>
      </c>
      <c r="D157" s="1023"/>
      <c r="E157" s="1029" t="s">
        <v>565</v>
      </c>
      <c r="F157" s="1030"/>
      <c r="G157" s="1025" t="s">
        <v>607</v>
      </c>
      <c r="H157" s="1025"/>
      <c r="I157" s="1025" t="s">
        <v>566</v>
      </c>
      <c r="J157" s="1025"/>
      <c r="K157" s="1025" t="s">
        <v>567</v>
      </c>
      <c r="L157" s="1025"/>
    </row>
    <row r="158" spans="1:15" ht="38.25" x14ac:dyDescent="0.2">
      <c r="A158" s="347" t="s">
        <v>568</v>
      </c>
      <c r="B158" s="348" t="s">
        <v>578</v>
      </c>
      <c r="C158" s="348" t="s">
        <v>570</v>
      </c>
      <c r="D158" s="348" t="s">
        <v>571</v>
      </c>
      <c r="E158" s="348" t="s">
        <v>570</v>
      </c>
      <c r="F158" s="348" t="s">
        <v>571</v>
      </c>
      <c r="G158" s="348" t="s">
        <v>570</v>
      </c>
      <c r="H158" s="348" t="s">
        <v>571</v>
      </c>
      <c r="I158" s="348" t="s">
        <v>570</v>
      </c>
      <c r="J158" s="348" t="s">
        <v>571</v>
      </c>
      <c r="K158" s="348" t="s">
        <v>570</v>
      </c>
      <c r="L158" s="348" t="s">
        <v>571</v>
      </c>
    </row>
    <row r="159" spans="1:15" x14ac:dyDescent="0.2">
      <c r="A159" s="349" t="s">
        <v>572</v>
      </c>
      <c r="B159" s="356">
        <f>1/'Prod. GEXMRG'!E19</f>
        <v>6.6666666666666664E-4</v>
      </c>
      <c r="C159" s="357">
        <f>C134</f>
        <v>0</v>
      </c>
      <c r="D159" s="351">
        <f>B159*C159</f>
        <v>0</v>
      </c>
      <c r="E159" s="351">
        <f>C135</f>
        <v>0</v>
      </c>
      <c r="F159" s="351">
        <f>B159*E159</f>
        <v>0</v>
      </c>
      <c r="G159" s="351">
        <f>C136</f>
        <v>0</v>
      </c>
      <c r="H159" s="351">
        <f>B159*G159</f>
        <v>0</v>
      </c>
      <c r="I159" s="351">
        <f>C137</f>
        <v>0</v>
      </c>
      <c r="J159" s="351">
        <f>B159*I159</f>
        <v>0</v>
      </c>
      <c r="K159" s="351">
        <f>C138</f>
        <v>0</v>
      </c>
      <c r="L159" s="351">
        <f>B159*K159</f>
        <v>0</v>
      </c>
    </row>
    <row r="160" spans="1:15" x14ac:dyDescent="0.2">
      <c r="A160" s="352" t="s">
        <v>573</v>
      </c>
      <c r="B160" s="350">
        <f>B159/'Prod. GEXMRG'!O19</f>
        <v>2.4691358024691357E-5</v>
      </c>
      <c r="C160" s="351">
        <f>F135</f>
        <v>0</v>
      </c>
      <c r="D160" s="351">
        <f>B160*C160</f>
        <v>0</v>
      </c>
      <c r="E160" s="351">
        <f>F135</f>
        <v>0</v>
      </c>
      <c r="F160" s="351">
        <f>B160*E160</f>
        <v>0</v>
      </c>
      <c r="G160" s="351">
        <f>F135</f>
        <v>0</v>
      </c>
      <c r="H160" s="351">
        <f>B160*G160</f>
        <v>0</v>
      </c>
      <c r="I160" s="351">
        <f>F135</f>
        <v>0</v>
      </c>
      <c r="J160" s="351">
        <f>B160*I160</f>
        <v>0</v>
      </c>
      <c r="K160" s="351">
        <f>F135</f>
        <v>0</v>
      </c>
      <c r="L160" s="351">
        <f>B160*K160</f>
        <v>0</v>
      </c>
    </row>
    <row r="161" spans="1:14" x14ac:dyDescent="0.2">
      <c r="A161" s="353" t="s">
        <v>579</v>
      </c>
      <c r="B161" s="354"/>
      <c r="C161" s="355"/>
      <c r="D161" s="355">
        <f>SUM(D159:D160)</f>
        <v>0</v>
      </c>
      <c r="E161" s="355"/>
      <c r="F161" s="355">
        <f>SUM(F159:F160)</f>
        <v>0</v>
      </c>
      <c r="G161" s="355"/>
      <c r="H161" s="355">
        <f>SUM(H159:H160)</f>
        <v>0</v>
      </c>
      <c r="I161" s="355"/>
      <c r="J161" s="355">
        <f>SUM(J159:J160)</f>
        <v>0</v>
      </c>
      <c r="K161" s="355"/>
      <c r="L161" s="355">
        <f>SUM(L159:L160)</f>
        <v>0</v>
      </c>
    </row>
    <row r="162" spans="1:14" x14ac:dyDescent="0.2">
      <c r="A162" s="317"/>
      <c r="B162" s="320"/>
      <c r="C162" s="320"/>
      <c r="D162" s="320"/>
      <c r="E162" s="320"/>
      <c r="F162"/>
      <c r="G162"/>
      <c r="H162"/>
      <c r="I162"/>
      <c r="J162"/>
      <c r="K162"/>
      <c r="L162"/>
    </row>
    <row r="163" spans="1:14" ht="14.25" customHeight="1" x14ac:dyDescent="0.2">
      <c r="A163" s="1026" t="s">
        <v>581</v>
      </c>
      <c r="B163" s="1026"/>
      <c r="C163" s="1023" t="s">
        <v>563</v>
      </c>
      <c r="D163" s="1023"/>
      <c r="E163" s="1029" t="s">
        <v>565</v>
      </c>
      <c r="F163" s="1030"/>
      <c r="G163" s="1025" t="s">
        <v>607</v>
      </c>
      <c r="H163" s="1025"/>
      <c r="I163" s="1025" t="s">
        <v>566</v>
      </c>
      <c r="J163" s="1025"/>
      <c r="K163" s="1025" t="s">
        <v>567</v>
      </c>
      <c r="L163" s="1025"/>
    </row>
    <row r="164" spans="1:14" ht="38.25" x14ac:dyDescent="0.2">
      <c r="A164" s="347" t="s">
        <v>568</v>
      </c>
      <c r="B164" s="348" t="s">
        <v>578</v>
      </c>
      <c r="C164" s="348" t="s">
        <v>570</v>
      </c>
      <c r="D164" s="348" t="s">
        <v>571</v>
      </c>
      <c r="E164" s="348" t="s">
        <v>570</v>
      </c>
      <c r="F164" s="348" t="s">
        <v>571</v>
      </c>
      <c r="G164" s="348" t="s">
        <v>570</v>
      </c>
      <c r="H164" s="348" t="s">
        <v>571</v>
      </c>
      <c r="I164" s="348" t="s">
        <v>570</v>
      </c>
      <c r="J164" s="348" t="s">
        <v>571</v>
      </c>
      <c r="K164" s="348" t="s">
        <v>570</v>
      </c>
      <c r="L164" s="348" t="s">
        <v>571</v>
      </c>
    </row>
    <row r="165" spans="1:14" x14ac:dyDescent="0.2">
      <c r="A165" s="349" t="s">
        <v>572</v>
      </c>
      <c r="B165" s="356">
        <f>1/'Prod. GEXMRG'!F19</f>
        <v>5.0000000000000001E-3</v>
      </c>
      <c r="C165" s="351">
        <f>C134</f>
        <v>0</v>
      </c>
      <c r="D165" s="351">
        <f>B165*C165</f>
        <v>0</v>
      </c>
      <c r="E165" s="351">
        <f>C135</f>
        <v>0</v>
      </c>
      <c r="F165" s="351">
        <f>B165*E165</f>
        <v>0</v>
      </c>
      <c r="G165" s="351">
        <f>C136</f>
        <v>0</v>
      </c>
      <c r="H165" s="351">
        <f>B165*G165</f>
        <v>0</v>
      </c>
      <c r="I165" s="351">
        <f>C137</f>
        <v>0</v>
      </c>
      <c r="J165" s="351">
        <f>B165*I165</f>
        <v>0</v>
      </c>
      <c r="K165" s="351">
        <f>C138</f>
        <v>0</v>
      </c>
      <c r="L165" s="351">
        <f>B165*K165</f>
        <v>0</v>
      </c>
    </row>
    <row r="166" spans="1:14" x14ac:dyDescent="0.2">
      <c r="A166" s="352" t="s">
        <v>573</v>
      </c>
      <c r="B166" s="350">
        <f>B165/'Prod. GEXMRG'!O19</f>
        <v>1.8518518518518518E-4</v>
      </c>
      <c r="C166" s="351">
        <f>F135</f>
        <v>0</v>
      </c>
      <c r="D166" s="351">
        <f>C166*B166</f>
        <v>0</v>
      </c>
      <c r="E166" s="351">
        <f>F135</f>
        <v>0</v>
      </c>
      <c r="F166" s="351">
        <f>B166*E166</f>
        <v>0</v>
      </c>
      <c r="G166" s="351">
        <f>F135</f>
        <v>0</v>
      </c>
      <c r="H166" s="351">
        <f>B166*G166</f>
        <v>0</v>
      </c>
      <c r="I166" s="351">
        <f>F135</f>
        <v>0</v>
      </c>
      <c r="J166" s="351">
        <f>B166*I166</f>
        <v>0</v>
      </c>
      <c r="K166" s="351">
        <f>F135</f>
        <v>0</v>
      </c>
      <c r="L166" s="351">
        <f>B166*K166</f>
        <v>0</v>
      </c>
    </row>
    <row r="167" spans="1:14" x14ac:dyDescent="0.2">
      <c r="A167" s="353" t="s">
        <v>579</v>
      </c>
      <c r="B167" s="354"/>
      <c r="C167" s="355"/>
      <c r="D167" s="355">
        <f>SUM(D165:D166)</f>
        <v>0</v>
      </c>
      <c r="E167" s="355"/>
      <c r="F167" s="355">
        <f>SUM(F165:F166)</f>
        <v>0</v>
      </c>
      <c r="G167" s="355"/>
      <c r="H167" s="355">
        <f>SUM(H165:H166)</f>
        <v>0</v>
      </c>
      <c r="I167" s="355"/>
      <c r="J167" s="355">
        <f>SUM(J165:J166)</f>
        <v>0</v>
      </c>
      <c r="K167" s="355"/>
      <c r="L167" s="355">
        <f>SUM(L165:L166)</f>
        <v>0</v>
      </c>
    </row>
    <row r="168" spans="1:14" x14ac:dyDescent="0.2">
      <c r="A168" s="317"/>
      <c r="B168" s="321"/>
      <c r="C168" s="321"/>
      <c r="D168" s="321"/>
      <c r="E168" s="321"/>
    </row>
    <row r="169" spans="1:14" ht="14.25" customHeight="1" x14ac:dyDescent="0.2">
      <c r="A169" s="1031" t="s">
        <v>582</v>
      </c>
      <c r="B169" s="1031"/>
      <c r="C169" s="1031" t="s">
        <v>563</v>
      </c>
      <c r="D169" s="1031"/>
      <c r="E169" s="1035" t="s">
        <v>565</v>
      </c>
      <c r="F169" s="1036"/>
      <c r="G169" s="1031" t="s">
        <v>608</v>
      </c>
      <c r="H169" s="1031"/>
      <c r="I169" s="1031" t="s">
        <v>566</v>
      </c>
      <c r="J169" s="1031"/>
      <c r="K169" s="1031" t="s">
        <v>567</v>
      </c>
      <c r="L169" s="1031"/>
    </row>
    <row r="170" spans="1:14" ht="38.25" x14ac:dyDescent="0.2">
      <c r="A170" s="347" t="s">
        <v>568</v>
      </c>
      <c r="B170" s="348" t="s">
        <v>578</v>
      </c>
      <c r="C170" s="348" t="s">
        <v>570</v>
      </c>
      <c r="D170" s="348" t="s">
        <v>571</v>
      </c>
      <c r="E170" s="348" t="s">
        <v>570</v>
      </c>
      <c r="F170" s="348" t="s">
        <v>571</v>
      </c>
      <c r="G170" s="348" t="s">
        <v>570</v>
      </c>
      <c r="H170" s="348" t="s">
        <v>571</v>
      </c>
      <c r="I170" s="348" t="s">
        <v>570</v>
      </c>
      <c r="J170" s="348" t="s">
        <v>571</v>
      </c>
      <c r="K170" s="348" t="s">
        <v>570</v>
      </c>
      <c r="L170" s="348" t="s">
        <v>571</v>
      </c>
    </row>
    <row r="171" spans="1:14" x14ac:dyDescent="0.2">
      <c r="A171" s="349" t="s">
        <v>583</v>
      </c>
      <c r="B171" s="356">
        <f>1/'Prod. GEXMRG'!G19</f>
        <v>3.7037037037037035E-4</v>
      </c>
      <c r="C171" s="351">
        <f>C134</f>
        <v>0</v>
      </c>
      <c r="D171" s="351">
        <f>B171*C171</f>
        <v>0</v>
      </c>
      <c r="E171" s="351">
        <f>C135</f>
        <v>0</v>
      </c>
      <c r="F171" s="351">
        <f>B171*E171</f>
        <v>0</v>
      </c>
      <c r="G171" s="351">
        <f>C136</f>
        <v>0</v>
      </c>
      <c r="H171" s="351">
        <f>B171*G171</f>
        <v>0</v>
      </c>
      <c r="I171" s="351">
        <f>C137</f>
        <v>0</v>
      </c>
      <c r="J171" s="351">
        <f>B171*I171</f>
        <v>0</v>
      </c>
      <c r="K171" s="351">
        <f>C138</f>
        <v>0</v>
      </c>
      <c r="L171" s="351">
        <f>B171*K171</f>
        <v>0</v>
      </c>
    </row>
    <row r="172" spans="1:14" x14ac:dyDescent="0.2">
      <c r="A172" s="352" t="s">
        <v>573</v>
      </c>
      <c r="B172" s="350">
        <f>B171/'Prod. GEXMRG'!O19</f>
        <v>1.3717421124828532E-5</v>
      </c>
      <c r="C172" s="351">
        <f>F135</f>
        <v>0</v>
      </c>
      <c r="D172" s="351">
        <f>B172*C172</f>
        <v>0</v>
      </c>
      <c r="E172" s="351">
        <f>F135</f>
        <v>0</v>
      </c>
      <c r="F172" s="351">
        <f>B172*E172</f>
        <v>0</v>
      </c>
      <c r="G172" s="351">
        <f>F135</f>
        <v>0</v>
      </c>
      <c r="H172" s="351">
        <f>B172*G172</f>
        <v>0</v>
      </c>
      <c r="I172" s="351">
        <f>F135</f>
        <v>0</v>
      </c>
      <c r="J172" s="351">
        <f>B172*I172</f>
        <v>0</v>
      </c>
      <c r="K172" s="351">
        <f>F135</f>
        <v>0</v>
      </c>
      <c r="L172" s="351">
        <f>B172*K172</f>
        <v>0</v>
      </c>
      <c r="M172" s="1037" t="s">
        <v>574</v>
      </c>
      <c r="N172" s="1038"/>
    </row>
    <row r="173" spans="1:14" x14ac:dyDescent="0.2">
      <c r="A173" s="358" t="s">
        <v>584</v>
      </c>
      <c r="B173" s="359"/>
      <c r="C173" s="360"/>
      <c r="D173" s="361">
        <f>SUM(D171:D172)</f>
        <v>0</v>
      </c>
      <c r="E173" s="360"/>
      <c r="F173" s="361">
        <f>SUM(F171:F172)</f>
        <v>0</v>
      </c>
      <c r="G173" s="360"/>
      <c r="H173" s="361">
        <f>SUM(H171:H172)</f>
        <v>0</v>
      </c>
      <c r="I173" s="360"/>
      <c r="J173" s="361">
        <f>SUM(J171:J172)</f>
        <v>0</v>
      </c>
      <c r="K173" s="360"/>
      <c r="L173" s="361">
        <f>SUM(L171:L172)</f>
        <v>0</v>
      </c>
      <c r="M173" s="515">
        <v>1.37</v>
      </c>
      <c r="N173" s="516">
        <v>2.4700000000000002</v>
      </c>
    </row>
    <row r="174" spans="1:14" x14ac:dyDescent="0.2">
      <c r="A174" s="349" t="s">
        <v>585</v>
      </c>
      <c r="B174" s="356">
        <f>1/'Prod. GEXMRG'!H19</f>
        <v>1.0000000000000001E-5</v>
      </c>
      <c r="C174" s="351">
        <f>C134</f>
        <v>0</v>
      </c>
      <c r="D174" s="351">
        <f>B174*C174</f>
        <v>0</v>
      </c>
      <c r="E174" s="351">
        <f>C135</f>
        <v>0</v>
      </c>
      <c r="F174" s="351">
        <f>B174*E174</f>
        <v>0</v>
      </c>
      <c r="G174" s="351">
        <f>C136</f>
        <v>0</v>
      </c>
      <c r="H174" s="351">
        <f>B174*G174</f>
        <v>0</v>
      </c>
      <c r="I174" s="351">
        <f>C137</f>
        <v>0</v>
      </c>
      <c r="J174" s="351">
        <f>B174*I174</f>
        <v>0</v>
      </c>
      <c r="K174" s="351">
        <f>C138</f>
        <v>0</v>
      </c>
      <c r="L174" s="351">
        <f>B174*K174</f>
        <v>0</v>
      </c>
    </row>
    <row r="175" spans="1:14" x14ac:dyDescent="0.2">
      <c r="A175" s="352" t="s">
        <v>573</v>
      </c>
      <c r="B175" s="350">
        <f>B174/'Prod. GEXMRG'!O19</f>
        <v>3.7037037037037042E-7</v>
      </c>
      <c r="C175" s="351">
        <f>F135</f>
        <v>0</v>
      </c>
      <c r="D175" s="351">
        <f>B175*C175</f>
        <v>0</v>
      </c>
      <c r="E175" s="351">
        <f>F135</f>
        <v>0</v>
      </c>
      <c r="F175" s="351">
        <f>B175*E175</f>
        <v>0</v>
      </c>
      <c r="G175" s="351">
        <f>F135</f>
        <v>0</v>
      </c>
      <c r="H175" s="351">
        <f>B175*G175</f>
        <v>0</v>
      </c>
      <c r="I175" s="351">
        <f>F135</f>
        <v>0</v>
      </c>
      <c r="J175" s="351">
        <f>B175*I175</f>
        <v>0</v>
      </c>
      <c r="K175" s="351">
        <f>F135</f>
        <v>0</v>
      </c>
      <c r="L175" s="351">
        <f>B175*K175</f>
        <v>0</v>
      </c>
    </row>
    <row r="176" spans="1:14" x14ac:dyDescent="0.2">
      <c r="A176" s="358" t="s">
        <v>586</v>
      </c>
      <c r="B176" s="362"/>
      <c r="C176" s="360"/>
      <c r="D176" s="361">
        <f>SUM(D174:D175)</f>
        <v>0</v>
      </c>
      <c r="E176" s="360"/>
      <c r="F176" s="361">
        <f>SUM(F174:F175)</f>
        <v>0</v>
      </c>
      <c r="G176" s="360"/>
      <c r="H176" s="361">
        <f>SUM(H174:H175)</f>
        <v>0</v>
      </c>
      <c r="I176" s="360"/>
      <c r="J176" s="361">
        <f>SUM(J174:J175)</f>
        <v>0</v>
      </c>
      <c r="K176" s="360"/>
      <c r="L176" s="361">
        <f>SUM(L174:L175)</f>
        <v>0</v>
      </c>
    </row>
    <row r="177" spans="1:14" x14ac:dyDescent="0.2">
      <c r="A177" s="349" t="s">
        <v>587</v>
      </c>
      <c r="B177" s="356">
        <f>1/'Prod. GEXMRG'!I19</f>
        <v>1.1111111111111112E-4</v>
      </c>
      <c r="C177" s="351">
        <f>C134</f>
        <v>0</v>
      </c>
      <c r="D177" s="351">
        <f>B177*C177</f>
        <v>0</v>
      </c>
      <c r="E177" s="351">
        <f>C135</f>
        <v>0</v>
      </c>
      <c r="F177" s="351">
        <f>B177*E177</f>
        <v>0</v>
      </c>
      <c r="G177" s="351">
        <f>C136</f>
        <v>0</v>
      </c>
      <c r="H177" s="351">
        <f>B177*G177</f>
        <v>0</v>
      </c>
      <c r="I177" s="351">
        <f>C137</f>
        <v>0</v>
      </c>
      <c r="J177" s="351">
        <f>B177*I177</f>
        <v>0</v>
      </c>
      <c r="K177" s="351">
        <f>C138</f>
        <v>0</v>
      </c>
      <c r="L177" s="351">
        <f>B177*K177</f>
        <v>0</v>
      </c>
    </row>
    <row r="178" spans="1:14" x14ac:dyDescent="0.2">
      <c r="A178" s="352" t="s">
        <v>573</v>
      </c>
      <c r="B178" s="350">
        <f>B177/'Prod. GEXMRG'!O19</f>
        <v>4.11522633744856E-6</v>
      </c>
      <c r="C178" s="351">
        <f>F135</f>
        <v>0</v>
      </c>
      <c r="D178" s="351">
        <f>B178*C178</f>
        <v>0</v>
      </c>
      <c r="E178" s="351">
        <f>F135</f>
        <v>0</v>
      </c>
      <c r="F178" s="351">
        <f>B178*E178</f>
        <v>0</v>
      </c>
      <c r="G178" s="351">
        <f>F135</f>
        <v>0</v>
      </c>
      <c r="H178" s="351">
        <f>B178*G178</f>
        <v>0</v>
      </c>
      <c r="I178" s="351">
        <f>F135</f>
        <v>0</v>
      </c>
      <c r="J178" s="351">
        <f>B178*I178</f>
        <v>0</v>
      </c>
      <c r="K178" s="351">
        <f>F135</f>
        <v>0</v>
      </c>
      <c r="L178" s="351">
        <f>B178*K178</f>
        <v>0</v>
      </c>
    </row>
    <row r="179" spans="1:14" x14ac:dyDescent="0.2">
      <c r="A179" s="358" t="s">
        <v>588</v>
      </c>
      <c r="B179" s="362"/>
      <c r="C179" s="360"/>
      <c r="D179" s="361">
        <f>SUM(D177:D178)</f>
        <v>0</v>
      </c>
      <c r="E179" s="360"/>
      <c r="F179" s="361">
        <f>SUM(F177:F178)</f>
        <v>0</v>
      </c>
      <c r="G179" s="360"/>
      <c r="H179" s="361">
        <f>SUM(H177:H178)</f>
        <v>0</v>
      </c>
      <c r="I179" s="360"/>
      <c r="J179" s="361">
        <f>SUM(J177:J178)</f>
        <v>0</v>
      </c>
      <c r="K179" s="360"/>
      <c r="L179" s="361">
        <f>SUM(L177:L178)</f>
        <v>0</v>
      </c>
    </row>
    <row r="180" spans="1:14" x14ac:dyDescent="0.2">
      <c r="A180" s="317"/>
      <c r="B180" s="320"/>
      <c r="C180" s="320"/>
      <c r="D180" s="320"/>
      <c r="E180" s="320"/>
    </row>
    <row r="181" spans="1:14" ht="14.25" customHeight="1" x14ac:dyDescent="0.2">
      <c r="A181" s="1034" t="s">
        <v>589</v>
      </c>
      <c r="B181" s="1034"/>
      <c r="C181" s="1034" t="s">
        <v>563</v>
      </c>
      <c r="D181" s="1034"/>
      <c r="E181" s="1032" t="s">
        <v>565</v>
      </c>
      <c r="F181" s="1033"/>
      <c r="G181" s="1034" t="s">
        <v>607</v>
      </c>
      <c r="H181" s="1034"/>
      <c r="I181" s="1034" t="s">
        <v>566</v>
      </c>
      <c r="J181" s="1034"/>
      <c r="K181" s="1034" t="s">
        <v>567</v>
      </c>
      <c r="L181" s="1034"/>
    </row>
    <row r="182" spans="1:14" ht="38.25" x14ac:dyDescent="0.2">
      <c r="A182" s="347" t="s">
        <v>568</v>
      </c>
      <c r="B182" s="348" t="s">
        <v>578</v>
      </c>
      <c r="C182" s="348" t="s">
        <v>570</v>
      </c>
      <c r="D182" s="348" t="s">
        <v>571</v>
      </c>
      <c r="E182" s="348" t="s">
        <v>570</v>
      </c>
      <c r="F182" s="348" t="s">
        <v>571</v>
      </c>
      <c r="G182" s="348" t="s">
        <v>570</v>
      </c>
      <c r="H182" s="348" t="s">
        <v>571</v>
      </c>
      <c r="I182" s="348" t="s">
        <v>570</v>
      </c>
      <c r="J182" s="348" t="s">
        <v>571</v>
      </c>
      <c r="K182" s="348" t="s">
        <v>570</v>
      </c>
      <c r="L182" s="348" t="s">
        <v>571</v>
      </c>
    </row>
    <row r="183" spans="1:14" x14ac:dyDescent="0.2">
      <c r="A183" s="363" t="s">
        <v>590</v>
      </c>
      <c r="B183" s="356">
        <f>(1/'Prod. GEXMRG'!J19)*(1/(30/7*44*6))*8</f>
        <v>4.4191919191919199E-5</v>
      </c>
      <c r="C183" s="788">
        <f>E134</f>
        <v>0</v>
      </c>
      <c r="D183" s="351">
        <f>B183*C183</f>
        <v>0</v>
      </c>
      <c r="E183" s="788">
        <f>E135</f>
        <v>0</v>
      </c>
      <c r="F183" s="351">
        <f>B183*E183</f>
        <v>0</v>
      </c>
      <c r="G183" s="788">
        <f>E136</f>
        <v>0</v>
      </c>
      <c r="H183" s="351">
        <f>B183*G183</f>
        <v>0</v>
      </c>
      <c r="I183" s="788">
        <f>E137</f>
        <v>0</v>
      </c>
      <c r="J183" s="351">
        <f>B183*I183</f>
        <v>0</v>
      </c>
      <c r="K183" s="788">
        <f>E138</f>
        <v>0</v>
      </c>
      <c r="L183" s="351">
        <f>B183*K183</f>
        <v>0</v>
      </c>
    </row>
    <row r="184" spans="1:14" x14ac:dyDescent="0.2">
      <c r="A184" s="352" t="s">
        <v>573</v>
      </c>
      <c r="B184" s="356">
        <f>B183/4</f>
        <v>1.10479797979798E-5</v>
      </c>
      <c r="C184" s="351">
        <f>F135</f>
        <v>0</v>
      </c>
      <c r="D184" s="351">
        <f>B184*C184</f>
        <v>0</v>
      </c>
      <c r="E184" s="351">
        <f>F135</f>
        <v>0</v>
      </c>
      <c r="F184" s="351">
        <f>B184*E184</f>
        <v>0</v>
      </c>
      <c r="G184" s="351">
        <f>F135</f>
        <v>0</v>
      </c>
      <c r="H184" s="351">
        <f>B184*G184</f>
        <v>0</v>
      </c>
      <c r="I184" s="351">
        <f>F135</f>
        <v>0</v>
      </c>
      <c r="J184" s="351">
        <f>B184*I184</f>
        <v>0</v>
      </c>
      <c r="K184" s="351">
        <f>F135</f>
        <v>0</v>
      </c>
      <c r="L184" s="351">
        <f>B184*K184</f>
        <v>0</v>
      </c>
      <c r="M184" s="1037" t="s">
        <v>574</v>
      </c>
      <c r="N184" s="1038"/>
    </row>
    <row r="185" spans="1:14" x14ac:dyDescent="0.2">
      <c r="A185" s="364" t="s">
        <v>591</v>
      </c>
      <c r="B185" s="365"/>
      <c r="C185" s="366"/>
      <c r="D185" s="367">
        <f>SUM(D183:D184)</f>
        <v>0</v>
      </c>
      <c r="E185" s="366"/>
      <c r="F185" s="367">
        <f>SUM(F183:F184)</f>
        <v>0</v>
      </c>
      <c r="G185" s="366"/>
      <c r="H185" s="367">
        <f>SUM(H183:H184)</f>
        <v>0</v>
      </c>
      <c r="I185" s="366"/>
      <c r="J185" s="367">
        <f>SUM(J183:J184)</f>
        <v>0</v>
      </c>
      <c r="K185" s="366"/>
      <c r="L185" s="367">
        <f>SUM(L183:L184)</f>
        <v>0</v>
      </c>
      <c r="M185" s="515">
        <v>0.2</v>
      </c>
      <c r="N185" s="516">
        <v>0.3</v>
      </c>
    </row>
    <row r="186" spans="1:14" x14ac:dyDescent="0.2">
      <c r="A186" s="363" t="s">
        <v>592</v>
      </c>
      <c r="B186" s="356">
        <f>1/'Prod. GEXMRG'!K19*16*(1/188.76)</f>
        <v>2.2306242401936183E-4</v>
      </c>
      <c r="C186" s="351">
        <f>C134</f>
        <v>0</v>
      </c>
      <c r="D186" s="351">
        <f>B186*C186</f>
        <v>0</v>
      </c>
      <c r="E186" s="351">
        <f>C135</f>
        <v>0</v>
      </c>
      <c r="F186" s="351">
        <f>B186*E186</f>
        <v>0</v>
      </c>
      <c r="G186" s="351">
        <f>C136</f>
        <v>0</v>
      </c>
      <c r="H186" s="351">
        <f>B186*G186</f>
        <v>0</v>
      </c>
      <c r="I186" s="351">
        <f>C137</f>
        <v>0</v>
      </c>
      <c r="J186" s="351">
        <f>B186*I186</f>
        <v>0</v>
      </c>
      <c r="K186" s="351">
        <f>C138</f>
        <v>0</v>
      </c>
      <c r="L186" s="351">
        <f>B186*K186</f>
        <v>0</v>
      </c>
    </row>
    <row r="187" spans="1:14" x14ac:dyDescent="0.2">
      <c r="A187" s="352" t="s">
        <v>573</v>
      </c>
      <c r="B187" s="356">
        <f>1/('Prod. GEXMRG'!O19*'Prod. GEXMRG'!K19)*16*(1/188.76)</f>
        <v>8.2615712599763646E-6</v>
      </c>
      <c r="C187" s="351">
        <f>F135</f>
        <v>0</v>
      </c>
      <c r="D187" s="351">
        <f>B187*C187</f>
        <v>0</v>
      </c>
      <c r="E187" s="351">
        <f>F135</f>
        <v>0</v>
      </c>
      <c r="F187" s="351">
        <f>B187*E187</f>
        <v>0</v>
      </c>
      <c r="G187" s="351">
        <f>F135</f>
        <v>0</v>
      </c>
      <c r="H187" s="351">
        <f>B187*G187</f>
        <v>0</v>
      </c>
      <c r="I187" s="351">
        <f>F135</f>
        <v>0</v>
      </c>
      <c r="J187" s="351">
        <f>B187*I187</f>
        <v>0</v>
      </c>
      <c r="K187" s="351">
        <f>F135</f>
        <v>0</v>
      </c>
      <c r="L187" s="351">
        <f>B187*K187</f>
        <v>0</v>
      </c>
      <c r="M187" s="1037"/>
      <c r="N187" s="1038"/>
    </row>
    <row r="188" spans="1:14" x14ac:dyDescent="0.2">
      <c r="A188" s="364" t="s">
        <v>593</v>
      </c>
      <c r="B188" s="365"/>
      <c r="C188" s="366"/>
      <c r="D188" s="367">
        <f>SUM(D186:D187)</f>
        <v>0</v>
      </c>
      <c r="E188" s="366"/>
      <c r="F188" s="367">
        <f>SUM(F186:F187)</f>
        <v>0</v>
      </c>
      <c r="G188" s="366"/>
      <c r="H188" s="367">
        <f>SUM(H186:H187)</f>
        <v>0</v>
      </c>
      <c r="I188" s="366"/>
      <c r="J188" s="367">
        <f>SUM(J186:J187)</f>
        <v>0</v>
      </c>
      <c r="K188" s="366"/>
      <c r="L188" s="367">
        <f>SUM(L186:L187)</f>
        <v>0</v>
      </c>
      <c r="M188" s="515"/>
      <c r="N188" s="516"/>
    </row>
    <row r="189" spans="1:14" x14ac:dyDescent="0.2">
      <c r="A189" s="349" t="s">
        <v>594</v>
      </c>
      <c r="B189" s="356">
        <f>1/'Prod. GEXMRG'!L19*16*(1/188.76)</f>
        <v>2.2306242401936183E-4</v>
      </c>
      <c r="C189" s="351">
        <f>C134</f>
        <v>0</v>
      </c>
      <c r="D189" s="351">
        <f>B189*C189</f>
        <v>0</v>
      </c>
      <c r="E189" s="351">
        <f>C135</f>
        <v>0</v>
      </c>
      <c r="F189" s="351">
        <f>B189*E189</f>
        <v>0</v>
      </c>
      <c r="G189" s="351">
        <f>C136</f>
        <v>0</v>
      </c>
      <c r="H189" s="351">
        <f>B189*G189</f>
        <v>0</v>
      </c>
      <c r="I189" s="351">
        <f>C137</f>
        <v>0</v>
      </c>
      <c r="J189" s="351">
        <f>B189*I189</f>
        <v>0</v>
      </c>
      <c r="K189" s="351">
        <f>C138</f>
        <v>0</v>
      </c>
      <c r="L189" s="351">
        <f>B189*K189</f>
        <v>0</v>
      </c>
    </row>
    <row r="190" spans="1:14" x14ac:dyDescent="0.2">
      <c r="A190" s="352" t="s">
        <v>573</v>
      </c>
      <c r="B190" s="356">
        <f>1/('Prod. GEXMRG'!O19*'Prod. GEXMRG'!L19)*16*(1/188.76)</f>
        <v>8.2615712599763646E-6</v>
      </c>
      <c r="C190" s="351">
        <f>F135</f>
        <v>0</v>
      </c>
      <c r="D190" s="351">
        <f>B190*C190</f>
        <v>0</v>
      </c>
      <c r="E190" s="351">
        <f>F135</f>
        <v>0</v>
      </c>
      <c r="F190" s="351">
        <f>B190*E190</f>
        <v>0</v>
      </c>
      <c r="G190" s="351">
        <f>F135</f>
        <v>0</v>
      </c>
      <c r="H190" s="351">
        <f>B190*G190</f>
        <v>0</v>
      </c>
      <c r="I190" s="351">
        <f>F135</f>
        <v>0</v>
      </c>
      <c r="J190" s="351">
        <f>B190*I190</f>
        <v>0</v>
      </c>
      <c r="K190" s="351">
        <f>F135</f>
        <v>0</v>
      </c>
      <c r="L190" s="351">
        <f>B190*K190</f>
        <v>0</v>
      </c>
      <c r="M190" s="1037" t="s">
        <v>574</v>
      </c>
      <c r="N190" s="1038"/>
    </row>
    <row r="191" spans="1:14" x14ac:dyDescent="0.2">
      <c r="A191" s="364" t="s">
        <v>595</v>
      </c>
      <c r="B191" s="365"/>
      <c r="C191" s="366"/>
      <c r="D191" s="367">
        <f>SUM(D189:D190)</f>
        <v>0</v>
      </c>
      <c r="E191" s="366"/>
      <c r="F191" s="367">
        <f>SUM(F189:F190)</f>
        <v>0</v>
      </c>
      <c r="G191" s="366"/>
      <c r="H191" s="367">
        <f>SUM(H189:H190)</f>
        <v>0</v>
      </c>
      <c r="I191" s="366"/>
      <c r="J191" s="367">
        <f>SUM(J189:J190)</f>
        <v>0</v>
      </c>
      <c r="K191" s="366"/>
      <c r="L191" s="367">
        <f>SUM(L189:L190)</f>
        <v>0</v>
      </c>
      <c r="M191" s="515">
        <v>0.82</v>
      </c>
      <c r="N191" s="516">
        <v>1.26</v>
      </c>
    </row>
    <row r="192" spans="1:14" x14ac:dyDescent="0.2">
      <c r="A192" s="316"/>
    </row>
  </sheetData>
  <mergeCells count="68">
    <mergeCell ref="A21:F21"/>
    <mergeCell ref="A1:F1"/>
    <mergeCell ref="A2:F2"/>
    <mergeCell ref="A3:F3"/>
    <mergeCell ref="A9:F9"/>
    <mergeCell ref="A20:B20"/>
    <mergeCell ref="A124:B124"/>
    <mergeCell ref="A50:B50"/>
    <mergeCell ref="A51:F51"/>
    <mergeCell ref="A61:B61"/>
    <mergeCell ref="A62:F62"/>
    <mergeCell ref="A92:B92"/>
    <mergeCell ref="A112:A116"/>
    <mergeCell ref="A119:F119"/>
    <mergeCell ref="A120:F120"/>
    <mergeCell ref="A121:B121"/>
    <mergeCell ref="A122:B122"/>
    <mergeCell ref="A123:B123"/>
    <mergeCell ref="E145:F145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45:B145"/>
    <mergeCell ref="C145:D145"/>
    <mergeCell ref="A151:B151"/>
    <mergeCell ref="C151:D151"/>
    <mergeCell ref="E151:F151"/>
    <mergeCell ref="G151:H151"/>
    <mergeCell ref="I151:J151"/>
    <mergeCell ref="K157:L157"/>
    <mergeCell ref="G145:H145"/>
    <mergeCell ref="I145:J145"/>
    <mergeCell ref="K145:L145"/>
    <mergeCell ref="M148:N148"/>
    <mergeCell ref="K151:L151"/>
    <mergeCell ref="A157:B157"/>
    <mergeCell ref="C157:D157"/>
    <mergeCell ref="E157:F157"/>
    <mergeCell ref="G157:H157"/>
    <mergeCell ref="I157:J157"/>
    <mergeCell ref="K169:L169"/>
    <mergeCell ref="A163:B163"/>
    <mergeCell ref="C163:D163"/>
    <mergeCell ref="E163:F163"/>
    <mergeCell ref="G163:H163"/>
    <mergeCell ref="I163:J163"/>
    <mergeCell ref="K163:L163"/>
    <mergeCell ref="A169:B169"/>
    <mergeCell ref="C169:D169"/>
    <mergeCell ref="E169:F169"/>
    <mergeCell ref="G169:H169"/>
    <mergeCell ref="I169:J169"/>
    <mergeCell ref="M184:N184"/>
    <mergeCell ref="M187:N187"/>
    <mergeCell ref="M190:N190"/>
    <mergeCell ref="M172:N172"/>
    <mergeCell ref="A181:B181"/>
    <mergeCell ref="C181:D181"/>
    <mergeCell ref="E181:F181"/>
    <mergeCell ref="G181:H181"/>
    <mergeCell ref="I181:J181"/>
    <mergeCell ref="K181:L181"/>
  </mergeCells>
  <hyperlinks>
    <hyperlink ref="O148" r:id="rId1"/>
  </hyperlink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6E7"/>
  </sheetPr>
  <dimension ref="A1:AMB148"/>
  <sheetViews>
    <sheetView topLeftCell="A70" zoomScale="80" zoomScaleNormal="80" workbookViewId="0">
      <selection activeCell="H142" sqref="H142"/>
    </sheetView>
  </sheetViews>
  <sheetFormatPr defaultRowHeight="14.25" x14ac:dyDescent="0.2"/>
  <cols>
    <col min="1" max="1" width="55.5" style="84" customWidth="1"/>
    <col min="2" max="2" width="17" style="84" customWidth="1"/>
    <col min="3" max="3" width="15.25" style="84" customWidth="1"/>
    <col min="4" max="4" width="16.25" style="84" customWidth="1"/>
    <col min="5" max="5" width="13.125" style="84" customWidth="1"/>
    <col min="6" max="1016" width="9" style="84"/>
  </cols>
  <sheetData>
    <row r="1" spans="1:4" ht="15.75" x14ac:dyDescent="0.2">
      <c r="A1" s="1041" t="s">
        <v>449</v>
      </c>
      <c r="B1" s="1042"/>
      <c r="C1" s="1042"/>
      <c r="D1" s="1043"/>
    </row>
    <row r="2" spans="1:4" ht="15.75" x14ac:dyDescent="0.2">
      <c r="A2" s="1044" t="s">
        <v>450</v>
      </c>
      <c r="B2" s="1011"/>
      <c r="C2" s="1011"/>
      <c r="D2" s="1045"/>
    </row>
    <row r="3" spans="1:4" ht="15.75" customHeight="1" x14ac:dyDescent="0.2">
      <c r="A3" s="1044" t="s">
        <v>451</v>
      </c>
      <c r="B3" s="1011"/>
      <c r="C3" s="1011"/>
      <c r="D3" s="1045"/>
    </row>
    <row r="4" spans="1:4" ht="15.75" x14ac:dyDescent="0.2">
      <c r="A4" s="433"/>
      <c r="B4" s="86"/>
      <c r="C4" s="87" t="s">
        <v>452</v>
      </c>
      <c r="D4" s="434" t="s">
        <v>453</v>
      </c>
    </row>
    <row r="5" spans="1:4" x14ac:dyDescent="0.2">
      <c r="A5" s="435"/>
      <c r="B5" s="89" t="s">
        <v>456</v>
      </c>
      <c r="C5" s="90">
        <f>MC!D11</f>
        <v>0</v>
      </c>
      <c r="D5" s="436">
        <f>MC!E11</f>
        <v>0</v>
      </c>
    </row>
    <row r="6" spans="1:4" x14ac:dyDescent="0.2">
      <c r="A6" s="435"/>
      <c r="B6" s="89" t="s">
        <v>457</v>
      </c>
      <c r="C6" s="91">
        <f>MC!D8</f>
        <v>0</v>
      </c>
      <c r="D6" s="437">
        <f>MC!D8</f>
        <v>0</v>
      </c>
    </row>
    <row r="7" spans="1:4" x14ac:dyDescent="0.2">
      <c r="A7" s="435"/>
      <c r="B7" s="89" t="s">
        <v>458</v>
      </c>
      <c r="C7" s="91">
        <f>MC!C8</f>
        <v>0</v>
      </c>
      <c r="D7" s="437">
        <f>MC!C8</f>
        <v>0</v>
      </c>
    </row>
    <row r="8" spans="1:4" x14ac:dyDescent="0.2">
      <c r="A8" s="435"/>
      <c r="B8" s="89" t="s">
        <v>459</v>
      </c>
      <c r="C8" s="92">
        <f>MC!E8</f>
        <v>0</v>
      </c>
      <c r="D8" s="438">
        <f>MC!E8</f>
        <v>0</v>
      </c>
    </row>
    <row r="9" spans="1:4" x14ac:dyDescent="0.2">
      <c r="A9" s="1046"/>
      <c r="B9" s="1012"/>
      <c r="C9" s="1012"/>
      <c r="D9" s="1047"/>
    </row>
    <row r="10" spans="1:4" ht="66.75" customHeight="1" x14ac:dyDescent="0.2">
      <c r="A10" s="439" t="s">
        <v>460</v>
      </c>
      <c r="B10" s="245" t="s">
        <v>461</v>
      </c>
      <c r="C10" s="245" t="s">
        <v>596</v>
      </c>
      <c r="D10" s="440" t="s">
        <v>597</v>
      </c>
    </row>
    <row r="11" spans="1:4" ht="14.25" customHeight="1" x14ac:dyDescent="0.2">
      <c r="A11" s="441" t="s">
        <v>466</v>
      </c>
      <c r="B11" s="395"/>
      <c r="C11" s="395"/>
      <c r="D11" s="442"/>
    </row>
    <row r="12" spans="1:4" ht="14.25" customHeight="1" x14ac:dyDescent="0.2">
      <c r="A12" s="443" t="s">
        <v>467</v>
      </c>
      <c r="B12" s="94" t="s">
        <v>468</v>
      </c>
      <c r="C12" s="94" t="s">
        <v>469</v>
      </c>
      <c r="D12" s="444" t="s">
        <v>469</v>
      </c>
    </row>
    <row r="13" spans="1:4" ht="14.25" customHeight="1" x14ac:dyDescent="0.2">
      <c r="A13" s="445" t="s">
        <v>470</v>
      </c>
      <c r="B13" s="97"/>
      <c r="C13" s="98">
        <f>C5</f>
        <v>0</v>
      </c>
      <c r="D13" s="446">
        <f>D5</f>
        <v>0</v>
      </c>
    </row>
    <row r="14" spans="1:4" ht="14.25" customHeight="1" x14ac:dyDescent="0.2">
      <c r="A14" s="445" t="s">
        <v>471</v>
      </c>
      <c r="B14" s="100">
        <v>0</v>
      </c>
      <c r="C14" s="98">
        <f>C13*$B$14</f>
        <v>0</v>
      </c>
      <c r="D14" s="446">
        <f>D13*$B$14</f>
        <v>0</v>
      </c>
    </row>
    <row r="15" spans="1:4" ht="14.25" customHeight="1" x14ac:dyDescent="0.2">
      <c r="A15" s="445" t="s">
        <v>472</v>
      </c>
      <c r="B15" s="101"/>
      <c r="C15" s="98"/>
      <c r="D15" s="446"/>
    </row>
    <row r="16" spans="1:4" ht="14.25" customHeight="1" x14ac:dyDescent="0.2">
      <c r="A16" s="445" t="s">
        <v>473</v>
      </c>
      <c r="B16" s="101"/>
      <c r="C16" s="98"/>
      <c r="D16" s="446"/>
    </row>
    <row r="17" spans="1:4" ht="14.25" customHeight="1" x14ac:dyDescent="0.2">
      <c r="A17" s="445" t="s">
        <v>474</v>
      </c>
      <c r="B17" s="101"/>
      <c r="C17" s="98"/>
      <c r="D17" s="446"/>
    </row>
    <row r="18" spans="1:4" ht="14.25" customHeight="1" x14ac:dyDescent="0.2">
      <c r="A18" s="445" t="s">
        <v>475</v>
      </c>
      <c r="B18" s="102"/>
      <c r="C18" s="98"/>
      <c r="D18" s="446"/>
    </row>
    <row r="19" spans="1:4" ht="14.25" customHeight="1" x14ac:dyDescent="0.2">
      <c r="A19" s="447" t="s">
        <v>476</v>
      </c>
      <c r="B19" s="104"/>
      <c r="C19" s="113">
        <f>SUM(C13:C18)</f>
        <v>0</v>
      </c>
      <c r="D19" s="448">
        <f>SUM(D13:D18)</f>
        <v>0</v>
      </c>
    </row>
    <row r="20" spans="1:4" ht="14.25" customHeight="1" x14ac:dyDescent="0.2">
      <c r="A20" s="1048"/>
      <c r="B20" s="1013"/>
      <c r="C20" s="106"/>
      <c r="D20" s="450"/>
    </row>
    <row r="21" spans="1:4" ht="14.25" customHeight="1" x14ac:dyDescent="0.2">
      <c r="A21" s="1039" t="s">
        <v>477</v>
      </c>
      <c r="B21" s="1014"/>
      <c r="C21" s="1014"/>
      <c r="D21" s="1040"/>
    </row>
    <row r="22" spans="1:4" ht="14.25" customHeight="1" x14ac:dyDescent="0.2">
      <c r="A22" s="451" t="s">
        <v>478</v>
      </c>
      <c r="B22" s="109" t="s">
        <v>468</v>
      </c>
      <c r="C22" s="109" t="s">
        <v>469</v>
      </c>
      <c r="D22" s="452" t="s">
        <v>469</v>
      </c>
    </row>
    <row r="23" spans="1:4" ht="14.25" customHeight="1" x14ac:dyDescent="0.2">
      <c r="A23" s="453" t="s">
        <v>479</v>
      </c>
      <c r="B23" s="100">
        <f>1/12</f>
        <v>8.3333333333333329E-2</v>
      </c>
      <c r="C23" s="98">
        <f>ROUND($B23*C$19,2)</f>
        <v>0</v>
      </c>
      <c r="D23" s="446">
        <f>ROUND($B23*D$19,2)</f>
        <v>0</v>
      </c>
    </row>
    <row r="24" spans="1:4" ht="14.25" customHeight="1" x14ac:dyDescent="0.2">
      <c r="A24" s="453" t="s">
        <v>480</v>
      </c>
      <c r="B24" s="100">
        <f>1/3*1/12</f>
        <v>2.7777777777777776E-2</v>
      </c>
      <c r="C24" s="98">
        <f>C$19*$B$24</f>
        <v>0</v>
      </c>
      <c r="D24" s="446">
        <f>D$19*$B$24</f>
        <v>0</v>
      </c>
    </row>
    <row r="25" spans="1:4" ht="14.25" customHeight="1" x14ac:dyDescent="0.2">
      <c r="A25" s="447" t="s">
        <v>476</v>
      </c>
      <c r="B25" s="112">
        <f>SUM(B23:B24)</f>
        <v>0.1111111111111111</v>
      </c>
      <c r="C25" s="113">
        <f>SUM(C23:C24)</f>
        <v>0</v>
      </c>
      <c r="D25" s="448">
        <f>SUM(D23:D24)</f>
        <v>0</v>
      </c>
    </row>
    <row r="26" spans="1:4" ht="14.25" customHeight="1" x14ac:dyDescent="0.2">
      <c r="A26" s="451" t="s">
        <v>481</v>
      </c>
      <c r="B26" s="109" t="s">
        <v>468</v>
      </c>
      <c r="C26" s="109" t="s">
        <v>469</v>
      </c>
      <c r="D26" s="452" t="s">
        <v>469</v>
      </c>
    </row>
    <row r="27" spans="1:4" ht="14.25" customHeight="1" x14ac:dyDescent="0.2">
      <c r="A27" s="451" t="s">
        <v>482</v>
      </c>
      <c r="B27" s="115"/>
      <c r="C27" s="115"/>
      <c r="D27" s="454"/>
    </row>
    <row r="28" spans="1:4" ht="14.25" customHeight="1" x14ac:dyDescent="0.2">
      <c r="A28" s="453" t="s">
        <v>483</v>
      </c>
      <c r="B28" s="100">
        <v>0.2</v>
      </c>
      <c r="C28" s="117">
        <f t="shared" ref="C28:C35" si="0">ROUND(($C$19+$C$25)*B28,2)</f>
        <v>0</v>
      </c>
      <c r="D28" s="455">
        <f t="shared" ref="D28:D35" si="1">ROUND(($D$19+$D$25)*B28,2)</f>
        <v>0</v>
      </c>
    </row>
    <row r="29" spans="1:4" ht="14.25" customHeight="1" x14ac:dyDescent="0.2">
      <c r="A29" s="453" t="s">
        <v>484</v>
      </c>
      <c r="B29" s="100">
        <v>2.5000000000000001E-2</v>
      </c>
      <c r="C29" s="117">
        <f t="shared" si="0"/>
        <v>0</v>
      </c>
      <c r="D29" s="455">
        <f t="shared" si="1"/>
        <v>0</v>
      </c>
    </row>
    <row r="30" spans="1:4" ht="14.25" customHeight="1" x14ac:dyDescent="0.2">
      <c r="A30" s="453" t="s">
        <v>485</v>
      </c>
      <c r="B30" s="100">
        <v>0.03</v>
      </c>
      <c r="C30" s="117">
        <f t="shared" si="0"/>
        <v>0</v>
      </c>
      <c r="D30" s="455">
        <f t="shared" si="1"/>
        <v>0</v>
      </c>
    </row>
    <row r="31" spans="1:4" ht="14.25" customHeight="1" x14ac:dyDescent="0.2">
      <c r="A31" s="453" t="s">
        <v>486</v>
      </c>
      <c r="B31" s="100">
        <v>1.4999999999999999E-2</v>
      </c>
      <c r="C31" s="117">
        <f t="shared" si="0"/>
        <v>0</v>
      </c>
      <c r="D31" s="455">
        <f t="shared" si="1"/>
        <v>0</v>
      </c>
    </row>
    <row r="32" spans="1:4" ht="14.25" customHeight="1" x14ac:dyDescent="0.2">
      <c r="A32" s="453" t="s">
        <v>487</v>
      </c>
      <c r="B32" s="100">
        <v>0.01</v>
      </c>
      <c r="C32" s="117">
        <f t="shared" si="0"/>
        <v>0</v>
      </c>
      <c r="D32" s="455">
        <f t="shared" si="1"/>
        <v>0</v>
      </c>
    </row>
    <row r="33" spans="1:24" ht="14.25" customHeight="1" x14ac:dyDescent="0.2">
      <c r="A33" s="453" t="s">
        <v>488</v>
      </c>
      <c r="B33" s="100">
        <v>6.0000000000000001E-3</v>
      </c>
      <c r="C33" s="117">
        <f t="shared" si="0"/>
        <v>0</v>
      </c>
      <c r="D33" s="455">
        <f t="shared" si="1"/>
        <v>0</v>
      </c>
    </row>
    <row r="34" spans="1:24" ht="14.25" customHeight="1" x14ac:dyDescent="0.2">
      <c r="A34" s="453" t="s">
        <v>489</v>
      </c>
      <c r="B34" s="100">
        <v>2E-3</v>
      </c>
      <c r="C34" s="117">
        <f t="shared" si="0"/>
        <v>0</v>
      </c>
      <c r="D34" s="455">
        <f t="shared" si="1"/>
        <v>0</v>
      </c>
    </row>
    <row r="35" spans="1:24" ht="14.25" customHeight="1" x14ac:dyDescent="0.2">
      <c r="A35" s="453" t="s">
        <v>490</v>
      </c>
      <c r="B35" s="100">
        <v>0.08</v>
      </c>
      <c r="C35" s="117">
        <f t="shared" si="0"/>
        <v>0</v>
      </c>
      <c r="D35" s="455">
        <f t="shared" si="1"/>
        <v>0</v>
      </c>
    </row>
    <row r="36" spans="1:24" ht="14.25" customHeight="1" x14ac:dyDescent="0.2">
      <c r="A36" s="447" t="s">
        <v>476</v>
      </c>
      <c r="B36" s="112">
        <f>SUM(B28:B35)</f>
        <v>0.36800000000000005</v>
      </c>
      <c r="C36" s="113">
        <f>SUM(C27:C35)</f>
        <v>0</v>
      </c>
      <c r="D36" s="448">
        <f>SUM(D27:D35)</f>
        <v>0</v>
      </c>
    </row>
    <row r="37" spans="1:24" ht="14.25" customHeight="1" x14ac:dyDescent="0.2">
      <c r="A37" s="451" t="s">
        <v>491</v>
      </c>
      <c r="B37" s="109" t="s">
        <v>492</v>
      </c>
      <c r="C37" s="109" t="s">
        <v>469</v>
      </c>
      <c r="D37" s="452" t="s">
        <v>469</v>
      </c>
    </row>
    <row r="38" spans="1:24" ht="14.25" customHeight="1" x14ac:dyDescent="0.2">
      <c r="A38" s="453" t="s">
        <v>493</v>
      </c>
      <c r="B38" s="119">
        <f>MC!D106</f>
        <v>0</v>
      </c>
      <c r="C38" s="98">
        <f>ROUND(((2*22*$B$38)-0.06*C$13),2)</f>
        <v>0</v>
      </c>
      <c r="D38" s="446">
        <f>ROUND(((2*22*$B$38)-0.06*D$13),2)</f>
        <v>0</v>
      </c>
    </row>
    <row r="39" spans="1:24" ht="14.25" customHeight="1" x14ac:dyDescent="0.2">
      <c r="A39" s="453" t="s">
        <v>494</v>
      </c>
      <c r="B39" s="120"/>
      <c r="C39" s="117">
        <f>MC!E16</f>
        <v>0</v>
      </c>
      <c r="D39" s="455">
        <f>MC!E17</f>
        <v>0</v>
      </c>
    </row>
    <row r="40" spans="1:24" ht="14.25" customHeight="1" x14ac:dyDescent="0.2">
      <c r="A40" s="453" t="s">
        <v>495</v>
      </c>
      <c r="B40" s="100">
        <f>MC!C21</f>
        <v>0</v>
      </c>
      <c r="C40" s="117"/>
      <c r="D40" s="455"/>
    </row>
    <row r="41" spans="1:24" ht="14.25" customHeight="1" x14ac:dyDescent="0.2">
      <c r="A41" s="453" t="s">
        <v>496</v>
      </c>
      <c r="B41" s="121">
        <f>MC!E23</f>
        <v>0</v>
      </c>
      <c r="C41" s="117">
        <f>B41</f>
        <v>0</v>
      </c>
      <c r="D41" s="455">
        <f>B41</f>
        <v>0</v>
      </c>
    </row>
    <row r="42" spans="1:24" ht="14.25" customHeight="1" x14ac:dyDescent="0.2">
      <c r="A42" s="453" t="s">
        <v>497</v>
      </c>
      <c r="B42" s="121">
        <f>MC!E24</f>
        <v>0</v>
      </c>
      <c r="C42" s="117">
        <f>B42</f>
        <v>0</v>
      </c>
      <c r="D42" s="455">
        <f>B42</f>
        <v>0</v>
      </c>
      <c r="X42" s="84" t="s">
        <v>609</v>
      </c>
    </row>
    <row r="43" spans="1:24" ht="14.25" customHeight="1" x14ac:dyDescent="0.2">
      <c r="A43" s="453" t="s">
        <v>498</v>
      </c>
      <c r="B43" s="100"/>
      <c r="C43" s="117"/>
      <c r="D43" s="455"/>
    </row>
    <row r="44" spans="1:24" ht="14.25" customHeight="1" x14ac:dyDescent="0.2">
      <c r="A44" s="447" t="s">
        <v>476</v>
      </c>
      <c r="B44" s="104"/>
      <c r="C44" s="113">
        <f>SUM(C38:C43)</f>
        <v>0</v>
      </c>
      <c r="D44" s="448">
        <f>SUM(D38:D43)</f>
        <v>0</v>
      </c>
    </row>
    <row r="45" spans="1:24" ht="14.25" customHeight="1" x14ac:dyDescent="0.2">
      <c r="A45" s="443" t="s">
        <v>499</v>
      </c>
      <c r="B45" s="94" t="s">
        <v>468</v>
      </c>
      <c r="C45" s="94" t="s">
        <v>469</v>
      </c>
      <c r="D45" s="444" t="s">
        <v>469</v>
      </c>
    </row>
    <row r="46" spans="1:24" ht="14.25" customHeight="1" x14ac:dyDescent="0.2">
      <c r="A46" s="453" t="s">
        <v>478</v>
      </c>
      <c r="B46" s="122">
        <f>B25</f>
        <v>0.1111111111111111</v>
      </c>
      <c r="C46" s="123">
        <f>C25</f>
        <v>0</v>
      </c>
      <c r="D46" s="456">
        <f>D25</f>
        <v>0</v>
      </c>
    </row>
    <row r="47" spans="1:24" ht="14.25" customHeight="1" x14ac:dyDescent="0.2">
      <c r="A47" s="453" t="s">
        <v>500</v>
      </c>
      <c r="B47" s="122">
        <f>B36</f>
        <v>0.36800000000000005</v>
      </c>
      <c r="C47" s="123">
        <f>C36</f>
        <v>0</v>
      </c>
      <c r="D47" s="456">
        <f>D36</f>
        <v>0</v>
      </c>
    </row>
    <row r="48" spans="1:24" ht="14.25" customHeight="1" x14ac:dyDescent="0.2">
      <c r="A48" s="453" t="s">
        <v>491</v>
      </c>
      <c r="B48" s="122"/>
      <c r="C48" s="123">
        <f>C44</f>
        <v>0</v>
      </c>
      <c r="D48" s="456">
        <f>D44</f>
        <v>0</v>
      </c>
    </row>
    <row r="49" spans="1:4" ht="14.25" customHeight="1" x14ac:dyDescent="0.2">
      <c r="A49" s="447" t="s">
        <v>476</v>
      </c>
      <c r="B49" s="104"/>
      <c r="C49" s="113">
        <f>SUM(C46:C48)</f>
        <v>0</v>
      </c>
      <c r="D49" s="448">
        <f>SUM(D46:D48)</f>
        <v>0</v>
      </c>
    </row>
    <row r="50" spans="1:4" ht="14.25" customHeight="1" x14ac:dyDescent="0.2">
      <c r="A50" s="1048"/>
      <c r="B50" s="1013"/>
      <c r="C50" s="106"/>
      <c r="D50" s="450"/>
    </row>
    <row r="51" spans="1:4" s="125" customFormat="1" ht="14.25" customHeight="1" x14ac:dyDescent="0.2">
      <c r="A51" s="1039" t="s">
        <v>501</v>
      </c>
      <c r="B51" s="1014"/>
      <c r="C51" s="1014"/>
      <c r="D51" s="1040"/>
    </row>
    <row r="52" spans="1:4" ht="14.25" customHeight="1" x14ac:dyDescent="0.2">
      <c r="A52" s="443" t="s">
        <v>502</v>
      </c>
      <c r="B52" s="94" t="s">
        <v>468</v>
      </c>
      <c r="C52" s="94" t="s">
        <v>469</v>
      </c>
      <c r="D52" s="444" t="s">
        <v>469</v>
      </c>
    </row>
    <row r="53" spans="1:4" ht="14.25" customHeight="1" x14ac:dyDescent="0.2">
      <c r="A53" s="451" t="s">
        <v>503</v>
      </c>
      <c r="B53" s="126"/>
      <c r="C53" s="126"/>
      <c r="D53" s="457"/>
    </row>
    <row r="54" spans="1:4" ht="14.25" customHeight="1" x14ac:dyDescent="0.2">
      <c r="A54" s="453" t="s">
        <v>504</v>
      </c>
      <c r="B54" s="122">
        <f>1/12*0.05</f>
        <v>4.1666666666666666E-3</v>
      </c>
      <c r="C54" s="128">
        <f>C19*$B54</f>
        <v>0</v>
      </c>
      <c r="D54" s="458">
        <f t="shared" ref="D54" si="2">D19*$B54</f>
        <v>0</v>
      </c>
    </row>
    <row r="55" spans="1:4" ht="14.25" customHeight="1" x14ac:dyDescent="0.2">
      <c r="A55" s="453" t="s">
        <v>505</v>
      </c>
      <c r="B55" s="122">
        <f>B35*B54</f>
        <v>3.3333333333333332E-4</v>
      </c>
      <c r="C55" s="128">
        <f>$B$55*C19</f>
        <v>0</v>
      </c>
      <c r="D55" s="458">
        <f t="shared" ref="D55" si="3">$B$55*D19</f>
        <v>0</v>
      </c>
    </row>
    <row r="56" spans="1:4" ht="14.25" customHeight="1" x14ac:dyDescent="0.2">
      <c r="A56" s="453" t="s">
        <v>506</v>
      </c>
      <c r="B56" s="122">
        <v>0</v>
      </c>
      <c r="C56" s="128">
        <f>C35*$B56</f>
        <v>0</v>
      </c>
      <c r="D56" s="458">
        <f t="shared" ref="D56" si="4">D35*$B56</f>
        <v>0</v>
      </c>
    </row>
    <row r="57" spans="1:4" ht="14.25" customHeight="1" x14ac:dyDescent="0.2">
      <c r="A57" s="453" t="s">
        <v>507</v>
      </c>
      <c r="B57" s="122">
        <f>1/12*1/30*7</f>
        <v>1.9444444444444441E-2</v>
      </c>
      <c r="C57" s="123">
        <f>C19*$B57</f>
        <v>0</v>
      </c>
      <c r="D57" s="456">
        <f t="shared" ref="D57" si="5">D19*$B57</f>
        <v>0</v>
      </c>
    </row>
    <row r="58" spans="1:4" ht="14.25" customHeight="1" x14ac:dyDescent="0.2">
      <c r="A58" s="453" t="s">
        <v>508</v>
      </c>
      <c r="B58" s="122">
        <f>B36*B57</f>
        <v>7.1555555555555556E-3</v>
      </c>
      <c r="C58" s="123">
        <f>$B58*C19</f>
        <v>0</v>
      </c>
      <c r="D58" s="456">
        <f t="shared" ref="D58" si="6">$B58*D19</f>
        <v>0</v>
      </c>
    </row>
    <row r="59" spans="1:4" ht="14.25" customHeight="1" x14ac:dyDescent="0.2">
      <c r="A59" s="453" t="s">
        <v>509</v>
      </c>
      <c r="B59" s="122">
        <f>B35*40/100*90/100*(1+1/12+1/12+1/3*1/12)</f>
        <v>3.4399999999999993E-2</v>
      </c>
      <c r="C59" s="123">
        <f>C19*$B59</f>
        <v>0</v>
      </c>
      <c r="D59" s="456">
        <f t="shared" ref="D59" si="7">D19*$B59</f>
        <v>0</v>
      </c>
    </row>
    <row r="60" spans="1:4" ht="14.25" customHeight="1" x14ac:dyDescent="0.2">
      <c r="A60" s="447" t="s">
        <v>476</v>
      </c>
      <c r="B60" s="112">
        <f>SUM(B54:B59)</f>
        <v>6.5499999999999989E-2</v>
      </c>
      <c r="C60" s="129">
        <f>SUM(C54:C59)</f>
        <v>0</v>
      </c>
      <c r="D60" s="459">
        <f>SUM(D54:D59)</f>
        <v>0</v>
      </c>
    </row>
    <row r="61" spans="1:4" ht="14.25" customHeight="1" x14ac:dyDescent="0.2">
      <c r="A61" s="1048"/>
      <c r="B61" s="1013"/>
      <c r="C61" s="396"/>
      <c r="D61" s="460"/>
    </row>
    <row r="62" spans="1:4" ht="14.25" customHeight="1" x14ac:dyDescent="0.2">
      <c r="A62" s="1039" t="s">
        <v>510</v>
      </c>
      <c r="B62" s="1014"/>
      <c r="C62" s="1014"/>
      <c r="D62" s="1040"/>
    </row>
    <row r="63" spans="1:4" ht="14.25" customHeight="1" x14ac:dyDescent="0.2">
      <c r="A63" s="451" t="s">
        <v>39</v>
      </c>
      <c r="B63" s="109"/>
      <c r="C63" s="109"/>
      <c r="D63" s="452"/>
    </row>
    <row r="64" spans="1:4" ht="14.25" customHeight="1" x14ac:dyDescent="0.2">
      <c r="A64" s="453" t="s">
        <v>40</v>
      </c>
      <c r="B64" s="100">
        <f>1/12</f>
        <v>8.3333333333333329E-2</v>
      </c>
      <c r="C64" s="117">
        <f>B64*($C$19+$C$49+$C$60)</f>
        <v>0</v>
      </c>
      <c r="D64" s="455">
        <f>B64*($D$19+$D$49+$D$60)</f>
        <v>0</v>
      </c>
    </row>
    <row r="65" spans="1:4" ht="14.25" customHeight="1" x14ac:dyDescent="0.2">
      <c r="A65" s="453" t="s">
        <v>511</v>
      </c>
      <c r="B65" s="100">
        <f>MC!E51/30/12</f>
        <v>1.3538888888888885E-2</v>
      </c>
      <c r="C65" s="117">
        <f>B65*($C$19+$C$49+$C$60)</f>
        <v>0</v>
      </c>
      <c r="D65" s="455">
        <f>B65*($D$19+$D$49+$D$60)</f>
        <v>0</v>
      </c>
    </row>
    <row r="66" spans="1:4" ht="14.25" customHeight="1" x14ac:dyDescent="0.2">
      <c r="A66" s="453" t="s">
        <v>512</v>
      </c>
      <c r="B66" s="131">
        <f>(5/30)/12*MC!F53*MC!C54</f>
        <v>1.0764583333333333E-4</v>
      </c>
      <c r="C66" s="117">
        <f>B66*($C$19+$C$49+$C$60)</f>
        <v>0</v>
      </c>
      <c r="D66" s="455">
        <f>B66*($D$19+$D$49+$D$60)</f>
        <v>0</v>
      </c>
    </row>
    <row r="67" spans="1:4" ht="14.25" customHeight="1" x14ac:dyDescent="0.2">
      <c r="A67" s="453" t="s">
        <v>513</v>
      </c>
      <c r="B67" s="131">
        <f>MC!C56/30/12</f>
        <v>2.6830555555555553E-3</v>
      </c>
      <c r="C67" s="117">
        <f>B67*($C$19+$C$49+$C$60)</f>
        <v>0</v>
      </c>
      <c r="D67" s="455">
        <f>B67*($D$19+$D$49+$D$60)</f>
        <v>0</v>
      </c>
    </row>
    <row r="68" spans="1:4" ht="14.25" customHeight="1" x14ac:dyDescent="0.2">
      <c r="A68" s="453" t="s">
        <v>514</v>
      </c>
      <c r="B68" s="100"/>
      <c r="C68" s="117"/>
      <c r="D68" s="455"/>
    </row>
    <row r="69" spans="1:4" ht="14.25" customHeight="1" x14ac:dyDescent="0.2">
      <c r="A69" s="461" t="s">
        <v>515</v>
      </c>
      <c r="B69" s="133">
        <f>SUM(B64:B68)</f>
        <v>9.9662923611111107E-2</v>
      </c>
      <c r="C69" s="134">
        <f>SUM(C64:C68)</f>
        <v>0</v>
      </c>
      <c r="D69" s="462">
        <f>SUM(D64:D68)</f>
        <v>0</v>
      </c>
    </row>
    <row r="70" spans="1:4" ht="14.25" customHeight="1" x14ac:dyDescent="0.2">
      <c r="A70" s="451" t="s">
        <v>516</v>
      </c>
      <c r="B70" s="109"/>
      <c r="C70" s="109"/>
      <c r="D70" s="452"/>
    </row>
    <row r="71" spans="1:4" ht="14.25" customHeight="1" x14ac:dyDescent="0.2">
      <c r="A71" s="453" t="s">
        <v>517</v>
      </c>
      <c r="B71" s="100"/>
      <c r="C71" s="117"/>
      <c r="D71" s="455"/>
    </row>
    <row r="72" spans="1:4" ht="14.25" customHeight="1" x14ac:dyDescent="0.2">
      <c r="A72" s="461" t="s">
        <v>515</v>
      </c>
      <c r="B72" s="133"/>
      <c r="C72" s="134">
        <f>C71</f>
        <v>0</v>
      </c>
      <c r="D72" s="462"/>
    </row>
    <row r="73" spans="1:4" ht="14.25" customHeight="1" x14ac:dyDescent="0.2">
      <c r="A73" s="451" t="s">
        <v>61</v>
      </c>
      <c r="B73" s="109"/>
      <c r="C73" s="109"/>
      <c r="D73" s="452"/>
    </row>
    <row r="74" spans="1:4" ht="14.25" customHeight="1" x14ac:dyDescent="0.2">
      <c r="A74" s="453" t="s">
        <v>62</v>
      </c>
      <c r="B74" s="100">
        <f>120/30*MC!C59*MC!C60</f>
        <v>6.18624E-3</v>
      </c>
      <c r="C74" s="117">
        <f>(((C19*2)+ (C19*1/3))+(C36)+(C44-C38-C39))*$B$74</f>
        <v>0</v>
      </c>
      <c r="D74" s="455">
        <f>(((D19*2)+ (D19*1/3))+(D36)+(D44-D38-D39))*$B$74</f>
        <v>0</v>
      </c>
    </row>
    <row r="75" spans="1:4" ht="14.25" customHeight="1" x14ac:dyDescent="0.2">
      <c r="A75" s="461" t="s">
        <v>476</v>
      </c>
      <c r="B75" s="133"/>
      <c r="C75" s="134"/>
      <c r="D75" s="462"/>
    </row>
    <row r="76" spans="1:4" ht="14.25" customHeight="1" x14ac:dyDescent="0.2">
      <c r="A76" s="443" t="s">
        <v>518</v>
      </c>
      <c r="B76" s="94"/>
      <c r="C76" s="94"/>
      <c r="D76" s="444"/>
    </row>
    <row r="77" spans="1:4" ht="14.25" customHeight="1" x14ac:dyDescent="0.2">
      <c r="A77" s="453" t="s">
        <v>39</v>
      </c>
      <c r="B77" s="122">
        <f>B69</f>
        <v>9.9662923611111107E-2</v>
      </c>
      <c r="C77" s="123">
        <f>C69</f>
        <v>0</v>
      </c>
      <c r="D77" s="456">
        <f>D69</f>
        <v>0</v>
      </c>
    </row>
    <row r="78" spans="1:4" ht="14.25" customHeight="1" x14ac:dyDescent="0.2">
      <c r="A78" s="453" t="s">
        <v>516</v>
      </c>
      <c r="B78" s="122">
        <f>B72</f>
        <v>0</v>
      </c>
      <c r="C78" s="123">
        <f>C72</f>
        <v>0</v>
      </c>
      <c r="D78" s="456">
        <f>D72</f>
        <v>0</v>
      </c>
    </row>
    <row r="79" spans="1:4" ht="14.25" customHeight="1" x14ac:dyDescent="0.2">
      <c r="A79" s="453" t="s">
        <v>61</v>
      </c>
      <c r="B79" s="122">
        <f>B74</f>
        <v>6.18624E-3</v>
      </c>
      <c r="C79" s="123">
        <f>C74</f>
        <v>0</v>
      </c>
      <c r="D79" s="456">
        <f>D74</f>
        <v>0</v>
      </c>
    </row>
    <row r="80" spans="1:4" ht="14.25" customHeight="1" x14ac:dyDescent="0.2">
      <c r="A80" s="447" t="s">
        <v>476</v>
      </c>
      <c r="B80" s="104"/>
      <c r="C80" s="113">
        <f>SUM(C77:C79)</f>
        <v>0</v>
      </c>
      <c r="D80" s="448">
        <f>SUM(D77:D79)</f>
        <v>0</v>
      </c>
    </row>
    <row r="81" spans="1:4" ht="14.25" customHeight="1" x14ac:dyDescent="0.2">
      <c r="A81" s="449"/>
      <c r="B81" s="106"/>
      <c r="C81" s="106"/>
      <c r="D81" s="450"/>
    </row>
    <row r="82" spans="1:4" ht="14.25" customHeight="1" x14ac:dyDescent="0.2">
      <c r="A82" s="463" t="s">
        <v>519</v>
      </c>
      <c r="B82" s="257"/>
      <c r="C82" s="257"/>
      <c r="D82" s="464"/>
    </row>
    <row r="83" spans="1:4" ht="14.25" customHeight="1" x14ac:dyDescent="0.2">
      <c r="A83" s="443" t="s">
        <v>520</v>
      </c>
      <c r="B83" s="94" t="s">
        <v>492</v>
      </c>
      <c r="C83" s="94" t="s">
        <v>469</v>
      </c>
      <c r="D83" s="444" t="s">
        <v>469</v>
      </c>
    </row>
    <row r="84" spans="1:4" ht="14.25" customHeight="1" x14ac:dyDescent="0.2">
      <c r="A84" s="453" t="s">
        <v>521</v>
      </c>
      <c r="B84" s="496">
        <f>Insumos!G117</f>
        <v>0</v>
      </c>
      <c r="C84" s="98">
        <f>B84</f>
        <v>0</v>
      </c>
      <c r="D84" s="446">
        <f>B84</f>
        <v>0</v>
      </c>
    </row>
    <row r="85" spans="1:4" ht="14.25" customHeight="1" x14ac:dyDescent="0.2">
      <c r="A85" s="465" t="s">
        <v>522</v>
      </c>
      <c r="B85" s="496">
        <f>Insumos!G69</f>
        <v>0</v>
      </c>
      <c r="C85" s="98">
        <f>B85</f>
        <v>0</v>
      </c>
      <c r="D85" s="446">
        <f>B85</f>
        <v>0</v>
      </c>
    </row>
    <row r="86" spans="1:4" ht="14.25" customHeight="1" x14ac:dyDescent="0.2">
      <c r="A86" s="465" t="s">
        <v>523</v>
      </c>
      <c r="B86" s="497">
        <v>0</v>
      </c>
      <c r="C86" s="98"/>
      <c r="D86" s="446"/>
    </row>
    <row r="87" spans="1:4" ht="14.25" customHeight="1" x14ac:dyDescent="0.2">
      <c r="A87" s="465" t="s">
        <v>524</v>
      </c>
      <c r="B87" s="498"/>
      <c r="C87" s="98">
        <f>Insumos!I122</f>
        <v>0</v>
      </c>
      <c r="D87" s="446">
        <f>Insumos!H122</f>
        <v>0</v>
      </c>
    </row>
    <row r="88" spans="1:4" ht="14.25" customHeight="1" x14ac:dyDescent="0.2">
      <c r="A88" s="465" t="s">
        <v>525</v>
      </c>
      <c r="B88" s="499">
        <v>0</v>
      </c>
      <c r="C88" s="98"/>
      <c r="D88" s="446"/>
    </row>
    <row r="89" spans="1:4" ht="14.25" customHeight="1" x14ac:dyDescent="0.2">
      <c r="A89" s="465" t="s">
        <v>598</v>
      </c>
      <c r="B89" s="496">
        <v>0</v>
      </c>
      <c r="C89" s="98"/>
      <c r="D89" s="446"/>
    </row>
    <row r="90" spans="1:4" ht="14.25" customHeight="1" x14ac:dyDescent="0.2">
      <c r="A90" s="465" t="s">
        <v>527</v>
      </c>
      <c r="B90" s="496">
        <v>0</v>
      </c>
      <c r="C90" s="98"/>
      <c r="D90" s="446"/>
    </row>
    <row r="91" spans="1:4" ht="14.25" customHeight="1" x14ac:dyDescent="0.2">
      <c r="A91" s="461" t="s">
        <v>476</v>
      </c>
      <c r="B91" s="136"/>
      <c r="C91" s="134">
        <f>SUM(C84:C90)</f>
        <v>0</v>
      </c>
      <c r="D91" s="462">
        <f t="shared" ref="D91" si="8">SUM(D84:D90)</f>
        <v>0</v>
      </c>
    </row>
    <row r="92" spans="1:4" ht="14.25" customHeight="1" x14ac:dyDescent="0.2">
      <c r="A92" s="1048"/>
      <c r="B92" s="1013"/>
      <c r="C92" s="137"/>
      <c r="D92" s="466"/>
    </row>
    <row r="93" spans="1:4" ht="14.25" customHeight="1" x14ac:dyDescent="0.2">
      <c r="A93" s="463" t="s">
        <v>528</v>
      </c>
      <c r="B93" s="257"/>
      <c r="C93" s="257"/>
      <c r="D93" s="464"/>
    </row>
    <row r="94" spans="1:4" ht="14.25" customHeight="1" x14ac:dyDescent="0.2">
      <c r="A94" s="443" t="s">
        <v>529</v>
      </c>
      <c r="B94" s="94" t="s">
        <v>468</v>
      </c>
      <c r="C94" s="94" t="s">
        <v>469</v>
      </c>
      <c r="D94" s="444" t="s">
        <v>469</v>
      </c>
    </row>
    <row r="95" spans="1:4" ht="14.25" customHeight="1" x14ac:dyDescent="0.2">
      <c r="A95" s="445" t="s">
        <v>67</v>
      </c>
      <c r="B95" s="100">
        <v>0.03</v>
      </c>
      <c r="C95" s="117">
        <f>($C$19+$C$49+$C$60+$C$80+$C$91)*$B$95</f>
        <v>0</v>
      </c>
      <c r="D95" s="455">
        <f>($D$19+$D$49+$D$60+$D$80+$D$91)*$B$95</f>
        <v>0</v>
      </c>
    </row>
    <row r="96" spans="1:4" ht="14.25" customHeight="1" x14ac:dyDescent="0.2">
      <c r="A96" s="445" t="s">
        <v>68</v>
      </c>
      <c r="B96" s="100">
        <v>6.7900000000000002E-2</v>
      </c>
      <c r="C96" s="117">
        <f>($C$19+$C$49+$C$60+$C$80+$C$91+C95)*B96</f>
        <v>0</v>
      </c>
      <c r="D96" s="455">
        <f>($D$19+$D$49+$D$60+$D$80+$D$91+$D$95)*$B$96</f>
        <v>0</v>
      </c>
    </row>
    <row r="97" spans="1:4" ht="14.25" customHeight="1" x14ac:dyDescent="0.2">
      <c r="A97" s="467" t="s">
        <v>530</v>
      </c>
      <c r="B97" s="261">
        <f>B98+B99</f>
        <v>0.1125</v>
      </c>
      <c r="C97" s="262">
        <f>((C19+C49+C60+C80+C91+C95+C96)/(1-($B$97)))*$B$97</f>
        <v>0</v>
      </c>
      <c r="D97" s="468">
        <f>((D19+D49+D60+D80+D91+D95+D96)/(1-($B$97)))*$B$97</f>
        <v>0</v>
      </c>
    </row>
    <row r="98" spans="1:4" ht="14.25" customHeight="1" x14ac:dyDescent="0.2">
      <c r="A98" s="445" t="s">
        <v>531</v>
      </c>
      <c r="B98" s="100">
        <f>0.0165+0.076</f>
        <v>9.2499999999999999E-2</v>
      </c>
      <c r="C98" s="263">
        <f>((C$19+C$49+C$60+C$80+C$91+C$95+C$96)/(1-($B$97)))*$B$98</f>
        <v>0</v>
      </c>
      <c r="D98" s="469">
        <f t="shared" ref="D98" si="9">((D$19+D$49+D$60+D$80+D$91+D$95+D$96)/(1-($B$97)))*$B$98</f>
        <v>0</v>
      </c>
    </row>
    <row r="99" spans="1:4" ht="14.25" customHeight="1" x14ac:dyDescent="0.2">
      <c r="A99" s="445" t="s">
        <v>532</v>
      </c>
      <c r="B99" s="100">
        <v>0.02</v>
      </c>
      <c r="C99" s="264">
        <f>((C$19+C$49+C$60+C$80+C$91+C$95+C$96)/(1-($B$97)))*$B$99</f>
        <v>0</v>
      </c>
      <c r="D99" s="470">
        <f t="shared" ref="D99" si="10">((D$19+D$49+D$60+D$80+D$91+D$95+D$96)/(1-($B$97)))*$B$99</f>
        <v>0</v>
      </c>
    </row>
    <row r="100" spans="1:4" ht="14.25" customHeight="1" x14ac:dyDescent="0.2">
      <c r="A100" s="467" t="s">
        <v>534</v>
      </c>
      <c r="B100" s="261">
        <f>B101+B102</f>
        <v>0.1225</v>
      </c>
      <c r="C100" s="262">
        <f>((C19+C49+C60+C80+C91+C95+C96)/(1-($B$100)))*$B$100</f>
        <v>0</v>
      </c>
      <c r="D100" s="468">
        <f t="shared" ref="D100" si="11">((D19+D49+D60+D80+D91+D95+D96)/(1-($B$100)))*$B$100</f>
        <v>0</v>
      </c>
    </row>
    <row r="101" spans="1:4" ht="14.25" customHeight="1" x14ac:dyDescent="0.2">
      <c r="A101" s="445" t="s">
        <v>531</v>
      </c>
      <c r="B101" s="100">
        <f>0.0165+0.076</f>
        <v>9.2499999999999999E-2</v>
      </c>
      <c r="C101" s="263">
        <f>((C19+C49+C60+C80+C91+C95+C96)/(1-($B$100)))*$B$101</f>
        <v>0</v>
      </c>
      <c r="D101" s="469">
        <f t="shared" ref="D101" si="12">((D19+D49+D60+D80+D91+D95+D96)/(1-($B$100)))*$B$101</f>
        <v>0</v>
      </c>
    </row>
    <row r="102" spans="1:4" ht="14.25" customHeight="1" x14ac:dyDescent="0.2">
      <c r="A102" s="445" t="s">
        <v>532</v>
      </c>
      <c r="B102" s="100">
        <v>0.03</v>
      </c>
      <c r="C102" s="264">
        <f>((C$19+C$49+C$60+C$80+C$91+C$95+C$96)/(1-($B$100)))*$B$102</f>
        <v>0</v>
      </c>
      <c r="D102" s="470">
        <f t="shared" ref="D102" si="13">((D$19+D$49+D$60+D$80+D$91+D$95+D$96)/(1-($B$100)))*$B$102</f>
        <v>0</v>
      </c>
    </row>
    <row r="103" spans="1:4" ht="14.25" customHeight="1" x14ac:dyDescent="0.2">
      <c r="A103" s="467" t="s">
        <v>604</v>
      </c>
      <c r="B103" s="261">
        <f>B104+B105</f>
        <v>0.1245</v>
      </c>
      <c r="C103" s="262">
        <f>((C19+C49+C60+C80+C91+C95+C96)/(1-($B$103)))*$B$103</f>
        <v>0</v>
      </c>
      <c r="D103" s="468">
        <f t="shared" ref="D103" si="14">((D19+D49+D60+D80+D91+D95+D96)/(1-($B$103)))*$B$103</f>
        <v>0</v>
      </c>
    </row>
    <row r="104" spans="1:4" ht="14.25" customHeight="1" x14ac:dyDescent="0.2">
      <c r="A104" s="445" t="s">
        <v>531</v>
      </c>
      <c r="B104" s="100">
        <f>0.0165+0.076</f>
        <v>9.2499999999999999E-2</v>
      </c>
      <c r="C104" s="263">
        <f>((C19+C49+C60+C80+C91+C95+C96)/(1-($B$103)))*$B$104</f>
        <v>0</v>
      </c>
      <c r="D104" s="469">
        <f t="shared" ref="D104" si="15">((D19+D49+D60+D80+D91+D95+D96)/(1-($B$103)))*$B$104</f>
        <v>0</v>
      </c>
    </row>
    <row r="105" spans="1:4" ht="14.25" customHeight="1" x14ac:dyDescent="0.2">
      <c r="A105" s="445" t="s">
        <v>532</v>
      </c>
      <c r="B105" s="100">
        <v>3.2000000000000001E-2</v>
      </c>
      <c r="C105" s="264">
        <f>((C19+C49+C60+C80+C91+C95+C96)/(1-($B$103)))*$B$105</f>
        <v>0</v>
      </c>
      <c r="D105" s="470">
        <f t="shared" ref="D105" si="16">((D19+D49+D60+D80+D91+D95+D96)/(1-($B$103)))*$B$105</f>
        <v>0</v>
      </c>
    </row>
    <row r="106" spans="1:4" ht="14.25" customHeight="1" x14ac:dyDescent="0.2">
      <c r="A106" s="467" t="s">
        <v>535</v>
      </c>
      <c r="B106" s="261">
        <f>B107+B108</f>
        <v>0.13250000000000001</v>
      </c>
      <c r="C106" s="262">
        <f>((C19+C49+C60+C80+C91+C95+C96)/(1-($B$106)))*$B$106</f>
        <v>0</v>
      </c>
      <c r="D106" s="468">
        <f t="shared" ref="D106" si="17">((D19+D49+D60+D80+D91+D95+D96)/(1-($B$106)))*$B$106</f>
        <v>0</v>
      </c>
    </row>
    <row r="107" spans="1:4" ht="14.25" customHeight="1" x14ac:dyDescent="0.2">
      <c r="A107" s="445" t="s">
        <v>531</v>
      </c>
      <c r="B107" s="100">
        <f>0.0165+0.076</f>
        <v>9.2499999999999999E-2</v>
      </c>
      <c r="C107" s="263">
        <f>((C19+C49+C60+C80+C91+C95+C96)/(1-($B$106)))*$B$107</f>
        <v>0</v>
      </c>
      <c r="D107" s="469">
        <f t="shared" ref="D107" si="18">((D19+D49+D60+D80+D91+D95+D96)/(1-($B$106)))*$B$107</f>
        <v>0</v>
      </c>
    </row>
    <row r="108" spans="1:4" ht="14.25" customHeight="1" x14ac:dyDescent="0.2">
      <c r="A108" s="445" t="s">
        <v>532</v>
      </c>
      <c r="B108" s="100">
        <v>0.04</v>
      </c>
      <c r="C108" s="264">
        <f>((C19+C49+C60+C80+C91+C95+C96)/(1-($B$106)))*$B$108</f>
        <v>0</v>
      </c>
      <c r="D108" s="470">
        <f t="shared" ref="D108" si="19">((D19+D49+D60+D80+D91+D95+D96)/(1-($B$106)))*$B$108</f>
        <v>0</v>
      </c>
    </row>
    <row r="109" spans="1:4" ht="14.25" customHeight="1" x14ac:dyDescent="0.2">
      <c r="A109" s="467" t="s">
        <v>536</v>
      </c>
      <c r="B109" s="261">
        <f>B110+B111</f>
        <v>0.14250000000000002</v>
      </c>
      <c r="C109" s="262">
        <f>((C19+C49+C60+C80+C91+C95+C96)/(1-($B$109)))*$B$109</f>
        <v>0</v>
      </c>
      <c r="D109" s="468">
        <f t="shared" ref="D109" si="20">((D19+D49+D60+D80+D91+D95+D96)/(1-($B$109)))*$B$109</f>
        <v>0</v>
      </c>
    </row>
    <row r="110" spans="1:4" ht="14.25" customHeight="1" x14ac:dyDescent="0.2">
      <c r="A110" s="445" t="s">
        <v>531</v>
      </c>
      <c r="B110" s="100">
        <f>0.0165+0.076</f>
        <v>9.2499999999999999E-2</v>
      </c>
      <c r="C110" s="263">
        <f>((C19+C49+C60+C80+C91+C95+C96)/(1-($B$109)))*$B$110</f>
        <v>0</v>
      </c>
      <c r="D110" s="469">
        <f t="shared" ref="D110" si="21">((D19+D49+D60+D80+D91+D95+D96)/(1-($B$109)))*$B$110</f>
        <v>0</v>
      </c>
    </row>
    <row r="111" spans="1:4" ht="14.25" customHeight="1" x14ac:dyDescent="0.2">
      <c r="A111" s="445" t="s">
        <v>532</v>
      </c>
      <c r="B111" s="266">
        <v>0.05</v>
      </c>
      <c r="C111" s="264">
        <f>((C19+C49+C60+C80+C91+C95+C96)/(1-($B$109)))*$B$111</f>
        <v>0</v>
      </c>
      <c r="D111" s="470">
        <f t="shared" ref="D111" si="22">((D19+D49+D60+D80+D91+D95+D96)/(1-($B$109)))*$B$111</f>
        <v>0</v>
      </c>
    </row>
    <row r="112" spans="1:4" ht="14.25" customHeight="1" x14ac:dyDescent="0.2">
      <c r="A112" s="1050" t="s">
        <v>537</v>
      </c>
      <c r="B112" s="267">
        <v>0.02</v>
      </c>
      <c r="C112" s="268">
        <f>C95+C96+C97</f>
        <v>0</v>
      </c>
      <c r="D112" s="471">
        <f>D95+D96+D97</f>
        <v>0</v>
      </c>
    </row>
    <row r="113" spans="1:4" ht="14.25" customHeight="1" x14ac:dyDescent="0.2">
      <c r="A113" s="1050"/>
      <c r="B113" s="269">
        <v>2.5000000000000001E-2</v>
      </c>
      <c r="C113" s="270">
        <f>C95+C96+C100</f>
        <v>0</v>
      </c>
      <c r="D113" s="472">
        <f>D95+D96+D100</f>
        <v>0</v>
      </c>
    </row>
    <row r="114" spans="1:4" ht="14.25" customHeight="1" x14ac:dyDescent="0.2">
      <c r="A114" s="1050"/>
      <c r="B114" s="269">
        <v>0.03</v>
      </c>
      <c r="C114" s="270">
        <f>C95+C96+C103</f>
        <v>0</v>
      </c>
      <c r="D114" s="472">
        <f>D95+D96+D103</f>
        <v>0</v>
      </c>
    </row>
    <row r="115" spans="1:4" ht="14.25" customHeight="1" x14ac:dyDescent="0.2">
      <c r="A115" s="1050"/>
      <c r="B115" s="269">
        <v>0.04</v>
      </c>
      <c r="C115" s="270">
        <f>C95+C96+C106</f>
        <v>0</v>
      </c>
      <c r="D115" s="472">
        <f>D95+D96+D106</f>
        <v>0</v>
      </c>
    </row>
    <row r="116" spans="1:4" ht="14.25" customHeight="1" x14ac:dyDescent="0.2">
      <c r="A116" s="1050"/>
      <c r="B116" s="271">
        <v>0.05</v>
      </c>
      <c r="C116" s="272">
        <f>C95+C96+C109</f>
        <v>0</v>
      </c>
      <c r="D116" s="473">
        <f>D95+D96+D109</f>
        <v>0</v>
      </c>
    </row>
    <row r="117" spans="1:4" ht="14.25" customHeight="1" x14ac:dyDescent="0.2">
      <c r="A117" s="445" t="s">
        <v>538</v>
      </c>
      <c r="B117" s="273"/>
      <c r="C117" s="274"/>
      <c r="D117" s="474"/>
    </row>
    <row r="118" spans="1:4" ht="14.25" customHeight="1" x14ac:dyDescent="0.2">
      <c r="A118" s="475"/>
      <c r="B118" s="277"/>
      <c r="C118" s="278"/>
      <c r="D118" s="476"/>
    </row>
    <row r="119" spans="1:4" ht="7.5" customHeight="1" x14ac:dyDescent="0.2">
      <c r="A119" s="1051"/>
      <c r="B119" s="1016"/>
      <c r="C119" s="1016"/>
      <c r="D119" s="1052"/>
    </row>
    <row r="120" spans="1:4" ht="7.5" customHeight="1" x14ac:dyDescent="0.2">
      <c r="A120" s="1053"/>
      <c r="B120" s="1017"/>
      <c r="C120" s="1017"/>
      <c r="D120" s="1054"/>
    </row>
    <row r="121" spans="1:4" ht="54.75" customHeight="1" x14ac:dyDescent="0.2">
      <c r="A121" s="1055" t="s">
        <v>539</v>
      </c>
      <c r="B121" s="1018"/>
      <c r="C121" s="281" t="str">
        <f>C10</f>
        <v>Servente COVID 40h</v>
      </c>
      <c r="D121" s="477" t="str">
        <f>D10</f>
        <v>Servente COVID 30h</v>
      </c>
    </row>
    <row r="122" spans="1:4" ht="15.75" customHeight="1" x14ac:dyDescent="0.2">
      <c r="A122" s="1056" t="s">
        <v>540</v>
      </c>
      <c r="B122" s="1019"/>
      <c r="C122" s="284" t="s">
        <v>469</v>
      </c>
      <c r="D122" s="478" t="s">
        <v>469</v>
      </c>
    </row>
    <row r="123" spans="1:4" ht="14.25" customHeight="1" x14ac:dyDescent="0.2">
      <c r="A123" s="1057" t="s">
        <v>541</v>
      </c>
      <c r="B123" s="1020"/>
      <c r="C123" s="286">
        <f>C19</f>
        <v>0</v>
      </c>
      <c r="D123" s="479">
        <f>D19</f>
        <v>0</v>
      </c>
    </row>
    <row r="124" spans="1:4" ht="14.25" customHeight="1" x14ac:dyDescent="0.2">
      <c r="A124" s="1049" t="s">
        <v>542</v>
      </c>
      <c r="B124" s="1021"/>
      <c r="C124" s="139">
        <f>C49</f>
        <v>0</v>
      </c>
      <c r="D124" s="480">
        <f>D49</f>
        <v>0</v>
      </c>
    </row>
    <row r="125" spans="1:4" ht="14.25" customHeight="1" x14ac:dyDescent="0.2">
      <c r="A125" s="1049" t="s">
        <v>543</v>
      </c>
      <c r="B125" s="1021"/>
      <c r="C125" s="139">
        <f>C60</f>
        <v>0</v>
      </c>
      <c r="D125" s="480">
        <f>D60</f>
        <v>0</v>
      </c>
    </row>
    <row r="126" spans="1:4" ht="14.25" customHeight="1" x14ac:dyDescent="0.2">
      <c r="A126" s="1049" t="s">
        <v>544</v>
      </c>
      <c r="B126" s="1021"/>
      <c r="C126" s="139">
        <f>C80</f>
        <v>0</v>
      </c>
      <c r="D126" s="480">
        <f>D80</f>
        <v>0</v>
      </c>
    </row>
    <row r="127" spans="1:4" ht="15.75" customHeight="1" x14ac:dyDescent="0.2">
      <c r="A127" s="1049" t="s">
        <v>545</v>
      </c>
      <c r="B127" s="1021"/>
      <c r="C127" s="139">
        <f>C91</f>
        <v>0</v>
      </c>
      <c r="D127" s="480">
        <f>D91</f>
        <v>0</v>
      </c>
    </row>
    <row r="128" spans="1:4" ht="15.75" customHeight="1" x14ac:dyDescent="0.2">
      <c r="A128" s="1059" t="s">
        <v>546</v>
      </c>
      <c r="B128" s="1024"/>
      <c r="C128" s="141">
        <f>SUM(C123:C127)</f>
        <v>0</v>
      </c>
      <c r="D128" s="481">
        <f>SUM(D123:D127)</f>
        <v>0</v>
      </c>
    </row>
    <row r="129" spans="1:5" ht="15.75" customHeight="1" x14ac:dyDescent="0.2">
      <c r="A129" s="1058" t="s">
        <v>547</v>
      </c>
      <c r="B129" s="1022"/>
      <c r="C129" s="289">
        <f t="shared" ref="C129:D133" si="23">C112</f>
        <v>0</v>
      </c>
      <c r="D129" s="482">
        <f t="shared" si="23"/>
        <v>0</v>
      </c>
    </row>
    <row r="130" spans="1:5" ht="15.75" customHeight="1" x14ac:dyDescent="0.2">
      <c r="A130" s="1049" t="s">
        <v>548</v>
      </c>
      <c r="B130" s="1021"/>
      <c r="C130" s="291">
        <f t="shared" si="23"/>
        <v>0</v>
      </c>
      <c r="D130" s="483">
        <f t="shared" si="23"/>
        <v>0</v>
      </c>
    </row>
    <row r="131" spans="1:5" ht="15.75" customHeight="1" x14ac:dyDescent="0.2">
      <c r="A131" s="1049" t="s">
        <v>549</v>
      </c>
      <c r="B131" s="1021"/>
      <c r="C131" s="291">
        <f t="shared" si="23"/>
        <v>0</v>
      </c>
      <c r="D131" s="483">
        <f t="shared" si="23"/>
        <v>0</v>
      </c>
    </row>
    <row r="132" spans="1:5" ht="15.75" customHeight="1" x14ac:dyDescent="0.2">
      <c r="A132" s="1049" t="s">
        <v>550</v>
      </c>
      <c r="B132" s="1021"/>
      <c r="C132" s="291">
        <f t="shared" si="23"/>
        <v>0</v>
      </c>
      <c r="D132" s="483">
        <f t="shared" si="23"/>
        <v>0</v>
      </c>
    </row>
    <row r="133" spans="1:5" ht="15.75" customHeight="1" x14ac:dyDescent="0.2">
      <c r="A133" s="1058" t="s">
        <v>551</v>
      </c>
      <c r="B133" s="1022"/>
      <c r="C133" s="291">
        <f t="shared" si="23"/>
        <v>0</v>
      </c>
      <c r="D133" s="483">
        <f t="shared" si="23"/>
        <v>0</v>
      </c>
    </row>
    <row r="134" spans="1:5" ht="15.75" customHeight="1" x14ac:dyDescent="0.2">
      <c r="A134" s="484" t="s">
        <v>552</v>
      </c>
      <c r="B134" s="294"/>
      <c r="C134" s="295">
        <f>C128+C129</f>
        <v>0</v>
      </c>
      <c r="D134" s="485">
        <f>D128+D129</f>
        <v>0</v>
      </c>
      <c r="E134" s="652"/>
    </row>
    <row r="135" spans="1:5" ht="15.75" customHeight="1" x14ac:dyDescent="0.2">
      <c r="A135" s="486" t="s">
        <v>554</v>
      </c>
      <c r="B135" s="298"/>
      <c r="C135" s="299">
        <f>C128+C130</f>
        <v>0</v>
      </c>
      <c r="D135" s="487">
        <f>D128+D130</f>
        <v>0</v>
      </c>
      <c r="E135" s="652"/>
    </row>
    <row r="136" spans="1:5" ht="15.75" customHeight="1" x14ac:dyDescent="0.2">
      <c r="A136" s="486" t="s">
        <v>605</v>
      </c>
      <c r="B136" s="298"/>
      <c r="C136" s="299">
        <f>C128+C131</f>
        <v>0</v>
      </c>
      <c r="D136" s="487">
        <f>D128+D131</f>
        <v>0</v>
      </c>
      <c r="E136" s="652"/>
    </row>
    <row r="137" spans="1:5" ht="15.75" customHeight="1" x14ac:dyDescent="0.2">
      <c r="A137" s="486" t="s">
        <v>555</v>
      </c>
      <c r="B137" s="298"/>
      <c r="C137" s="299">
        <f>C128+C132</f>
        <v>0</v>
      </c>
      <c r="D137" s="487">
        <f>D128+D132</f>
        <v>0</v>
      </c>
    </row>
    <row r="138" spans="1:5" ht="15.75" customHeight="1" x14ac:dyDescent="0.2">
      <c r="A138" s="486" t="s">
        <v>556</v>
      </c>
      <c r="B138" s="298"/>
      <c r="C138" s="299">
        <f>C128+C133</f>
        <v>0</v>
      </c>
      <c r="D138" s="487">
        <f>D128+D133</f>
        <v>0</v>
      </c>
      <c r="E138" s="652"/>
    </row>
    <row r="139" spans="1:5" ht="15.75" customHeight="1" x14ac:dyDescent="0.2">
      <c r="A139" s="488" t="s">
        <v>557</v>
      </c>
      <c r="B139" s="302"/>
      <c r="C139" s="303">
        <f>C134/200</f>
        <v>0</v>
      </c>
      <c r="D139" s="489"/>
      <c r="E139" s="652"/>
    </row>
    <row r="140" spans="1:5" ht="15.75" customHeight="1" x14ac:dyDescent="0.2">
      <c r="A140" s="490" t="s">
        <v>559</v>
      </c>
      <c r="B140" s="307"/>
      <c r="C140" s="308">
        <f>C135/200</f>
        <v>0</v>
      </c>
      <c r="D140" s="491"/>
      <c r="E140" s="652"/>
    </row>
    <row r="141" spans="1:5" ht="15.75" customHeight="1" x14ac:dyDescent="0.2">
      <c r="A141" s="490" t="s">
        <v>606</v>
      </c>
      <c r="B141" s="307"/>
      <c r="C141" s="308">
        <f>C136/200</f>
        <v>0</v>
      </c>
      <c r="D141" s="491"/>
    </row>
    <row r="142" spans="1:5" ht="15.75" customHeight="1" x14ac:dyDescent="0.2">
      <c r="A142" s="490" t="s">
        <v>560</v>
      </c>
      <c r="B142" s="307"/>
      <c r="C142" s="308">
        <f>C137/200</f>
        <v>0</v>
      </c>
      <c r="D142" s="491"/>
    </row>
    <row r="143" spans="1:5" ht="15.75" customHeight="1" x14ac:dyDescent="0.2">
      <c r="A143" s="492" t="s">
        <v>561</v>
      </c>
      <c r="B143" s="493"/>
      <c r="C143" s="494">
        <f>C138/200</f>
        <v>0</v>
      </c>
      <c r="D143" s="495"/>
    </row>
    <row r="144" spans="1:5" x14ac:dyDescent="0.2">
      <c r="A144" s="316"/>
    </row>
    <row r="148" spans="5:5" x14ac:dyDescent="0.2">
      <c r="E148" s="652"/>
    </row>
  </sheetData>
  <mergeCells count="27">
    <mergeCell ref="A21:D21"/>
    <mergeCell ref="A1:D1"/>
    <mergeCell ref="A2:D2"/>
    <mergeCell ref="A3:D3"/>
    <mergeCell ref="A9:D9"/>
    <mergeCell ref="A20:B2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MK1048508"/>
  <sheetViews>
    <sheetView topLeftCell="A61" zoomScale="80" zoomScaleNormal="80" workbookViewId="0">
      <selection activeCell="C91" sqref="C91:D104"/>
    </sheetView>
  </sheetViews>
  <sheetFormatPr defaultRowHeight="14.25" x14ac:dyDescent="0.2"/>
  <cols>
    <col min="1" max="1" width="4.375" style="4"/>
    <col min="2" max="2" width="39.75" style="4"/>
    <col min="3" max="3" width="11" style="4"/>
    <col min="4" max="4" width="15.625" style="4"/>
    <col min="5" max="5" width="10" style="5"/>
    <col min="6" max="6" width="10.75" style="5"/>
    <col min="7" max="7" width="12" style="5"/>
    <col min="8" max="8" width="26.625" style="5"/>
    <col min="9" max="9" width="12.75" style="5"/>
    <col min="10" max="10" width="10.75" style="5"/>
    <col min="11" max="11" width="8.875" style="5"/>
    <col min="12" max="12" width="10.75" style="5"/>
    <col min="13" max="13" width="27.125" style="5"/>
    <col min="14" max="14" width="10.75" style="5"/>
    <col min="15" max="15" width="8.875" style="4"/>
    <col min="16" max="16" width="10.375" style="4"/>
    <col min="17" max="17" width="6.625" style="4"/>
    <col min="18" max="18" width="6.25" style="4"/>
    <col min="19" max="20" width="11.125" style="4"/>
    <col min="21" max="21" width="12.5" style="4"/>
    <col min="22" max="22" width="3.75" style="4"/>
    <col min="23" max="23" width="8.125" style="4"/>
    <col min="24" max="24" width="8" style="4"/>
    <col min="25" max="1025" width="10.5" style="4"/>
  </cols>
  <sheetData>
    <row r="1" spans="1:17" ht="23.25" x14ac:dyDescent="0.2">
      <c r="A1" s="2"/>
      <c r="B1" s="885" t="s">
        <v>0</v>
      </c>
      <c r="C1" s="885"/>
      <c r="D1" s="885"/>
      <c r="E1" s="885"/>
      <c r="F1" s="885"/>
      <c r="G1" s="885"/>
      <c r="H1" s="885"/>
      <c r="I1" s="885"/>
      <c r="J1" s="885"/>
      <c r="K1" s="885"/>
      <c r="L1" s="885"/>
      <c r="M1"/>
      <c r="N1"/>
      <c r="O1"/>
      <c r="P1"/>
      <c r="Q1"/>
    </row>
    <row r="2" spans="1:17" x14ac:dyDescent="0.2">
      <c r="B2" s="6"/>
      <c r="C2" s="6"/>
      <c r="D2" s="6"/>
      <c r="E2" s="6"/>
      <c r="F2"/>
      <c r="G2"/>
      <c r="H2"/>
      <c r="I2"/>
      <c r="J2"/>
      <c r="K2"/>
      <c r="L2"/>
      <c r="M2"/>
      <c r="N2"/>
      <c r="O2"/>
      <c r="P2"/>
      <c r="Q2"/>
    </row>
    <row r="3" spans="1:17" x14ac:dyDescent="0.2">
      <c r="B3" s="7" t="s">
        <v>1</v>
      </c>
      <c r="C3" s="886" t="s">
        <v>2</v>
      </c>
      <c r="D3" s="886"/>
      <c r="E3" s="3">
        <v>22</v>
      </c>
      <c r="F3"/>
      <c r="G3"/>
      <c r="H3"/>
      <c r="I3"/>
      <c r="J3"/>
      <c r="K3"/>
      <c r="L3"/>
      <c r="M3"/>
      <c r="N3"/>
      <c r="O3"/>
      <c r="P3"/>
      <c r="Q3"/>
    </row>
    <row r="4" spans="1:17" x14ac:dyDescent="0.2">
      <c r="B4"/>
      <c r="C4" s="887" t="s">
        <v>3</v>
      </c>
      <c r="D4" s="887"/>
      <c r="E4" s="8">
        <v>30</v>
      </c>
      <c r="F4"/>
      <c r="G4"/>
      <c r="H4"/>
      <c r="I4"/>
      <c r="J4"/>
      <c r="K4"/>
      <c r="L4"/>
      <c r="M4"/>
      <c r="N4"/>
      <c r="O4"/>
      <c r="P4"/>
      <c r="Q4"/>
    </row>
    <row r="5" spans="1:17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7.100000000000001" customHeight="1" x14ac:dyDescent="0.2">
      <c r="A6" s="2"/>
      <c r="B6" s="888" t="s">
        <v>4</v>
      </c>
      <c r="C6" s="888"/>
      <c r="D6" s="888"/>
      <c r="E6" s="888"/>
      <c r="F6" s="888"/>
      <c r="G6" s="888"/>
      <c r="H6" s="888"/>
      <c r="I6" s="888"/>
      <c r="J6" s="888"/>
      <c r="K6" s="888"/>
      <c r="L6" s="888"/>
      <c r="M6"/>
      <c r="N6"/>
      <c r="O6"/>
      <c r="P6"/>
      <c r="Q6"/>
    </row>
    <row r="7" spans="1:17" x14ac:dyDescent="0.2">
      <c r="B7" s="9" t="s">
        <v>5</v>
      </c>
      <c r="C7" s="10" t="s">
        <v>6</v>
      </c>
      <c r="D7" s="10" t="s">
        <v>7</v>
      </c>
      <c r="E7" s="11" t="s">
        <v>8</v>
      </c>
      <c r="F7"/>
      <c r="G7"/>
      <c r="H7" s="512" t="s">
        <v>9</v>
      </c>
      <c r="I7" s="513"/>
      <c r="J7"/>
      <c r="K7"/>
      <c r="L7"/>
      <c r="M7"/>
      <c r="N7"/>
      <c r="O7"/>
      <c r="P7"/>
      <c r="Q7"/>
    </row>
    <row r="8" spans="1:17" x14ac:dyDescent="0.2">
      <c r="B8"/>
      <c r="C8" s="7"/>
      <c r="D8" s="12"/>
      <c r="E8" s="13"/>
      <c r="F8"/>
      <c r="G8"/>
      <c r="H8" s="511" t="s">
        <v>10</v>
      </c>
      <c r="I8"/>
      <c r="J8"/>
      <c r="K8"/>
      <c r="L8"/>
      <c r="M8"/>
      <c r="N8"/>
      <c r="O8"/>
      <c r="P8"/>
      <c r="Q8"/>
    </row>
    <row r="9" spans="1:17" x14ac:dyDescent="0.2">
      <c r="B9"/>
      <c r="C9" s="889" t="s">
        <v>11</v>
      </c>
      <c r="D9" s="890"/>
      <c r="E9" s="890"/>
      <c r="F9" s="890"/>
      <c r="G9"/>
      <c r="H9"/>
      <c r="I9"/>
      <c r="J9"/>
      <c r="K9"/>
      <c r="L9"/>
      <c r="M9"/>
      <c r="N9"/>
      <c r="O9"/>
      <c r="P9"/>
      <c r="Q9"/>
    </row>
    <row r="10" spans="1:17" x14ac:dyDescent="0.2">
      <c r="B10" s="9" t="s">
        <v>12</v>
      </c>
      <c r="C10" s="3">
        <v>44</v>
      </c>
      <c r="D10" s="3">
        <v>40</v>
      </c>
      <c r="E10" s="3">
        <v>30</v>
      </c>
      <c r="F10" s="3">
        <v>20</v>
      </c>
      <c r="G10"/>
      <c r="H10"/>
      <c r="I10"/>
      <c r="J10"/>
      <c r="K10"/>
      <c r="L10"/>
      <c r="M10"/>
      <c r="N10"/>
      <c r="O10"/>
      <c r="P10"/>
      <c r="Q10"/>
    </row>
    <row r="11" spans="1:17" x14ac:dyDescent="0.2">
      <c r="C11" s="14"/>
      <c r="D11" s="15">
        <f>C11/C10*D10</f>
        <v>0</v>
      </c>
      <c r="E11" s="15">
        <f>C11/C10*E10</f>
        <v>0</v>
      </c>
      <c r="F11" s="15">
        <f>C11/C10*F10</f>
        <v>0</v>
      </c>
      <c r="G11"/>
      <c r="H11"/>
      <c r="I11"/>
      <c r="J11"/>
      <c r="K11"/>
      <c r="L11"/>
      <c r="M11"/>
      <c r="N11"/>
      <c r="O11"/>
      <c r="P11"/>
      <c r="Q11"/>
    </row>
    <row r="12" spans="1:17" x14ac:dyDescent="0.2">
      <c r="B12" s="9" t="s">
        <v>13</v>
      </c>
      <c r="C12" s="16"/>
      <c r="D12" s="15">
        <f>C12/C10*D10</f>
        <v>0</v>
      </c>
      <c r="E12" s="15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9" t="s">
        <v>14</v>
      </c>
      <c r="C13" s="16"/>
      <c r="D13" s="15"/>
      <c r="E13" s="15">
        <f>C13</f>
        <v>0</v>
      </c>
      <c r="F13"/>
      <c r="G13"/>
      <c r="H13"/>
      <c r="I13"/>
      <c r="J13"/>
      <c r="K13"/>
      <c r="L13"/>
      <c r="M13"/>
      <c r="N13"/>
      <c r="O13"/>
      <c r="P13"/>
      <c r="Q13"/>
    </row>
    <row r="14" spans="1:17" ht="15.75" x14ac:dyDescent="0.2">
      <c r="A14" s="2"/>
      <c r="B14" s="888" t="s">
        <v>15</v>
      </c>
      <c r="C14" s="888"/>
      <c r="D14" s="888"/>
      <c r="E14" s="888"/>
      <c r="F14" s="888"/>
      <c r="G14" s="888"/>
      <c r="H14" s="888"/>
      <c r="I14" s="888"/>
      <c r="J14" s="888"/>
      <c r="K14" s="888"/>
      <c r="L14" s="888"/>
      <c r="M14"/>
      <c r="N14"/>
      <c r="O14"/>
      <c r="P14"/>
      <c r="Q14"/>
    </row>
    <row r="15" spans="1:17" ht="24" x14ac:dyDescent="0.2">
      <c r="B15" s="338" t="s">
        <v>16</v>
      </c>
      <c r="C15" s="339"/>
      <c r="D15" s="339" t="s">
        <v>17</v>
      </c>
      <c r="E15" s="340" t="s">
        <v>18</v>
      </c>
      <c r="F15"/>
      <c r="G15"/>
      <c r="H15"/>
      <c r="I15" s="514"/>
      <c r="J15"/>
      <c r="K15"/>
      <c r="L15"/>
      <c r="M15"/>
      <c r="N15"/>
      <c r="O15"/>
      <c r="P15"/>
      <c r="Q15"/>
    </row>
    <row r="16" spans="1:17" x14ac:dyDescent="0.2">
      <c r="B16" s="337" t="s">
        <v>19</v>
      </c>
      <c r="C16" s="390"/>
      <c r="D16" s="391">
        <v>0.2</v>
      </c>
      <c r="E16" s="17">
        <f>ROUND(C16*0.8,2)</f>
        <v>0</v>
      </c>
      <c r="F16"/>
      <c r="G16"/>
      <c r="H16"/>
      <c r="I16"/>
      <c r="J16"/>
      <c r="K16"/>
      <c r="L16"/>
      <c r="M16"/>
      <c r="N16"/>
      <c r="O16"/>
      <c r="P16"/>
      <c r="Q16"/>
    </row>
    <row r="17" spans="1:17" ht="17.100000000000001" customHeight="1" x14ac:dyDescent="0.2">
      <c r="B17" s="7" t="s">
        <v>20</v>
      </c>
      <c r="C17" s="392"/>
      <c r="D17" s="393">
        <f>D16</f>
        <v>0.2</v>
      </c>
      <c r="E17" s="392">
        <f>ROUND(C17*0.8,2)</f>
        <v>0</v>
      </c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">
      <c r="B18" s="7" t="s">
        <v>21</v>
      </c>
      <c r="C18" s="392"/>
      <c r="D18" s="393">
        <v>0.06</v>
      </c>
      <c r="E18" s="392"/>
      <c r="F18"/>
      <c r="G18"/>
      <c r="H18"/>
      <c r="I18"/>
      <c r="J18"/>
      <c r="K18"/>
      <c r="L18"/>
      <c r="M18"/>
      <c r="N18"/>
      <c r="O18"/>
      <c r="P18"/>
      <c r="Q18"/>
    </row>
    <row r="19" spans="1:17" ht="12.95" customHeight="1" x14ac:dyDescent="0.2">
      <c r="B19" s="7" t="s">
        <v>22</v>
      </c>
      <c r="C19" s="392"/>
      <c r="D19" s="393"/>
      <c r="E19" s="392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">
      <c r="B20" s="7" t="s">
        <v>23</v>
      </c>
      <c r="C20" s="15"/>
      <c r="D20" s="392"/>
      <c r="E20" s="15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">
      <c r="B21" s="18" t="s">
        <v>24</v>
      </c>
      <c r="C21" s="346"/>
      <c r="D21" s="15"/>
      <c r="E21" s="15">
        <f>(C21*C11)*22</f>
        <v>0</v>
      </c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">
      <c r="B22" s="18"/>
      <c r="C22" s="394"/>
      <c r="D22" s="392"/>
      <c r="E22" s="15"/>
      <c r="F22"/>
      <c r="G22"/>
      <c r="H22"/>
      <c r="I22"/>
      <c r="J22"/>
      <c r="K22"/>
      <c r="L22"/>
      <c r="M22"/>
      <c r="N22"/>
      <c r="O22"/>
      <c r="P22"/>
      <c r="Q22"/>
    </row>
    <row r="23" spans="1:17" ht="12.95" customHeight="1" x14ac:dyDescent="0.2">
      <c r="B23" s="376" t="s">
        <v>25</v>
      </c>
      <c r="C23" s="19"/>
      <c r="D23" s="393"/>
      <c r="E23" s="19">
        <f>C23</f>
        <v>0</v>
      </c>
      <c r="F23"/>
      <c r="G23"/>
      <c r="H23"/>
      <c r="I23"/>
      <c r="J23"/>
      <c r="K23"/>
      <c r="L23"/>
      <c r="M23"/>
      <c r="N23"/>
      <c r="O23"/>
      <c r="P23"/>
      <c r="Q23"/>
    </row>
    <row r="24" spans="1:17" ht="12.95" customHeight="1" x14ac:dyDescent="0.2">
      <c r="B24" s="377" t="s">
        <v>26</v>
      </c>
      <c r="C24" s="378"/>
      <c r="D24" s="393"/>
      <c r="E24" s="19">
        <f>C24</f>
        <v>0</v>
      </c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">
      <c r="B26"/>
      <c r="C26"/>
      <c r="D26" s="5"/>
      <c r="E26"/>
      <c r="F26"/>
      <c r="G26"/>
      <c r="H26"/>
      <c r="I26"/>
      <c r="J26" s="20"/>
      <c r="K26"/>
      <c r="L26"/>
      <c r="M26"/>
      <c r="N26"/>
    </row>
    <row r="27" spans="1:17" s="4" customFormat="1" ht="15.75" x14ac:dyDescent="0.2">
      <c r="A27" s="2"/>
      <c r="B27" s="888" t="s">
        <v>27</v>
      </c>
      <c r="C27" s="888"/>
      <c r="D27" s="888"/>
      <c r="E27" s="888"/>
      <c r="F27" s="888"/>
      <c r="G27" s="888"/>
      <c r="H27" s="888"/>
      <c r="I27" s="888"/>
      <c r="J27" s="888"/>
      <c r="K27" s="888"/>
      <c r="L27" s="888"/>
    </row>
    <row r="28" spans="1:17" s="4" customFormat="1" ht="12" x14ac:dyDescent="0.2">
      <c r="B28" s="891" t="s">
        <v>28</v>
      </c>
      <c r="C28" s="891"/>
      <c r="D28" s="891"/>
      <c r="E28" s="891"/>
      <c r="F28" s="891"/>
      <c r="G28" s="891"/>
      <c r="H28" s="891"/>
      <c r="I28" s="891"/>
      <c r="J28" s="891"/>
      <c r="K28" s="891"/>
      <c r="L28" s="891"/>
    </row>
    <row r="29" spans="1:17" s="4" customFormat="1" ht="12" x14ac:dyDescent="0.2">
      <c r="B29" s="892" t="s">
        <v>29</v>
      </c>
      <c r="C29" s="892"/>
      <c r="D29" s="892"/>
      <c r="E29" s="892"/>
      <c r="F29" s="892"/>
      <c r="G29" s="892"/>
      <c r="H29" s="892"/>
      <c r="I29" s="892"/>
      <c r="J29" s="892"/>
      <c r="K29" s="892"/>
      <c r="L29" s="892"/>
    </row>
    <row r="30" spans="1:17" s="4" customFormat="1" ht="12" x14ac:dyDescent="0.2">
      <c r="B30" s="891" t="s">
        <v>30</v>
      </c>
      <c r="C30" s="891"/>
      <c r="D30" s="891"/>
      <c r="E30" s="891"/>
      <c r="F30" s="891"/>
      <c r="G30" s="891"/>
      <c r="H30" s="891"/>
      <c r="I30" s="891"/>
      <c r="J30" s="891"/>
      <c r="K30" s="891"/>
      <c r="L30" s="891"/>
    </row>
    <row r="31" spans="1:17" s="4" customFormat="1" ht="12" x14ac:dyDescent="0.2">
      <c r="B31" s="893" t="s">
        <v>31</v>
      </c>
      <c r="C31" s="893"/>
      <c r="D31" s="893"/>
      <c r="E31" s="893"/>
      <c r="F31" s="893"/>
      <c r="G31" s="893"/>
      <c r="H31" s="893"/>
      <c r="I31" s="893"/>
      <c r="J31" s="893"/>
      <c r="K31" s="893"/>
      <c r="L31" s="893"/>
    </row>
    <row r="32" spans="1:17" s="4" customFormat="1" ht="12" x14ac:dyDescent="0.2">
      <c r="B32" s="891" t="s">
        <v>32</v>
      </c>
      <c r="C32" s="891"/>
      <c r="D32" s="891"/>
      <c r="E32" s="891"/>
      <c r="F32" s="891"/>
      <c r="G32" s="891"/>
      <c r="H32" s="891"/>
      <c r="I32" s="891"/>
      <c r="J32" s="891"/>
      <c r="K32" s="891"/>
      <c r="L32" s="891"/>
    </row>
    <row r="33" spans="1:14" s="4" customFormat="1" ht="12" x14ac:dyDescent="0.2">
      <c r="B33" s="894" t="s">
        <v>33</v>
      </c>
      <c r="C33" s="894"/>
      <c r="D33" s="894"/>
      <c r="E33" s="894"/>
      <c r="F33" s="894"/>
      <c r="G33" s="894"/>
      <c r="H33" s="894"/>
      <c r="I33" s="894"/>
      <c r="J33" s="894"/>
      <c r="K33" s="894"/>
      <c r="L33" s="894"/>
    </row>
    <row r="34" spans="1:14" s="4" customFormat="1" ht="12" x14ac:dyDescent="0.2">
      <c r="B34" s="893" t="s">
        <v>34</v>
      </c>
      <c r="C34" s="893"/>
      <c r="D34" s="893"/>
      <c r="E34" s="893"/>
      <c r="F34" s="893"/>
      <c r="G34" s="893"/>
      <c r="H34" s="893"/>
      <c r="I34" s="893"/>
      <c r="J34" s="893"/>
      <c r="K34" s="893"/>
      <c r="L34" s="893"/>
    </row>
    <row r="35" spans="1:14" s="4" customFormat="1" ht="12" x14ac:dyDescent="0.2">
      <c r="B35" s="893" t="s">
        <v>35</v>
      </c>
      <c r="C35" s="893"/>
      <c r="D35" s="893"/>
      <c r="E35" s="893"/>
      <c r="F35" s="893"/>
      <c r="G35" s="893"/>
      <c r="H35" s="893"/>
      <c r="I35" s="893"/>
      <c r="J35" s="893"/>
      <c r="K35" s="893"/>
      <c r="L35" s="893"/>
    </row>
    <row r="36" spans="1:14" s="4" customFormat="1" ht="12" x14ac:dyDescent="0.2">
      <c r="B36" s="891" t="s">
        <v>36</v>
      </c>
      <c r="C36" s="891"/>
      <c r="D36" s="891"/>
      <c r="E36" s="891"/>
      <c r="F36" s="891"/>
      <c r="G36" s="891"/>
      <c r="H36" s="891"/>
      <c r="I36" s="891"/>
      <c r="J36" s="891"/>
      <c r="K36" s="891"/>
      <c r="L36" s="891"/>
    </row>
    <row r="37" spans="1:14" s="4" customFormat="1" ht="12" x14ac:dyDescent="0.2">
      <c r="B37" s="893" t="s">
        <v>37</v>
      </c>
      <c r="C37" s="893"/>
      <c r="D37" s="893"/>
      <c r="E37" s="893"/>
      <c r="F37" s="893"/>
      <c r="G37" s="893"/>
      <c r="H37" s="893"/>
      <c r="I37" s="893"/>
      <c r="J37" s="893"/>
      <c r="K37" s="893"/>
      <c r="L37" s="893"/>
      <c r="N37" s="20"/>
    </row>
    <row r="38" spans="1:14" s="4" customFormat="1" x14ac:dyDescent="0.2">
      <c r="B38"/>
      <c r="C38"/>
      <c r="D38" s="5"/>
      <c r="E38"/>
      <c r="F38"/>
      <c r="G38"/>
      <c r="H38"/>
      <c r="I38"/>
      <c r="J38"/>
      <c r="N38" s="20"/>
    </row>
    <row r="39" spans="1:14" ht="15.75" x14ac:dyDescent="0.2">
      <c r="A39" s="2"/>
      <c r="B39" s="888" t="s">
        <v>38</v>
      </c>
      <c r="C39" s="888"/>
      <c r="D39" s="888"/>
      <c r="E39" s="888"/>
      <c r="F39" s="888"/>
      <c r="G39" s="888"/>
      <c r="H39" s="888"/>
      <c r="I39" s="888"/>
      <c r="J39" s="888"/>
      <c r="K39" s="888"/>
      <c r="L39" s="888"/>
      <c r="M39" s="20"/>
      <c r="N39" s="20"/>
    </row>
    <row r="40" spans="1:14" x14ac:dyDescent="0.2">
      <c r="B40" s="891" t="s">
        <v>39</v>
      </c>
      <c r="C40" s="891"/>
      <c r="D40" s="891"/>
      <c r="E40" s="891"/>
      <c r="F40" s="891"/>
      <c r="G40" s="891"/>
      <c r="H40" s="891"/>
      <c r="I40" s="891"/>
      <c r="J40" s="891"/>
      <c r="K40" s="891"/>
      <c r="L40" s="891"/>
      <c r="M40" s="20"/>
      <c r="N40" s="20"/>
    </row>
    <row r="41" spans="1:14" ht="26.1" customHeight="1" x14ac:dyDescent="0.2">
      <c r="B41" s="1" t="s">
        <v>40</v>
      </c>
      <c r="C41" s="897" t="s">
        <v>41</v>
      </c>
      <c r="D41" s="897"/>
      <c r="E41" s="897"/>
      <c r="F41" s="897"/>
      <c r="G41" s="897"/>
      <c r="H41" s="897"/>
      <c r="I41" s="897"/>
      <c r="J41" s="897"/>
      <c r="K41" s="897"/>
      <c r="L41" s="897"/>
      <c r="M41" s="20"/>
      <c r="N41" s="20"/>
    </row>
    <row r="42" spans="1:14" ht="26.1" customHeight="1" x14ac:dyDescent="0.2">
      <c r="B42" s="330" t="s">
        <v>42</v>
      </c>
      <c r="C42" s="895" t="s">
        <v>43</v>
      </c>
      <c r="D42" s="895"/>
      <c r="E42" s="895"/>
      <c r="F42" s="895"/>
      <c r="G42" s="895"/>
      <c r="H42" s="895"/>
      <c r="I42" s="895"/>
      <c r="J42" s="895"/>
      <c r="K42" s="895"/>
      <c r="L42" s="895"/>
      <c r="M42" s="20"/>
      <c r="N42" s="20"/>
    </row>
    <row r="43" spans="1:14" x14ac:dyDescent="0.2">
      <c r="B43" s="21"/>
      <c r="C43" s="896" t="s">
        <v>44</v>
      </c>
      <c r="D43" s="896"/>
      <c r="E43" s="22">
        <v>1</v>
      </c>
      <c r="F43" s="20"/>
      <c r="G43" s="20"/>
      <c r="H43" s="20"/>
      <c r="I43" s="20"/>
      <c r="J43" s="20"/>
      <c r="K43" s="20"/>
      <c r="L43" s="20"/>
      <c r="M43" s="20"/>
      <c r="N43" s="20"/>
    </row>
    <row r="44" spans="1:14" x14ac:dyDescent="0.2">
      <c r="B44"/>
      <c r="C44" s="896" t="s">
        <v>45</v>
      </c>
      <c r="D44" s="896"/>
      <c r="E44" s="22">
        <v>3.4931999999999999</v>
      </c>
      <c r="F44" s="20"/>
      <c r="G44" s="20" t="s">
        <v>46</v>
      </c>
      <c r="H44" s="20"/>
      <c r="I44" s="20"/>
      <c r="J44" s="20"/>
      <c r="K44" s="20"/>
      <c r="L44" s="20"/>
      <c r="M44" s="20"/>
      <c r="N44" s="20"/>
    </row>
    <row r="45" spans="1:14" x14ac:dyDescent="0.2">
      <c r="B45"/>
      <c r="C45" s="896" t="s">
        <v>47</v>
      </c>
      <c r="D45" s="896"/>
      <c r="E45" s="22">
        <v>0.26879999999999998</v>
      </c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">
      <c r="B46"/>
      <c r="C46" s="896" t="s">
        <v>48</v>
      </c>
      <c r="D46" s="896"/>
      <c r="E46" s="22">
        <v>4.2700000000000002E-2</v>
      </c>
      <c r="F46" s="20"/>
      <c r="G46" s="20"/>
      <c r="H46" s="20"/>
      <c r="I46" s="20"/>
      <c r="J46" s="20"/>
      <c r="K46" s="20"/>
      <c r="L46" s="20"/>
      <c r="M46" s="20"/>
      <c r="N46" s="20"/>
    </row>
    <row r="47" spans="1:14" x14ac:dyDescent="0.2">
      <c r="B47"/>
      <c r="C47" s="896" t="s">
        <v>49</v>
      </c>
      <c r="D47" s="896"/>
      <c r="E47" s="22">
        <v>3.5499999999999997E-2</v>
      </c>
      <c r="F47" s="20"/>
      <c r="G47" s="20"/>
      <c r="H47" s="20"/>
      <c r="I47" s="20"/>
      <c r="J47" s="20"/>
      <c r="K47" s="20"/>
      <c r="L47" s="20"/>
      <c r="M47" s="20"/>
      <c r="N47" s="20"/>
    </row>
    <row r="48" spans="1:14" x14ac:dyDescent="0.2">
      <c r="B48"/>
      <c r="C48" s="896" t="s">
        <v>50</v>
      </c>
      <c r="D48" s="896"/>
      <c r="E48" s="341">
        <v>0.02</v>
      </c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">
      <c r="B49"/>
      <c r="C49" s="896" t="s">
        <v>51</v>
      </c>
      <c r="D49" s="896"/>
      <c r="E49" s="341">
        <v>4.0000000000000001E-3</v>
      </c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2">
      <c r="B50"/>
      <c r="C50" s="896" t="s">
        <v>52</v>
      </c>
      <c r="D50" s="896"/>
      <c r="E50" s="22">
        <v>9.7999999999999997E-3</v>
      </c>
      <c r="F50" s="20"/>
      <c r="G50" s="20"/>
      <c r="H50" s="20"/>
      <c r="I50" s="20"/>
      <c r="J50" s="20"/>
      <c r="K50" s="20"/>
      <c r="L50" s="20"/>
      <c r="M50" s="20"/>
      <c r="N50" s="20"/>
    </row>
    <row r="51" spans="1:14" s="4" customFormat="1" x14ac:dyDescent="0.2">
      <c r="B51"/>
      <c r="C51" s="898" t="s">
        <v>53</v>
      </c>
      <c r="D51" s="898"/>
      <c r="E51" s="23">
        <f>SUM(E43:E50)</f>
        <v>4.8739999999999988</v>
      </c>
      <c r="F51"/>
      <c r="G51"/>
      <c r="H51"/>
      <c r="I51"/>
      <c r="J51"/>
      <c r="M51" s="20"/>
      <c r="N51" s="20"/>
    </row>
    <row r="52" spans="1:14" x14ac:dyDescent="0.2">
      <c r="B52" s="534" t="s">
        <v>54</v>
      </c>
      <c r="C52" s="899" t="s">
        <v>55</v>
      </c>
      <c r="D52" s="900"/>
      <c r="E52" s="900"/>
      <c r="F52" s="900"/>
      <c r="G52" s="900"/>
      <c r="H52" s="900"/>
      <c r="I52" s="900"/>
      <c r="J52" s="900"/>
      <c r="K52" s="900"/>
      <c r="L52" s="901"/>
      <c r="M52" s="20"/>
      <c r="N52" s="20"/>
    </row>
    <row r="53" spans="1:14" x14ac:dyDescent="0.2">
      <c r="B53" s="906" t="s">
        <v>56</v>
      </c>
      <c r="C53" s="907"/>
      <c r="D53" s="907"/>
      <c r="E53" s="908"/>
      <c r="F53" s="535">
        <v>1.4999999999999999E-2</v>
      </c>
      <c r="G53" s="385"/>
      <c r="H53" s="385"/>
      <c r="I53" s="385"/>
      <c r="J53" s="385"/>
      <c r="K53" s="385"/>
      <c r="L53" s="386"/>
      <c r="M53" s="20"/>
      <c r="N53" s="20"/>
    </row>
    <row r="54" spans="1:14" ht="12.75" customHeight="1" x14ac:dyDescent="0.2">
      <c r="B54" s="532" t="s">
        <v>57</v>
      </c>
      <c r="C54" s="533">
        <v>0.51670000000000005</v>
      </c>
      <c r="D54" s="385"/>
      <c r="E54" s="385"/>
      <c r="F54" s="385"/>
      <c r="G54" s="385"/>
      <c r="H54" s="385"/>
      <c r="I54" s="385"/>
      <c r="J54" s="385"/>
      <c r="K54" s="385"/>
      <c r="L54" s="386"/>
      <c r="M54" s="20"/>
      <c r="N54" s="20"/>
    </row>
    <row r="55" spans="1:14" ht="26.1" customHeight="1" x14ac:dyDescent="0.2">
      <c r="B55" s="25" t="s">
        <v>58</v>
      </c>
      <c r="C55" s="902" t="s">
        <v>59</v>
      </c>
      <c r="D55" s="902"/>
      <c r="E55" s="902"/>
      <c r="F55" s="902"/>
      <c r="G55" s="902"/>
      <c r="H55" s="902"/>
      <c r="I55" s="902"/>
      <c r="J55" s="902"/>
      <c r="K55" s="902"/>
      <c r="L55" s="902"/>
      <c r="M55" s="20"/>
      <c r="N55" s="20"/>
    </row>
    <row r="56" spans="1:14" ht="12.75" customHeight="1" x14ac:dyDescent="0.2">
      <c r="B56" s="379" t="s">
        <v>60</v>
      </c>
      <c r="C56" s="382">
        <v>0.96589999999999998</v>
      </c>
      <c r="D56" s="380"/>
      <c r="E56" s="380"/>
      <c r="F56" s="380"/>
      <c r="G56" s="380"/>
      <c r="H56" s="380"/>
      <c r="I56" s="380"/>
      <c r="J56" s="380"/>
      <c r="K56" s="380"/>
      <c r="L56" s="381"/>
      <c r="M56" s="20"/>
      <c r="N56" s="20"/>
    </row>
    <row r="57" spans="1:14" x14ac:dyDescent="0.2">
      <c r="B57" s="903" t="s">
        <v>61</v>
      </c>
      <c r="C57" s="903"/>
      <c r="D57" s="903"/>
      <c r="E57" s="903"/>
      <c r="F57" s="903"/>
      <c r="G57" s="903"/>
      <c r="H57" s="903"/>
      <c r="I57" s="903"/>
      <c r="J57" s="903"/>
      <c r="K57" s="903"/>
      <c r="L57" s="903"/>
      <c r="M57" s="20"/>
      <c r="N57" s="20"/>
    </row>
    <row r="58" spans="1:14" ht="33" customHeight="1" x14ac:dyDescent="0.2">
      <c r="B58" s="24" t="s">
        <v>62</v>
      </c>
      <c r="C58" s="904" t="s">
        <v>63</v>
      </c>
      <c r="D58" s="904"/>
      <c r="E58" s="904"/>
      <c r="F58" s="904"/>
      <c r="G58" s="904"/>
      <c r="H58" s="904"/>
      <c r="I58" s="904"/>
      <c r="J58" s="904"/>
      <c r="K58" s="904"/>
      <c r="L58" s="904"/>
      <c r="M58" s="20"/>
      <c r="N58" s="20"/>
    </row>
    <row r="59" spans="1:14" ht="12.75" customHeight="1" x14ac:dyDescent="0.2">
      <c r="B59" s="384" t="s">
        <v>64</v>
      </c>
      <c r="C59" s="389">
        <v>0.48330000000000001</v>
      </c>
      <c r="D59" s="387"/>
      <c r="E59" s="387"/>
      <c r="F59" s="387"/>
      <c r="G59" s="387"/>
      <c r="H59" s="387"/>
      <c r="I59" s="387"/>
      <c r="J59" s="387"/>
      <c r="K59" s="387"/>
      <c r="L59" s="388"/>
      <c r="M59" s="20"/>
      <c r="N59" s="20"/>
    </row>
    <row r="60" spans="1:14" ht="12.75" customHeight="1" x14ac:dyDescent="0.2">
      <c r="B60" s="379" t="s">
        <v>65</v>
      </c>
      <c r="C60" s="382">
        <v>3.2000000000000002E-3</v>
      </c>
      <c r="D60" s="383"/>
      <c r="E60" s="380"/>
      <c r="F60" s="380"/>
      <c r="G60" s="380"/>
      <c r="H60" s="380"/>
      <c r="I60" s="380"/>
      <c r="J60" s="380"/>
      <c r="K60" s="380"/>
      <c r="L60" s="381"/>
      <c r="M60" s="20"/>
      <c r="N60" s="20"/>
    </row>
    <row r="61" spans="1:14" ht="12.75" customHeight="1" x14ac:dyDescent="0.2">
      <c r="B61" s="506"/>
      <c r="C61" s="507"/>
      <c r="D61" s="507"/>
      <c r="E61" s="506"/>
      <c r="F61" s="506"/>
      <c r="G61" s="506"/>
      <c r="H61" s="506"/>
      <c r="I61" s="506"/>
      <c r="J61" s="506"/>
      <c r="K61" s="506"/>
      <c r="L61" s="506"/>
      <c r="M61" s="20"/>
      <c r="N61" s="20"/>
    </row>
    <row r="62" spans="1:14" ht="12.75" customHeight="1" x14ac:dyDescent="0.2">
      <c r="A62" s="2"/>
      <c r="B62" s="905" t="s">
        <v>66</v>
      </c>
      <c r="C62" s="905"/>
      <c r="D62" s="905"/>
      <c r="E62" s="905"/>
      <c r="F62" s="905"/>
      <c r="G62" s="905"/>
      <c r="H62" s="905"/>
      <c r="I62" s="905"/>
      <c r="J62" s="905"/>
      <c r="K62" s="905"/>
      <c r="L62" s="905"/>
      <c r="M62" s="20"/>
      <c r="N62" s="20"/>
    </row>
    <row r="63" spans="1:14" ht="12.75" customHeight="1" x14ac:dyDescent="0.2">
      <c r="B63" s="510" t="s">
        <v>67</v>
      </c>
      <c r="C63" s="509"/>
      <c r="D63" s="507"/>
      <c r="E63" s="506"/>
      <c r="F63" s="506"/>
      <c r="G63" s="506"/>
      <c r="H63" s="506"/>
      <c r="I63" s="506"/>
      <c r="J63" s="506"/>
      <c r="K63" s="506"/>
      <c r="L63" s="506"/>
      <c r="M63" s="20"/>
      <c r="N63" s="20"/>
    </row>
    <row r="64" spans="1:14" ht="12.75" customHeight="1" x14ac:dyDescent="0.2">
      <c r="B64" s="508" t="s">
        <v>68</v>
      </c>
      <c r="C64" s="509"/>
      <c r="D64" s="507"/>
      <c r="E64" s="506"/>
      <c r="F64" s="506"/>
      <c r="G64" s="506"/>
      <c r="H64" s="506"/>
      <c r="I64" s="506"/>
      <c r="J64" s="506"/>
      <c r="K64" s="506"/>
      <c r="L64" s="506"/>
      <c r="M64" s="20"/>
      <c r="N64" s="20"/>
    </row>
    <row r="65" spans="1:14" x14ac:dyDescent="0.2">
      <c r="M65" s="20"/>
      <c r="N65" s="20"/>
    </row>
    <row r="66" spans="1:14" ht="15.75" x14ac:dyDescent="0.2">
      <c r="A66" s="2"/>
      <c r="B66" s="888" t="s">
        <v>69</v>
      </c>
      <c r="C66" s="888"/>
      <c r="D66" s="888"/>
      <c r="E66" s="888"/>
      <c r="F66" s="888"/>
      <c r="G66" s="888"/>
      <c r="H66" s="888"/>
      <c r="I66" s="888"/>
      <c r="J66" s="888"/>
      <c r="K66" s="888"/>
      <c r="L66" s="888"/>
    </row>
    <row r="67" spans="1:14" x14ac:dyDescent="0.2">
      <c r="B67" s="544" t="s">
        <v>70</v>
      </c>
      <c r="C67" s="26" t="s">
        <v>71</v>
      </c>
      <c r="D67" s="26" t="s">
        <v>72</v>
      </c>
      <c r="E67" s="27" t="s">
        <v>73</v>
      </c>
      <c r="F67" s="28" t="s">
        <v>74</v>
      </c>
      <c r="G67"/>
      <c r="H67" s="536" t="s">
        <v>75</v>
      </c>
      <c r="I67" s="26" t="s">
        <v>71</v>
      </c>
      <c r="J67" s="26" t="s">
        <v>72</v>
      </c>
      <c r="K67" s="27" t="s">
        <v>73</v>
      </c>
      <c r="L67" s="28" t="s">
        <v>74</v>
      </c>
    </row>
    <row r="68" spans="1:14" x14ac:dyDescent="0.2">
      <c r="B68" s="543" t="s">
        <v>76</v>
      </c>
      <c r="C68" s="542"/>
      <c r="D68" s="539"/>
      <c r="E68" s="29">
        <f>SUM('Prod. GEXCAS'!N4:Q4,'Prod. GEXCAS'!U4)</f>
        <v>4</v>
      </c>
      <c r="F68" s="30">
        <f>E68*D68</f>
        <v>0</v>
      </c>
      <c r="G68"/>
      <c r="H68" s="545" t="s">
        <v>77</v>
      </c>
      <c r="I68" s="538"/>
      <c r="J68" s="539"/>
      <c r="K68" s="29">
        <f>SUM('Prod. GEXLON'!N4:R4,'Prod. GEXLON'!V4)</f>
        <v>4</v>
      </c>
      <c r="L68" s="30">
        <f t="shared" ref="L68:L82" si="0">K68*J68</f>
        <v>0</v>
      </c>
    </row>
    <row r="69" spans="1:14" x14ac:dyDescent="0.2">
      <c r="B69" s="537" t="s">
        <v>78</v>
      </c>
      <c r="C69" s="542"/>
      <c r="D69" s="539"/>
      <c r="E69" s="29">
        <f>SUM('Prod. GEXCAS'!N5:Q5)</f>
        <v>1</v>
      </c>
      <c r="F69" s="30">
        <f t="shared" ref="F69:F84" si="1">E69*D69</f>
        <v>0</v>
      </c>
      <c r="G69"/>
      <c r="H69" s="546" t="s">
        <v>79</v>
      </c>
      <c r="I69" s="538"/>
      <c r="J69" s="539"/>
      <c r="K69" s="29">
        <f>SUM('Prod. GEXLON'!N5:R5)</f>
        <v>5</v>
      </c>
      <c r="L69" s="30">
        <f t="shared" si="0"/>
        <v>0</v>
      </c>
    </row>
    <row r="70" spans="1:14" x14ac:dyDescent="0.2">
      <c r="B70" s="537" t="s">
        <v>80</v>
      </c>
      <c r="C70" s="542"/>
      <c r="D70" s="539"/>
      <c r="E70" s="29">
        <f>SUM('Prod. GEXCAS'!N6:Q6)</f>
        <v>6</v>
      </c>
      <c r="F70" s="30">
        <f t="shared" si="1"/>
        <v>0</v>
      </c>
      <c r="G70"/>
      <c r="H70" s="546" t="s">
        <v>81</v>
      </c>
      <c r="I70" s="538"/>
      <c r="J70" s="539"/>
      <c r="K70" s="29">
        <f>SUM('Prod. GEXLON'!N6:R6)</f>
        <v>5</v>
      </c>
      <c r="L70" s="30">
        <f t="shared" si="0"/>
        <v>0</v>
      </c>
    </row>
    <row r="71" spans="1:14" x14ac:dyDescent="0.2">
      <c r="B71" s="537" t="s">
        <v>82</v>
      </c>
      <c r="C71" s="542"/>
      <c r="D71" s="539"/>
      <c r="E71" s="29">
        <f>SUM('Prod. GEXCAS'!N7:Q7)</f>
        <v>5</v>
      </c>
      <c r="F71" s="30">
        <f t="shared" si="1"/>
        <v>0</v>
      </c>
      <c r="G71"/>
      <c r="H71" s="546" t="s">
        <v>83</v>
      </c>
      <c r="I71" s="538"/>
      <c r="J71" s="539"/>
      <c r="K71" s="29">
        <f>SUM('Prod. GEXLON'!N7:R7)</f>
        <v>3</v>
      </c>
      <c r="L71" s="30">
        <f t="shared" si="0"/>
        <v>0</v>
      </c>
    </row>
    <row r="72" spans="1:14" x14ac:dyDescent="0.2">
      <c r="B72" s="537" t="s">
        <v>84</v>
      </c>
      <c r="C72" s="542"/>
      <c r="D72" s="539"/>
      <c r="E72" s="29">
        <f>SUM('Prod. GEXCAS'!N8:Q8)</f>
        <v>4</v>
      </c>
      <c r="F72" s="30">
        <f t="shared" si="1"/>
        <v>0</v>
      </c>
      <c r="G72"/>
      <c r="H72" s="546" t="s">
        <v>85</v>
      </c>
      <c r="I72" s="547"/>
      <c r="J72" s="541"/>
      <c r="K72" s="29">
        <f>SUM('Prod. GEXLON'!N8:R8)</f>
        <v>3</v>
      </c>
      <c r="L72" s="30"/>
    </row>
    <row r="73" spans="1:14" x14ac:dyDescent="0.2">
      <c r="B73" s="537" t="s">
        <v>87</v>
      </c>
      <c r="C73" s="542"/>
      <c r="D73" s="540"/>
      <c r="E73" s="29">
        <f>SUM('Prod. GEXCAS'!N9:Q9)</f>
        <v>2</v>
      </c>
      <c r="F73" s="30">
        <f t="shared" si="1"/>
        <v>0</v>
      </c>
      <c r="G73"/>
      <c r="H73" s="546" t="s">
        <v>88</v>
      </c>
      <c r="I73" s="538"/>
      <c r="J73" s="539"/>
      <c r="K73" s="29">
        <f>SUM('Prod. GEXLON'!N9:R9)</f>
        <v>4</v>
      </c>
      <c r="L73" s="30">
        <f t="shared" si="0"/>
        <v>0</v>
      </c>
    </row>
    <row r="74" spans="1:14" x14ac:dyDescent="0.2">
      <c r="B74" s="537" t="s">
        <v>89</v>
      </c>
      <c r="C74" s="542"/>
      <c r="D74" s="539"/>
      <c r="E74" s="29">
        <f>SUM('Prod. GEXCAS'!N10:Q10)</f>
        <v>5</v>
      </c>
      <c r="F74" s="30">
        <f t="shared" si="1"/>
        <v>0</v>
      </c>
      <c r="G74"/>
      <c r="H74" s="546" t="s">
        <v>90</v>
      </c>
      <c r="I74" s="552"/>
      <c r="J74" s="539"/>
      <c r="K74" s="29">
        <f>SUM('Prod. GEXLON'!N10:R10)</f>
        <v>1</v>
      </c>
      <c r="L74" s="30">
        <f t="shared" si="0"/>
        <v>0</v>
      </c>
    </row>
    <row r="75" spans="1:14" x14ac:dyDescent="0.2">
      <c r="B75" s="537" t="s">
        <v>91</v>
      </c>
      <c r="C75" s="542"/>
      <c r="D75" s="541"/>
      <c r="E75" s="29">
        <f>SUM('Prod. GEXCAS'!N11:Q11)</f>
        <v>1</v>
      </c>
      <c r="F75" s="30" t="s">
        <v>86</v>
      </c>
      <c r="G75"/>
      <c r="H75" s="546" t="s">
        <v>92</v>
      </c>
      <c r="I75" s="547"/>
      <c r="J75" s="541"/>
      <c r="K75" s="29">
        <f>SUM('Prod. GEXLON'!N11:R11)</f>
        <v>1</v>
      </c>
      <c r="L75" s="30"/>
    </row>
    <row r="76" spans="1:14" x14ac:dyDescent="0.2">
      <c r="B76" s="537" t="s">
        <v>93</v>
      </c>
      <c r="C76" s="542"/>
      <c r="D76" s="539"/>
      <c r="E76" s="29">
        <f>SUM('Prod. GEXCAS'!N12:Q12)</f>
        <v>4</v>
      </c>
      <c r="F76" s="30">
        <f t="shared" si="1"/>
        <v>0</v>
      </c>
      <c r="G76"/>
      <c r="H76" s="546" t="s">
        <v>94</v>
      </c>
      <c r="I76" s="547"/>
      <c r="J76" s="548"/>
      <c r="K76" s="29">
        <f>SUM('Prod. GEXLON'!N12:R12)</f>
        <v>1</v>
      </c>
      <c r="L76" s="30">
        <f t="shared" si="0"/>
        <v>0</v>
      </c>
    </row>
    <row r="77" spans="1:14" x14ac:dyDescent="0.2">
      <c r="B77" s="537" t="s">
        <v>95</v>
      </c>
      <c r="C77" s="542"/>
      <c r="D77" s="539"/>
      <c r="E77" s="29">
        <f>SUM('Prod. GEXCAS'!N13:Q13)</f>
        <v>2</v>
      </c>
      <c r="F77" s="30">
        <f t="shared" si="1"/>
        <v>0</v>
      </c>
      <c r="G77"/>
      <c r="H77" s="546" t="s">
        <v>96</v>
      </c>
      <c r="I77" s="538"/>
      <c r="J77" s="539"/>
      <c r="K77" s="29">
        <f>SUM('Prod. GEXLON'!N13:R13)</f>
        <v>3</v>
      </c>
      <c r="L77" s="30">
        <f t="shared" si="0"/>
        <v>0</v>
      </c>
    </row>
    <row r="78" spans="1:14" x14ac:dyDescent="0.2">
      <c r="B78" s="537" t="s">
        <v>97</v>
      </c>
      <c r="C78" s="542"/>
      <c r="D78" s="541"/>
      <c r="E78" s="29">
        <f>SUM('Prod. GEXCAS'!N14:Q14)</f>
        <v>1</v>
      </c>
      <c r="F78" s="30" t="s">
        <v>86</v>
      </c>
      <c r="G78"/>
      <c r="H78" s="546" t="s">
        <v>98</v>
      </c>
      <c r="I78" s="538"/>
      <c r="J78" s="539"/>
      <c r="K78" s="29">
        <f>SUM('Prod. GEXLON'!N14:R14)</f>
        <v>6</v>
      </c>
      <c r="L78" s="30">
        <f t="shared" si="0"/>
        <v>0</v>
      </c>
    </row>
    <row r="79" spans="1:14" x14ac:dyDescent="0.2">
      <c r="B79" s="537" t="s">
        <v>99</v>
      </c>
      <c r="C79" s="542"/>
      <c r="D79" s="539"/>
      <c r="E79" s="29">
        <f>SUM('Prod. GEXCAS'!N15:Q15)</f>
        <v>2</v>
      </c>
      <c r="F79" s="30" t="s">
        <v>86</v>
      </c>
      <c r="G79"/>
      <c r="H79" s="546" t="s">
        <v>100</v>
      </c>
      <c r="I79" s="538"/>
      <c r="J79" s="539"/>
      <c r="K79" s="29">
        <f>SUM('Prod. GEXLON'!N15:R15)</f>
        <v>2</v>
      </c>
      <c r="L79" s="30">
        <f t="shared" si="0"/>
        <v>0</v>
      </c>
    </row>
    <row r="80" spans="1:14" x14ac:dyDescent="0.2">
      <c r="B80" s="537" t="s">
        <v>101</v>
      </c>
      <c r="C80" s="542"/>
      <c r="D80" s="539"/>
      <c r="E80" s="29">
        <f>SUM('Prod. GEXCAS'!N16:Q16)</f>
        <v>2</v>
      </c>
      <c r="F80" s="30">
        <f t="shared" si="1"/>
        <v>0</v>
      </c>
      <c r="G80"/>
      <c r="H80" s="546" t="s">
        <v>102</v>
      </c>
      <c r="I80" s="547"/>
      <c r="J80" s="541"/>
      <c r="K80" s="29">
        <f>SUM('Prod. GEXLON'!N16:R16)</f>
        <v>1</v>
      </c>
      <c r="L80" s="30"/>
    </row>
    <row r="81" spans="2:12" x14ac:dyDescent="0.2">
      <c r="B81" s="537" t="s">
        <v>103</v>
      </c>
      <c r="C81" s="542"/>
      <c r="D81" s="541"/>
      <c r="E81" s="29">
        <f>SUM('Prod. GEXCAS'!N17:Q17)</f>
        <v>1</v>
      </c>
      <c r="F81" s="30" t="s">
        <v>86</v>
      </c>
      <c r="G81"/>
      <c r="H81" s="546" t="s">
        <v>104</v>
      </c>
      <c r="I81" s="547"/>
      <c r="J81" s="539"/>
      <c r="K81" s="29">
        <f>SUM('Prod. GEXLON'!N17:R17)</f>
        <v>2</v>
      </c>
      <c r="L81" s="30">
        <f t="shared" si="0"/>
        <v>0</v>
      </c>
    </row>
    <row r="82" spans="2:12" x14ac:dyDescent="0.2">
      <c r="B82" s="537" t="s">
        <v>105</v>
      </c>
      <c r="C82" s="542"/>
      <c r="D82" s="539"/>
      <c r="E82" s="29">
        <f>SUM('Prod. GEXCAS'!N18:Q18)</f>
        <v>1</v>
      </c>
      <c r="F82" s="30">
        <f t="shared" si="1"/>
        <v>0</v>
      </c>
      <c r="G82"/>
      <c r="H82" s="546" t="s">
        <v>106</v>
      </c>
      <c r="I82" s="547"/>
      <c r="J82" s="539"/>
      <c r="K82" s="29">
        <f>SUM('Prod. GEXLON'!N18:R18)</f>
        <v>1</v>
      </c>
      <c r="L82" s="30">
        <f t="shared" si="0"/>
        <v>0</v>
      </c>
    </row>
    <row r="83" spans="2:12" x14ac:dyDescent="0.2">
      <c r="B83" s="537" t="s">
        <v>107</v>
      </c>
      <c r="C83" s="542"/>
      <c r="D83" s="541"/>
      <c r="E83" s="29">
        <f>SUM('Prod. GEXCAS'!N19:Q19)</f>
        <v>1</v>
      </c>
      <c r="F83" s="30" t="s">
        <v>86</v>
      </c>
      <c r="G83"/>
      <c r="H83" s="31" t="s">
        <v>108</v>
      </c>
      <c r="I83"/>
      <c r="J83" s="32" t="e">
        <f>AVERAGE(J68:J82)</f>
        <v>#DIV/0!</v>
      </c>
      <c r="K83" s="29"/>
      <c r="L83" s="30"/>
    </row>
    <row r="84" spans="2:12" x14ac:dyDescent="0.2">
      <c r="B84" s="537" t="s">
        <v>109</v>
      </c>
      <c r="C84" s="542"/>
      <c r="D84" s="539"/>
      <c r="E84" s="29">
        <f>SUM('Prod. GEXCAS'!N20:Q20)</f>
        <v>1</v>
      </c>
      <c r="F84" s="30">
        <f t="shared" si="1"/>
        <v>0</v>
      </c>
      <c r="G84"/>
      <c r="H84" s="331" t="s">
        <v>110</v>
      </c>
      <c r="I84" s="332"/>
      <c r="J84" s="333">
        <f>L84/K84</f>
        <v>0</v>
      </c>
      <c r="K84" s="29">
        <f>SUM(K68:K82)-K72-K75-K80</f>
        <v>37</v>
      </c>
      <c r="L84" s="30">
        <f>SUM(L68:L82)</f>
        <v>0</v>
      </c>
    </row>
    <row r="85" spans="2:12" x14ac:dyDescent="0.2">
      <c r="B85" s="537" t="s">
        <v>111</v>
      </c>
      <c r="C85" s="542"/>
      <c r="D85" s="541"/>
      <c r="E85" s="29">
        <f>SUM('Prod. GEXCAS'!N21:Q21)</f>
        <v>1</v>
      </c>
      <c r="F85" s="30" t="s">
        <v>86</v>
      </c>
      <c r="G85"/>
      <c r="K85" s="4"/>
      <c r="L85" s="4"/>
    </row>
    <row r="86" spans="2:12" x14ac:dyDescent="0.2">
      <c r="B86" s="537" t="s">
        <v>112</v>
      </c>
      <c r="C86" s="542"/>
      <c r="D86" s="541"/>
      <c r="E86" s="29">
        <f>SUM('Prod. GEXCAS'!N22:Q22)</f>
        <v>1</v>
      </c>
      <c r="F86" s="30" t="s">
        <v>86</v>
      </c>
      <c r="G86"/>
    </row>
    <row r="87" spans="2:12" x14ac:dyDescent="0.2">
      <c r="B87" s="31" t="s">
        <v>108</v>
      </c>
      <c r="C87"/>
      <c r="D87" s="32" t="e">
        <f>AVERAGE(D68:D86)</f>
        <v>#DIV/0!</v>
      </c>
      <c r="E87" s="29">
        <f>SUM(E68:E86)-E75-E78-E81-E83-E85-E86</f>
        <v>39</v>
      </c>
      <c r="F87" s="30">
        <f>SUM(F68:F86)</f>
        <v>0</v>
      </c>
      <c r="G87"/>
    </row>
    <row r="88" spans="2:12" x14ac:dyDescent="0.2">
      <c r="B88" s="331" t="s">
        <v>110</v>
      </c>
      <c r="C88" s="332"/>
      <c r="D88" s="333">
        <f>F87/E87</f>
        <v>0</v>
      </c>
      <c r="E88"/>
      <c r="F88"/>
      <c r="G88"/>
    </row>
    <row r="89" spans="2:12" x14ac:dyDescent="0.2">
      <c r="B89"/>
      <c r="C89"/>
      <c r="D89"/>
      <c r="E89"/>
      <c r="F89"/>
      <c r="G89"/>
    </row>
    <row r="90" spans="2:12" x14ac:dyDescent="0.2">
      <c r="B90" s="553" t="s">
        <v>113</v>
      </c>
      <c r="C90" s="554" t="s">
        <v>71</v>
      </c>
      <c r="D90" s="26" t="s">
        <v>72</v>
      </c>
      <c r="E90" s="27" t="s">
        <v>73</v>
      </c>
      <c r="F90" s="28" t="s">
        <v>74</v>
      </c>
      <c r="G90"/>
    </row>
    <row r="91" spans="2:12" x14ac:dyDescent="0.2">
      <c r="B91" s="545" t="s">
        <v>114</v>
      </c>
      <c r="C91" s="542"/>
      <c r="D91" s="539"/>
      <c r="E91" s="29">
        <f>SUM('Prod. GEXMRG'!N4:O4,'Prod. GEXMRG'!U4)</f>
        <v>5</v>
      </c>
      <c r="F91" s="30">
        <f>E91*D91</f>
        <v>0</v>
      </c>
    </row>
    <row r="92" spans="2:12" x14ac:dyDescent="0.2">
      <c r="B92" s="546" t="s">
        <v>115</v>
      </c>
      <c r="C92" s="542"/>
      <c r="D92" s="539"/>
      <c r="E92" s="29">
        <f>SUM('Prod. GEXMRG'!N5:O5)</f>
        <v>4</v>
      </c>
      <c r="F92" s="30">
        <f t="shared" ref="F92:F104" si="2">E92*D92</f>
        <v>0</v>
      </c>
    </row>
    <row r="93" spans="2:12" x14ac:dyDescent="0.2">
      <c r="B93" s="546" t="s">
        <v>116</v>
      </c>
      <c r="C93" s="542"/>
      <c r="D93" s="539"/>
      <c r="E93" s="29">
        <f>SUM('Prod. GEXMRG'!N6:O6)</f>
        <v>2</v>
      </c>
      <c r="F93" s="30">
        <f t="shared" si="2"/>
        <v>0</v>
      </c>
    </row>
    <row r="94" spans="2:12" x14ac:dyDescent="0.2">
      <c r="B94" s="546" t="s">
        <v>117</v>
      </c>
      <c r="C94" s="542"/>
      <c r="D94" s="539"/>
      <c r="E94" s="29">
        <f>SUM('Prod. GEXMRG'!N7:O7)</f>
        <v>1</v>
      </c>
      <c r="F94" s="30">
        <f t="shared" si="2"/>
        <v>0</v>
      </c>
    </row>
    <row r="95" spans="2:12" x14ac:dyDescent="0.2">
      <c r="B95" s="546" t="s">
        <v>118</v>
      </c>
      <c r="C95" s="542"/>
      <c r="D95" s="539"/>
      <c r="E95" s="29">
        <f>SUM('Prod. GEXMRG'!N8:O8)</f>
        <v>1</v>
      </c>
      <c r="F95" s="30"/>
    </row>
    <row r="96" spans="2:12" x14ac:dyDescent="0.2">
      <c r="B96" s="546" t="s">
        <v>119</v>
      </c>
      <c r="C96" s="542"/>
      <c r="D96" s="540"/>
      <c r="E96" s="29">
        <f>SUM('Prod. GEXMRG'!N9:O9)</f>
        <v>4</v>
      </c>
      <c r="F96" s="30">
        <f t="shared" si="2"/>
        <v>0</v>
      </c>
    </row>
    <row r="97" spans="2:6" x14ac:dyDescent="0.2">
      <c r="B97" s="546" t="s">
        <v>120</v>
      </c>
      <c r="C97" s="542"/>
      <c r="D97" s="539"/>
      <c r="E97" s="29">
        <f>SUM('Prod. GEXMRG'!N10:O10)</f>
        <v>4</v>
      </c>
      <c r="F97" s="30">
        <f t="shared" si="2"/>
        <v>0</v>
      </c>
    </row>
    <row r="98" spans="2:6" x14ac:dyDescent="0.2">
      <c r="B98" s="546" t="s">
        <v>121</v>
      </c>
      <c r="C98" s="542"/>
      <c r="D98" s="541"/>
      <c r="E98" s="29">
        <f>SUM('Prod. GEXMRG'!N11:O11)</f>
        <v>1</v>
      </c>
      <c r="F98" s="30"/>
    </row>
    <row r="99" spans="2:6" x14ac:dyDescent="0.2">
      <c r="B99" s="546" t="s">
        <v>122</v>
      </c>
      <c r="C99" s="542"/>
      <c r="D99" s="539"/>
      <c r="E99" s="29">
        <f>SUM('Prod. GEXMRG'!N12:O12)</f>
        <v>1</v>
      </c>
      <c r="F99" s="30"/>
    </row>
    <row r="100" spans="2:6" x14ac:dyDescent="0.2">
      <c r="B100" s="546" t="s">
        <v>123</v>
      </c>
      <c r="C100" s="542"/>
      <c r="D100" s="539"/>
      <c r="E100" s="29">
        <f>SUM('Prod. GEXMRG'!N13:O13)</f>
        <v>1</v>
      </c>
      <c r="F100" s="30"/>
    </row>
    <row r="101" spans="2:6" x14ac:dyDescent="0.2">
      <c r="B101" s="546" t="s">
        <v>124</v>
      </c>
      <c r="C101" s="542"/>
      <c r="D101" s="541"/>
      <c r="E101" s="29">
        <f>SUM('Prod. GEXMRG'!N14:O14)</f>
        <v>1</v>
      </c>
      <c r="F101" s="30"/>
    </row>
    <row r="102" spans="2:6" x14ac:dyDescent="0.2">
      <c r="B102" s="546" t="s">
        <v>125</v>
      </c>
      <c r="C102" s="542"/>
      <c r="D102" s="539"/>
      <c r="E102" s="29">
        <f>SUM('Prod. GEXMRG'!N15:O15)</f>
        <v>1</v>
      </c>
      <c r="F102" s="30"/>
    </row>
    <row r="103" spans="2:6" x14ac:dyDescent="0.2">
      <c r="B103" s="546" t="s">
        <v>126</v>
      </c>
      <c r="C103" s="542"/>
      <c r="D103" s="539"/>
      <c r="E103" s="29">
        <f>SUM('Prod. GEXMRG'!N16:O16)</f>
        <v>1</v>
      </c>
      <c r="F103" s="30">
        <f t="shared" si="2"/>
        <v>0</v>
      </c>
    </row>
    <row r="104" spans="2:6" x14ac:dyDescent="0.2">
      <c r="B104" s="546" t="s">
        <v>127</v>
      </c>
      <c r="C104" s="542"/>
      <c r="D104" s="541"/>
      <c r="E104" s="29">
        <f>SUM('Prod. GEXMRG'!N17:O17)</f>
        <v>1</v>
      </c>
      <c r="F104" s="30">
        <f t="shared" si="2"/>
        <v>0</v>
      </c>
    </row>
    <row r="105" spans="2:6" x14ac:dyDescent="0.2">
      <c r="B105" s="31" t="s">
        <v>108</v>
      </c>
      <c r="C105"/>
      <c r="D105" s="32" t="e">
        <f>AVERAGE(D91:D104)</f>
        <v>#DIV/0!</v>
      </c>
      <c r="E105" s="29">
        <f>SUM(E91:E104)-E95-E98-E99-E100-E101-E102</f>
        <v>22</v>
      </c>
      <c r="F105" s="30">
        <f>SUM(F91:F104)</f>
        <v>0</v>
      </c>
    </row>
    <row r="106" spans="2:6" x14ac:dyDescent="0.2">
      <c r="B106" s="331" t="s">
        <v>110</v>
      </c>
      <c r="C106" s="332"/>
      <c r="D106" s="333">
        <f>F105/E105</f>
        <v>0</v>
      </c>
      <c r="E106"/>
      <c r="F106"/>
    </row>
    <row r="65446" ht="12.75" customHeight="1" x14ac:dyDescent="0.2"/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104849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</sheetData>
  <mergeCells count="37">
    <mergeCell ref="C51:D51"/>
    <mergeCell ref="C52:L52"/>
    <mergeCell ref="C55:L55"/>
    <mergeCell ref="B66:L66"/>
    <mergeCell ref="B57:L57"/>
    <mergeCell ref="C58:L58"/>
    <mergeCell ref="B62:L62"/>
    <mergeCell ref="B53:E53"/>
    <mergeCell ref="C46:D46"/>
    <mergeCell ref="C47:D47"/>
    <mergeCell ref="C48:D48"/>
    <mergeCell ref="C49:D49"/>
    <mergeCell ref="C50:D50"/>
    <mergeCell ref="C42:L42"/>
    <mergeCell ref="C43:D43"/>
    <mergeCell ref="C44:D44"/>
    <mergeCell ref="C45:D45"/>
    <mergeCell ref="B36:L36"/>
    <mergeCell ref="B37:L37"/>
    <mergeCell ref="B39:L39"/>
    <mergeCell ref="B40:L40"/>
    <mergeCell ref="C41:L41"/>
    <mergeCell ref="B31:L31"/>
    <mergeCell ref="B32:L32"/>
    <mergeCell ref="B33:L33"/>
    <mergeCell ref="B34:L34"/>
    <mergeCell ref="B35:L35"/>
    <mergeCell ref="B14:L14"/>
    <mergeCell ref="B27:L27"/>
    <mergeCell ref="B28:L28"/>
    <mergeCell ref="B29:L29"/>
    <mergeCell ref="B30:L30"/>
    <mergeCell ref="B1:L1"/>
    <mergeCell ref="C3:D3"/>
    <mergeCell ref="C4:D4"/>
    <mergeCell ref="B6:L6"/>
    <mergeCell ref="C9:F9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L147"/>
  <sheetViews>
    <sheetView showGridLines="0" topLeftCell="A13" zoomScale="80" zoomScaleNormal="80" workbookViewId="0">
      <pane xSplit="2" topLeftCell="C1" activePane="topRight" state="frozen"/>
      <selection pane="topRight" activeCell="I148" sqref="I148"/>
    </sheetView>
  </sheetViews>
  <sheetFormatPr defaultRowHeight="14.25" x14ac:dyDescent="0.2"/>
  <cols>
    <col min="1" max="1" width="56.5" style="33" customWidth="1"/>
    <col min="2" max="2" width="18.25" style="33" customWidth="1"/>
    <col min="3" max="8" width="13.125" style="33" customWidth="1"/>
    <col min="9" max="11" width="15.625" style="33" customWidth="1"/>
    <col min="12" max="1025" width="9" style="33"/>
  </cols>
  <sheetData>
    <row r="1" spans="1:1023" s="34" customFormat="1" ht="20.25" customHeight="1" thickBot="1" x14ac:dyDescent="0.25">
      <c r="A1" s="930" t="s">
        <v>128</v>
      </c>
      <c r="B1" s="931"/>
      <c r="C1" s="931"/>
      <c r="D1" s="931"/>
      <c r="E1" s="931"/>
      <c r="F1" s="931"/>
      <c r="G1" s="931"/>
      <c r="H1" s="932"/>
      <c r="I1" s="734" t="s">
        <v>129</v>
      </c>
      <c r="J1" s="734"/>
      <c r="K1" s="734"/>
      <c r="L1" s="734"/>
      <c r="M1" s="734"/>
      <c r="N1" s="734"/>
      <c r="O1" s="734"/>
      <c r="P1" s="734"/>
      <c r="Q1" s="734"/>
      <c r="R1" s="734"/>
      <c r="S1" s="734"/>
    </row>
    <row r="2" spans="1:1023" customFormat="1" ht="52.5" customHeight="1" thickBot="1" x14ac:dyDescent="0.25">
      <c r="A2" s="35" t="s">
        <v>130</v>
      </c>
      <c r="B2" s="36" t="s">
        <v>131</v>
      </c>
      <c r="C2" s="36" t="s">
        <v>132</v>
      </c>
      <c r="D2" s="36" t="s">
        <v>133</v>
      </c>
      <c r="E2" s="36" t="s">
        <v>134</v>
      </c>
      <c r="F2" s="37" t="s">
        <v>135</v>
      </c>
      <c r="G2" s="678" t="s">
        <v>136</v>
      </c>
      <c r="H2" s="678" t="s">
        <v>137</v>
      </c>
      <c r="I2" s="729" t="s">
        <v>138</v>
      </c>
      <c r="J2" s="729"/>
      <c r="K2" s="729"/>
      <c r="L2" s="729"/>
      <c r="M2" s="729"/>
      <c r="N2" s="729"/>
      <c r="O2" s="729"/>
      <c r="P2" s="729"/>
      <c r="Q2" s="729"/>
      <c r="R2" s="729"/>
      <c r="S2" s="729"/>
      <c r="U2" s="33"/>
      <c r="V2" s="33"/>
      <c r="W2" s="33"/>
      <c r="AMI2" s="33"/>
    </row>
    <row r="3" spans="1:1023" customFormat="1" ht="15" customHeight="1" x14ac:dyDescent="0.2">
      <c r="A3" s="399" t="s">
        <v>139</v>
      </c>
      <c r="B3" s="400" t="s">
        <v>140</v>
      </c>
      <c r="C3" s="679">
        <v>0.31</v>
      </c>
      <c r="D3" s="401"/>
      <c r="E3" s="401"/>
      <c r="F3" s="40">
        <f t="shared" ref="F3:F36" si="0">(D3+E3)/2</f>
        <v>0</v>
      </c>
      <c r="G3" s="41">
        <f>C3*F3</f>
        <v>0</v>
      </c>
      <c r="H3" s="732" t="s">
        <v>141</v>
      </c>
      <c r="I3" s="729" t="s">
        <v>142</v>
      </c>
      <c r="J3" s="729"/>
      <c r="K3" s="729"/>
      <c r="L3" s="729"/>
      <c r="M3" s="729"/>
      <c r="N3" s="729"/>
      <c r="O3" s="729"/>
      <c r="P3" s="729"/>
      <c r="Q3" s="729"/>
      <c r="R3" s="729"/>
      <c r="S3" s="729"/>
      <c r="U3" s="33"/>
      <c r="V3" s="33"/>
      <c r="W3" s="33"/>
      <c r="AMI3" s="33"/>
    </row>
    <row r="4" spans="1:1023" customFormat="1" ht="15" customHeight="1" x14ac:dyDescent="0.2">
      <c r="A4" s="399" t="s">
        <v>143</v>
      </c>
      <c r="B4" s="400" t="s">
        <v>140</v>
      </c>
      <c r="C4" s="679">
        <v>4.74</v>
      </c>
      <c r="D4" s="401"/>
      <c r="E4" s="401"/>
      <c r="F4" s="40">
        <f t="shared" si="0"/>
        <v>0</v>
      </c>
      <c r="G4" s="41">
        <f t="shared" ref="G4:G36" si="1">C4*F4</f>
        <v>0</v>
      </c>
      <c r="H4" s="733" t="s">
        <v>144</v>
      </c>
      <c r="I4" s="729" t="s">
        <v>145</v>
      </c>
      <c r="J4" s="729"/>
      <c r="K4" s="729"/>
      <c r="L4" s="729"/>
      <c r="M4" s="729"/>
      <c r="N4" s="729"/>
      <c r="O4" s="729"/>
      <c r="P4" s="729"/>
      <c r="Q4" s="729"/>
      <c r="R4" s="729"/>
      <c r="S4" s="729"/>
      <c r="U4" s="33"/>
      <c r="V4" s="33"/>
      <c r="W4" s="33"/>
      <c r="AMI4" s="33"/>
    </row>
    <row r="5" spans="1:1023" customFormat="1" ht="15" customHeight="1" x14ac:dyDescent="0.2">
      <c r="A5" s="399" t="s">
        <v>146</v>
      </c>
      <c r="B5" s="400" t="s">
        <v>147</v>
      </c>
      <c r="C5" s="679">
        <v>2.02</v>
      </c>
      <c r="D5" s="401"/>
      <c r="E5" s="401"/>
      <c r="F5" s="40">
        <f t="shared" si="0"/>
        <v>0</v>
      </c>
      <c r="G5" s="41">
        <f t="shared" si="1"/>
        <v>0</v>
      </c>
      <c r="H5" s="733" t="s">
        <v>148</v>
      </c>
      <c r="I5" s="729" t="s">
        <v>149</v>
      </c>
      <c r="J5" s="729"/>
      <c r="K5" s="729"/>
      <c r="L5" s="729"/>
      <c r="M5" s="729"/>
      <c r="N5" s="729"/>
      <c r="O5" s="729"/>
      <c r="P5" s="729"/>
      <c r="Q5" s="729"/>
      <c r="R5" s="729"/>
      <c r="S5" s="729"/>
      <c r="U5" s="33"/>
      <c r="V5" s="33"/>
      <c r="W5" s="33"/>
      <c r="AMI5" s="33"/>
    </row>
    <row r="6" spans="1:1023" customFormat="1" ht="15" customHeight="1" x14ac:dyDescent="0.2">
      <c r="A6" s="399" t="s">
        <v>150</v>
      </c>
      <c r="B6" s="400" t="s">
        <v>140</v>
      </c>
      <c r="C6" s="679">
        <v>2.52</v>
      </c>
      <c r="D6" s="401"/>
      <c r="E6" s="401"/>
      <c r="F6" s="40">
        <f t="shared" si="0"/>
        <v>0</v>
      </c>
      <c r="G6" s="41">
        <f t="shared" si="1"/>
        <v>0</v>
      </c>
      <c r="H6" s="733" t="s">
        <v>148</v>
      </c>
      <c r="I6" s="730" t="s">
        <v>151</v>
      </c>
      <c r="J6" s="730"/>
      <c r="K6" s="730"/>
      <c r="L6" s="730"/>
      <c r="M6" s="730"/>
      <c r="N6" s="730"/>
      <c r="O6" s="730"/>
      <c r="P6" s="730"/>
      <c r="Q6" s="730"/>
      <c r="R6" s="730"/>
      <c r="S6" s="730"/>
      <c r="U6" s="33"/>
      <c r="V6" s="33"/>
      <c r="W6" s="33"/>
      <c r="AMI6" s="33"/>
    </row>
    <row r="7" spans="1:1023" customFormat="1" ht="15" customHeight="1" x14ac:dyDescent="0.2">
      <c r="A7" s="399" t="s">
        <v>152</v>
      </c>
      <c r="B7" s="400" t="s">
        <v>153</v>
      </c>
      <c r="C7" s="679">
        <v>0.3</v>
      </c>
      <c r="D7" s="401"/>
      <c r="E7" s="401"/>
      <c r="F7" s="40">
        <f t="shared" si="0"/>
        <v>0</v>
      </c>
      <c r="G7" s="41">
        <f t="shared" si="1"/>
        <v>0</v>
      </c>
      <c r="H7" s="733" t="s">
        <v>154</v>
      </c>
      <c r="AMI7" s="33"/>
    </row>
    <row r="8" spans="1:1023" customFormat="1" ht="15" customHeight="1" x14ac:dyDescent="0.2">
      <c r="A8" s="399" t="s">
        <v>155</v>
      </c>
      <c r="B8" s="400" t="s">
        <v>153</v>
      </c>
      <c r="C8" s="679">
        <v>1.35</v>
      </c>
      <c r="D8" s="401"/>
      <c r="E8" s="401"/>
      <c r="F8" s="40">
        <f t="shared" si="0"/>
        <v>0</v>
      </c>
      <c r="G8" s="41">
        <f t="shared" si="1"/>
        <v>0</v>
      </c>
      <c r="H8" s="733" t="s">
        <v>156</v>
      </c>
      <c r="J8" s="33"/>
      <c r="AMI8" s="33"/>
    </row>
    <row r="9" spans="1:1023" customFormat="1" ht="15" customHeight="1" x14ac:dyDescent="0.2">
      <c r="A9" s="399" t="s">
        <v>157</v>
      </c>
      <c r="B9" s="400" t="s">
        <v>153</v>
      </c>
      <c r="C9" s="679">
        <v>0.2</v>
      </c>
      <c r="D9" s="401"/>
      <c r="E9" s="401"/>
      <c r="F9" s="40">
        <f t="shared" si="0"/>
        <v>0</v>
      </c>
      <c r="G9" s="41">
        <f t="shared" si="1"/>
        <v>0</v>
      </c>
      <c r="H9" s="733" t="s">
        <v>158</v>
      </c>
      <c r="AMI9" s="33"/>
    </row>
    <row r="10" spans="1:1023" customFormat="1" ht="15" customHeight="1" x14ac:dyDescent="0.2">
      <c r="A10" s="399" t="s">
        <v>159</v>
      </c>
      <c r="B10" s="400" t="s">
        <v>153</v>
      </c>
      <c r="C10" s="679">
        <v>0.5</v>
      </c>
      <c r="D10" s="401"/>
      <c r="E10" s="401"/>
      <c r="F10" s="40">
        <f t="shared" si="0"/>
        <v>0</v>
      </c>
      <c r="G10" s="41">
        <f t="shared" si="1"/>
        <v>0</v>
      </c>
      <c r="H10" s="733" t="s">
        <v>160</v>
      </c>
      <c r="AMI10" s="33"/>
    </row>
    <row r="11" spans="1:1023" customFormat="1" ht="15" customHeight="1" x14ac:dyDescent="0.2">
      <c r="A11" s="399" t="s">
        <v>161</v>
      </c>
      <c r="B11" s="400" t="s">
        <v>147</v>
      </c>
      <c r="C11" s="679">
        <v>1.43</v>
      </c>
      <c r="D11" s="401"/>
      <c r="E11" s="401"/>
      <c r="F11" s="40">
        <f t="shared" si="0"/>
        <v>0</v>
      </c>
      <c r="G11" s="41">
        <f t="shared" si="1"/>
        <v>0</v>
      </c>
      <c r="H11" s="733" t="s">
        <v>162</v>
      </c>
      <c r="AMI11" s="33"/>
    </row>
    <row r="12" spans="1:1023" customFormat="1" ht="15" customHeight="1" x14ac:dyDescent="0.2">
      <c r="A12" s="399" t="s">
        <v>163</v>
      </c>
      <c r="B12" s="400" t="s">
        <v>164</v>
      </c>
      <c r="C12" s="679">
        <v>1.0900000000000001</v>
      </c>
      <c r="D12" s="401"/>
      <c r="E12" s="401"/>
      <c r="F12" s="40">
        <f t="shared" si="0"/>
        <v>0</v>
      </c>
      <c r="G12" s="41">
        <f t="shared" si="1"/>
        <v>0</v>
      </c>
      <c r="H12" s="733" t="s">
        <v>165</v>
      </c>
      <c r="AMI12" s="33"/>
    </row>
    <row r="13" spans="1:1023" customFormat="1" ht="15" customHeight="1" x14ac:dyDescent="0.2">
      <c r="A13" s="399" t="s">
        <v>166</v>
      </c>
      <c r="B13" s="400" t="s">
        <v>164</v>
      </c>
      <c r="C13" s="679">
        <v>1.27</v>
      </c>
      <c r="D13" s="401"/>
      <c r="E13" s="401"/>
      <c r="F13" s="40">
        <f t="shared" si="0"/>
        <v>0</v>
      </c>
      <c r="G13" s="41">
        <f t="shared" si="1"/>
        <v>0</v>
      </c>
      <c r="H13" s="733" t="s">
        <v>167</v>
      </c>
      <c r="AMI13" s="33"/>
    </row>
    <row r="14" spans="1:1023" customFormat="1" ht="15" customHeight="1" x14ac:dyDescent="0.2">
      <c r="A14" s="399" t="s">
        <v>168</v>
      </c>
      <c r="B14" s="400" t="s">
        <v>164</v>
      </c>
      <c r="C14" s="679">
        <v>2.2200000000000002</v>
      </c>
      <c r="D14" s="401"/>
      <c r="E14" s="401"/>
      <c r="F14" s="40">
        <f t="shared" si="0"/>
        <v>0</v>
      </c>
      <c r="G14" s="41">
        <f t="shared" si="1"/>
        <v>0</v>
      </c>
      <c r="H14" s="733" t="s">
        <v>156</v>
      </c>
      <c r="AMI14" s="33"/>
    </row>
    <row r="15" spans="1:1023" customFormat="1" ht="15" customHeight="1" x14ac:dyDescent="0.2">
      <c r="A15" s="399" t="s">
        <v>169</v>
      </c>
      <c r="B15" s="400" t="s">
        <v>164</v>
      </c>
      <c r="C15" s="679">
        <v>2.41</v>
      </c>
      <c r="D15" s="401"/>
      <c r="E15" s="401"/>
      <c r="F15" s="40">
        <f t="shared" si="0"/>
        <v>0</v>
      </c>
      <c r="G15" s="41">
        <f t="shared" si="1"/>
        <v>0</v>
      </c>
      <c r="H15" s="733" t="s">
        <v>170</v>
      </c>
      <c r="AMF15" s="33"/>
    </row>
    <row r="16" spans="1:1023" customFormat="1" ht="15" customHeight="1" x14ac:dyDescent="0.2">
      <c r="A16" s="399" t="s">
        <v>171</v>
      </c>
      <c r="B16" s="400" t="s">
        <v>164</v>
      </c>
      <c r="C16" s="679">
        <v>0.25</v>
      </c>
      <c r="D16" s="401"/>
      <c r="E16" s="401"/>
      <c r="F16" s="40">
        <f t="shared" si="0"/>
        <v>0</v>
      </c>
      <c r="G16" s="41">
        <f t="shared" si="1"/>
        <v>0</v>
      </c>
      <c r="H16" s="733" t="s">
        <v>172</v>
      </c>
      <c r="AMF16" s="33"/>
    </row>
    <row r="17" spans="1:1023" customFormat="1" ht="15" customHeight="1" x14ac:dyDescent="0.2">
      <c r="A17" s="399" t="s">
        <v>173</v>
      </c>
      <c r="B17" s="400" t="s">
        <v>174</v>
      </c>
      <c r="C17" s="679">
        <v>0.65</v>
      </c>
      <c r="D17" s="401"/>
      <c r="E17" s="401"/>
      <c r="F17" s="40">
        <f t="shared" si="0"/>
        <v>0</v>
      </c>
      <c r="G17" s="41">
        <f t="shared" si="1"/>
        <v>0</v>
      </c>
      <c r="H17" s="733" t="s">
        <v>162</v>
      </c>
      <c r="AMF17" s="33"/>
    </row>
    <row r="18" spans="1:1023" customFormat="1" ht="15" customHeight="1" x14ac:dyDescent="0.2">
      <c r="A18" s="399" t="s">
        <v>175</v>
      </c>
      <c r="B18" s="400" t="s">
        <v>147</v>
      </c>
      <c r="C18" s="679">
        <v>0.22</v>
      </c>
      <c r="D18" s="401"/>
      <c r="E18" s="401"/>
      <c r="F18" s="40">
        <f t="shared" si="0"/>
        <v>0</v>
      </c>
      <c r="G18" s="41">
        <f t="shared" si="1"/>
        <v>0</v>
      </c>
      <c r="H18" s="733" t="s">
        <v>176</v>
      </c>
      <c r="AMF18" s="33"/>
    </row>
    <row r="19" spans="1:1023" customFormat="1" ht="15" customHeight="1" x14ac:dyDescent="0.2">
      <c r="A19" s="399" t="s">
        <v>177</v>
      </c>
      <c r="B19" s="400" t="s">
        <v>178</v>
      </c>
      <c r="C19" s="679">
        <v>1.61</v>
      </c>
      <c r="D19" s="401"/>
      <c r="E19" s="401"/>
      <c r="F19" s="40">
        <f t="shared" si="0"/>
        <v>0</v>
      </c>
      <c r="G19" s="41">
        <f t="shared" si="1"/>
        <v>0</v>
      </c>
      <c r="H19" s="733" t="s">
        <v>179</v>
      </c>
      <c r="AMF19" s="33"/>
    </row>
    <row r="20" spans="1:1023" customFormat="1" ht="15" customHeight="1" x14ac:dyDescent="0.2">
      <c r="A20" s="399" t="s">
        <v>180</v>
      </c>
      <c r="B20" s="400" t="s">
        <v>147</v>
      </c>
      <c r="C20" s="679">
        <v>2.2000000000000002</v>
      </c>
      <c r="D20" s="401"/>
      <c r="E20" s="401"/>
      <c r="F20" s="40">
        <f t="shared" si="0"/>
        <v>0</v>
      </c>
      <c r="G20" s="41">
        <f t="shared" si="1"/>
        <v>0</v>
      </c>
      <c r="H20" s="733" t="s">
        <v>160</v>
      </c>
      <c r="AMF20" s="33"/>
    </row>
    <row r="21" spans="1:1023" customFormat="1" ht="15" customHeight="1" x14ac:dyDescent="0.2">
      <c r="A21" s="399" t="s">
        <v>181</v>
      </c>
      <c r="B21" s="400" t="s">
        <v>182</v>
      </c>
      <c r="C21" s="679">
        <v>0.3</v>
      </c>
      <c r="D21" s="401"/>
      <c r="E21" s="401"/>
      <c r="F21" s="40">
        <f t="shared" si="0"/>
        <v>0</v>
      </c>
      <c r="G21" s="41">
        <f t="shared" si="1"/>
        <v>0</v>
      </c>
      <c r="H21" s="733" t="s">
        <v>148</v>
      </c>
      <c r="AMF21" s="33"/>
    </row>
    <row r="22" spans="1:1023" customFormat="1" ht="15" customHeight="1" x14ac:dyDescent="0.2">
      <c r="A22" s="399" t="s">
        <v>183</v>
      </c>
      <c r="B22" s="400" t="s">
        <v>184</v>
      </c>
      <c r="C22" s="679">
        <v>2.2999999999999998</v>
      </c>
      <c r="D22" s="401"/>
      <c r="E22" s="401"/>
      <c r="F22" s="40">
        <f t="shared" si="0"/>
        <v>0</v>
      </c>
      <c r="G22" s="41">
        <f t="shared" si="1"/>
        <v>0</v>
      </c>
      <c r="H22" s="733" t="s">
        <v>160</v>
      </c>
      <c r="AMF22" s="33"/>
    </row>
    <row r="23" spans="1:1023" customFormat="1" ht="15" customHeight="1" x14ac:dyDescent="0.2">
      <c r="A23" s="399" t="s">
        <v>185</v>
      </c>
      <c r="B23" s="400" t="s">
        <v>164</v>
      </c>
      <c r="C23" s="679">
        <v>1.48</v>
      </c>
      <c r="D23" s="401"/>
      <c r="E23" s="401"/>
      <c r="F23" s="40">
        <f t="shared" si="0"/>
        <v>0</v>
      </c>
      <c r="G23" s="41">
        <f t="shared" si="1"/>
        <v>0</v>
      </c>
      <c r="H23" s="733" t="s">
        <v>162</v>
      </c>
      <c r="AMF23" s="33"/>
    </row>
    <row r="24" spans="1:1023" customFormat="1" ht="15" customHeight="1" x14ac:dyDescent="0.2">
      <c r="A24" s="399" t="s">
        <v>186</v>
      </c>
      <c r="B24" s="400" t="s">
        <v>164</v>
      </c>
      <c r="C24" s="679">
        <v>2.58</v>
      </c>
      <c r="D24" s="401"/>
      <c r="E24" s="401"/>
      <c r="F24" s="40">
        <f t="shared" si="0"/>
        <v>0</v>
      </c>
      <c r="G24" s="41">
        <f t="shared" si="1"/>
        <v>0</v>
      </c>
      <c r="H24" s="733" t="s">
        <v>160</v>
      </c>
      <c r="AMF24" s="33"/>
    </row>
    <row r="25" spans="1:1023" customFormat="1" ht="15" customHeight="1" x14ac:dyDescent="0.2">
      <c r="A25" s="399" t="s">
        <v>187</v>
      </c>
      <c r="B25" s="400" t="s">
        <v>188</v>
      </c>
      <c r="C25" s="679">
        <v>0.62</v>
      </c>
      <c r="D25" s="401"/>
      <c r="E25" s="401"/>
      <c r="F25" s="40">
        <f t="shared" si="0"/>
        <v>0</v>
      </c>
      <c r="G25" s="41">
        <f t="shared" si="1"/>
        <v>0</v>
      </c>
      <c r="H25" s="733" t="s">
        <v>162</v>
      </c>
      <c r="AMF25" s="33"/>
    </row>
    <row r="26" spans="1:1023" customFormat="1" ht="15" customHeight="1" x14ac:dyDescent="0.2">
      <c r="A26" s="399" t="s">
        <v>189</v>
      </c>
      <c r="B26" s="400" t="s">
        <v>190</v>
      </c>
      <c r="C26" s="679">
        <v>2.41</v>
      </c>
      <c r="D26" s="401"/>
      <c r="E26" s="401"/>
      <c r="F26" s="40">
        <f t="shared" si="0"/>
        <v>0</v>
      </c>
      <c r="G26" s="41">
        <f t="shared" si="1"/>
        <v>0</v>
      </c>
      <c r="H26" s="733" t="s">
        <v>162</v>
      </c>
      <c r="AMF26" s="33"/>
    </row>
    <row r="27" spans="1:1023" customFormat="1" ht="15" customHeight="1" x14ac:dyDescent="0.2">
      <c r="A27" s="399" t="s">
        <v>191</v>
      </c>
      <c r="B27" s="400" t="s">
        <v>192</v>
      </c>
      <c r="C27" s="679">
        <v>5.88</v>
      </c>
      <c r="D27" s="401"/>
      <c r="E27" s="401"/>
      <c r="F27" s="40">
        <f t="shared" si="0"/>
        <v>0</v>
      </c>
      <c r="G27" s="41">
        <f t="shared" si="1"/>
        <v>0</v>
      </c>
      <c r="H27" s="733" t="s">
        <v>162</v>
      </c>
      <c r="AMF27" s="33"/>
    </row>
    <row r="28" spans="1:1023" customFormat="1" ht="15" customHeight="1" x14ac:dyDescent="0.2">
      <c r="A28" s="399" t="s">
        <v>193</v>
      </c>
      <c r="B28" s="400" t="s">
        <v>194</v>
      </c>
      <c r="C28" s="679">
        <v>2.75</v>
      </c>
      <c r="D28" s="401"/>
      <c r="E28" s="401"/>
      <c r="F28" s="40">
        <f t="shared" si="0"/>
        <v>0</v>
      </c>
      <c r="G28" s="41">
        <f t="shared" si="1"/>
        <v>0</v>
      </c>
      <c r="H28" s="733" t="s">
        <v>162</v>
      </c>
      <c r="AMI28" s="33"/>
    </row>
    <row r="29" spans="1:1023" customFormat="1" ht="15" customHeight="1" x14ac:dyDescent="0.2">
      <c r="A29" s="399" t="s">
        <v>195</v>
      </c>
      <c r="B29" s="400" t="s">
        <v>153</v>
      </c>
      <c r="C29" s="679">
        <v>0.67</v>
      </c>
      <c r="D29" s="401"/>
      <c r="E29" s="401"/>
      <c r="F29" s="40">
        <f t="shared" si="0"/>
        <v>0</v>
      </c>
      <c r="G29" s="41">
        <f t="shared" si="1"/>
        <v>0</v>
      </c>
      <c r="H29" s="733" t="s">
        <v>160</v>
      </c>
      <c r="AMI29" s="33"/>
    </row>
    <row r="30" spans="1:1023" customFormat="1" ht="15" customHeight="1" x14ac:dyDescent="0.2">
      <c r="A30" s="399" t="s">
        <v>196</v>
      </c>
      <c r="B30" s="400" t="s">
        <v>164</v>
      </c>
      <c r="C30" s="679">
        <v>1.2</v>
      </c>
      <c r="D30" s="401"/>
      <c r="E30" s="401"/>
      <c r="F30" s="40">
        <f t="shared" si="0"/>
        <v>0</v>
      </c>
      <c r="G30" s="41">
        <f t="shared" si="1"/>
        <v>0</v>
      </c>
      <c r="H30" s="733" t="s">
        <v>160</v>
      </c>
      <c r="AMI30" s="33"/>
    </row>
    <row r="31" spans="1:1023" customFormat="1" ht="15" customHeight="1" x14ac:dyDescent="0.2">
      <c r="A31" s="399" t="s">
        <v>197</v>
      </c>
      <c r="B31" s="400" t="s">
        <v>198</v>
      </c>
      <c r="C31" s="679">
        <v>0.79</v>
      </c>
      <c r="D31" s="401"/>
      <c r="E31" s="401"/>
      <c r="F31" s="40">
        <f t="shared" si="0"/>
        <v>0</v>
      </c>
      <c r="G31" s="41">
        <f t="shared" si="1"/>
        <v>0</v>
      </c>
      <c r="H31" s="733" t="s">
        <v>160</v>
      </c>
      <c r="AMI31" s="33"/>
    </row>
    <row r="32" spans="1:1023" customFormat="1" ht="15" customHeight="1" x14ac:dyDescent="0.2">
      <c r="A32" s="399" t="s">
        <v>199</v>
      </c>
      <c r="B32" s="400" t="s">
        <v>153</v>
      </c>
      <c r="C32" s="679">
        <v>0.77</v>
      </c>
      <c r="D32" s="401"/>
      <c r="E32" s="401"/>
      <c r="F32" s="40">
        <f t="shared" si="0"/>
        <v>0</v>
      </c>
      <c r="G32" s="41">
        <f t="shared" si="1"/>
        <v>0</v>
      </c>
      <c r="H32" s="733" t="s">
        <v>162</v>
      </c>
      <c r="AMI32" s="33"/>
    </row>
    <row r="33" spans="1:1023" customFormat="1" ht="15" customHeight="1" x14ac:dyDescent="0.2">
      <c r="A33" s="399" t="s">
        <v>200</v>
      </c>
      <c r="B33" s="400" t="s">
        <v>164</v>
      </c>
      <c r="C33" s="679">
        <v>1.53</v>
      </c>
      <c r="D33" s="401"/>
      <c r="E33" s="401"/>
      <c r="F33" s="40">
        <f t="shared" si="0"/>
        <v>0</v>
      </c>
      <c r="G33" s="41">
        <f t="shared" si="1"/>
        <v>0</v>
      </c>
      <c r="H33" s="733" t="s">
        <v>201</v>
      </c>
      <c r="AMI33" s="33"/>
    </row>
    <row r="34" spans="1:1023" customFormat="1" ht="15" customHeight="1" x14ac:dyDescent="0.2">
      <c r="A34" s="399" t="s">
        <v>202</v>
      </c>
      <c r="B34" s="400" t="s">
        <v>203</v>
      </c>
      <c r="C34" s="679">
        <v>0.68</v>
      </c>
      <c r="D34" s="401"/>
      <c r="E34" s="401"/>
      <c r="F34" s="40">
        <f t="shared" si="0"/>
        <v>0</v>
      </c>
      <c r="G34" s="41">
        <f t="shared" si="1"/>
        <v>0</v>
      </c>
      <c r="H34" s="733" t="s">
        <v>204</v>
      </c>
      <c r="AMI34" s="33"/>
    </row>
    <row r="35" spans="1:1023" customFormat="1" ht="15" customHeight="1" x14ac:dyDescent="0.2">
      <c r="A35" s="399" t="s">
        <v>205</v>
      </c>
      <c r="B35" s="400" t="s">
        <v>203</v>
      </c>
      <c r="C35" s="679">
        <v>0.65</v>
      </c>
      <c r="D35" s="401"/>
      <c r="E35" s="401"/>
      <c r="F35" s="40">
        <f t="shared" si="0"/>
        <v>0</v>
      </c>
      <c r="G35" s="41">
        <f t="shared" si="1"/>
        <v>0</v>
      </c>
      <c r="H35" s="733" t="s">
        <v>204</v>
      </c>
      <c r="AMI35" s="33"/>
    </row>
    <row r="36" spans="1:1023" customFormat="1" ht="15" customHeight="1" thickBot="1" x14ac:dyDescent="0.25">
      <c r="A36" s="680" t="s">
        <v>206</v>
      </c>
      <c r="B36" s="681" t="s">
        <v>203</v>
      </c>
      <c r="C36" s="682">
        <v>1.02</v>
      </c>
      <c r="D36" s="683"/>
      <c r="E36" s="683"/>
      <c r="F36" s="47">
        <f t="shared" si="0"/>
        <v>0</v>
      </c>
      <c r="G36" s="48">
        <f t="shared" si="1"/>
        <v>0</v>
      </c>
      <c r="H36" s="53" t="s">
        <v>160</v>
      </c>
      <c r="AMI36" s="33"/>
    </row>
    <row r="37" spans="1:1023" customFormat="1" ht="20.25" customHeight="1" thickBot="1" x14ac:dyDescent="0.25">
      <c r="A37" s="684" t="s">
        <v>207</v>
      </c>
      <c r="B37" s="685"/>
      <c r="C37" s="685"/>
      <c r="D37" s="685"/>
      <c r="E37" s="685"/>
      <c r="F37" s="685"/>
      <c r="G37" s="686">
        <f>SUM(G3:G36)</f>
        <v>0</v>
      </c>
      <c r="H37" s="731"/>
      <c r="AMI37" s="33"/>
    </row>
    <row r="38" spans="1:1023" customFormat="1" ht="45.75" customHeight="1" thickBot="1" x14ac:dyDescent="0.25">
      <c r="A38" s="35" t="s">
        <v>130</v>
      </c>
      <c r="B38" s="36" t="s">
        <v>131</v>
      </c>
      <c r="C38" s="36" t="s">
        <v>208</v>
      </c>
      <c r="D38" s="36" t="s">
        <v>133</v>
      </c>
      <c r="E38" s="36" t="s">
        <v>134</v>
      </c>
      <c r="F38" s="37" t="s">
        <v>135</v>
      </c>
      <c r="G38" s="687" t="s">
        <v>209</v>
      </c>
      <c r="H38" s="50" t="s">
        <v>137</v>
      </c>
      <c r="AMI38" s="33"/>
    </row>
    <row r="39" spans="1:1023" customFormat="1" ht="15" customHeight="1" x14ac:dyDescent="0.2">
      <c r="A39" s="38" t="s">
        <v>210</v>
      </c>
      <c r="B39" s="39" t="s">
        <v>164</v>
      </c>
      <c r="C39" s="679">
        <v>3.19</v>
      </c>
      <c r="D39" s="405"/>
      <c r="E39" s="405"/>
      <c r="F39" s="40">
        <f t="shared" ref="F39:F57" si="2">(D39+E39)/2</f>
        <v>0</v>
      </c>
      <c r="G39" s="51">
        <f>C39*F39/12</f>
        <v>0</v>
      </c>
      <c r="H39" s="406" t="s">
        <v>160</v>
      </c>
      <c r="AMI39" s="33"/>
    </row>
    <row r="40" spans="1:1023" customFormat="1" ht="15" customHeight="1" x14ac:dyDescent="0.2">
      <c r="A40" s="42" t="s">
        <v>211</v>
      </c>
      <c r="B40" s="44" t="s">
        <v>164</v>
      </c>
      <c r="C40" s="679">
        <v>0.75</v>
      </c>
      <c r="D40" s="405"/>
      <c r="E40" s="405"/>
      <c r="F40" s="40">
        <f t="shared" si="2"/>
        <v>0</v>
      </c>
      <c r="G40" s="51">
        <f t="shared" ref="G40:G57" si="3">C40*F40/12</f>
        <v>0</v>
      </c>
      <c r="H40" s="407" t="s">
        <v>162</v>
      </c>
      <c r="AMI40" s="33"/>
    </row>
    <row r="41" spans="1:1023" customFormat="1" ht="15" customHeight="1" x14ac:dyDescent="0.2">
      <c r="A41" s="42" t="s">
        <v>212</v>
      </c>
      <c r="B41" s="44" t="s">
        <v>164</v>
      </c>
      <c r="C41" s="679">
        <v>0.75</v>
      </c>
      <c r="D41" s="405"/>
      <c r="E41" s="405"/>
      <c r="F41" s="40">
        <f t="shared" si="2"/>
        <v>0</v>
      </c>
      <c r="G41" s="51">
        <f t="shared" si="3"/>
        <v>0</v>
      </c>
      <c r="H41" s="407" t="s">
        <v>162</v>
      </c>
      <c r="AMI41" s="33"/>
    </row>
    <row r="42" spans="1:1023" customFormat="1" ht="15" customHeight="1" x14ac:dyDescent="0.2">
      <c r="A42" s="42" t="s">
        <v>213</v>
      </c>
      <c r="B42" s="44" t="s">
        <v>164</v>
      </c>
      <c r="C42" s="679">
        <v>1.94</v>
      </c>
      <c r="D42" s="405"/>
      <c r="E42" s="405"/>
      <c r="F42" s="40">
        <f t="shared" si="2"/>
        <v>0</v>
      </c>
      <c r="G42" s="51">
        <f t="shared" si="3"/>
        <v>0</v>
      </c>
      <c r="H42" s="407" t="s">
        <v>160</v>
      </c>
      <c r="AMI42" s="33"/>
    </row>
    <row r="43" spans="1:1023" customFormat="1" ht="15" customHeight="1" x14ac:dyDescent="0.2">
      <c r="A43" s="42" t="s">
        <v>214</v>
      </c>
      <c r="B43" s="44" t="s">
        <v>164</v>
      </c>
      <c r="C43" s="679">
        <v>2.85</v>
      </c>
      <c r="D43" s="405"/>
      <c r="E43" s="405"/>
      <c r="F43" s="40">
        <f t="shared" si="2"/>
        <v>0</v>
      </c>
      <c r="G43" s="51">
        <f t="shared" si="3"/>
        <v>0</v>
      </c>
      <c r="H43" s="407" t="s">
        <v>162</v>
      </c>
      <c r="AMI43" s="33"/>
    </row>
    <row r="44" spans="1:1023" customFormat="1" ht="15" customHeight="1" x14ac:dyDescent="0.2">
      <c r="A44" s="42" t="s">
        <v>215</v>
      </c>
      <c r="B44" s="44" t="s">
        <v>164</v>
      </c>
      <c r="C44" s="679">
        <v>0.64</v>
      </c>
      <c r="D44" s="405"/>
      <c r="E44" s="405"/>
      <c r="F44" s="40">
        <f t="shared" si="2"/>
        <v>0</v>
      </c>
      <c r="G44" s="51">
        <f t="shared" si="3"/>
        <v>0</v>
      </c>
      <c r="H44" s="407" t="s">
        <v>160</v>
      </c>
      <c r="AMI44" s="33"/>
    </row>
    <row r="45" spans="1:1023" customFormat="1" ht="15" customHeight="1" x14ac:dyDescent="0.2">
      <c r="A45" s="42" t="s">
        <v>216</v>
      </c>
      <c r="B45" s="44" t="s">
        <v>164</v>
      </c>
      <c r="C45" s="679">
        <v>1.6</v>
      </c>
      <c r="D45" s="405"/>
      <c r="E45" s="405"/>
      <c r="F45" s="40">
        <f t="shared" si="2"/>
        <v>0</v>
      </c>
      <c r="G45" s="51">
        <f t="shared" si="3"/>
        <v>0</v>
      </c>
      <c r="H45" s="407" t="s">
        <v>201</v>
      </c>
      <c r="AMI45" s="33"/>
    </row>
    <row r="46" spans="1:1023" customFormat="1" ht="15" customHeight="1" x14ac:dyDescent="0.2">
      <c r="A46" s="42" t="s">
        <v>217</v>
      </c>
      <c r="B46" s="44" t="s">
        <v>164</v>
      </c>
      <c r="C46" s="679">
        <v>0.92</v>
      </c>
      <c r="D46" s="405"/>
      <c r="E46" s="405"/>
      <c r="F46" s="40">
        <f t="shared" si="2"/>
        <v>0</v>
      </c>
      <c r="G46" s="51">
        <f t="shared" si="3"/>
        <v>0</v>
      </c>
      <c r="H46" s="407" t="s">
        <v>160</v>
      </c>
      <c r="AMI46" s="33"/>
    </row>
    <row r="47" spans="1:1023" customFormat="1" ht="15" customHeight="1" x14ac:dyDescent="0.2">
      <c r="A47" s="42" t="s">
        <v>218</v>
      </c>
      <c r="B47" s="44" t="s">
        <v>164</v>
      </c>
      <c r="C47" s="679">
        <v>1</v>
      </c>
      <c r="D47" s="405"/>
      <c r="E47" s="405"/>
      <c r="F47" s="40">
        <f t="shared" si="2"/>
        <v>0</v>
      </c>
      <c r="G47" s="51">
        <f t="shared" si="3"/>
        <v>0</v>
      </c>
      <c r="H47" s="407" t="s">
        <v>204</v>
      </c>
      <c r="AMI47" s="33"/>
    </row>
    <row r="48" spans="1:1023" customFormat="1" ht="15" customHeight="1" x14ac:dyDescent="0.2">
      <c r="A48" s="42" t="s">
        <v>219</v>
      </c>
      <c r="B48" s="44" t="s">
        <v>164</v>
      </c>
      <c r="C48" s="679">
        <v>2.6</v>
      </c>
      <c r="D48" s="405"/>
      <c r="E48" s="405"/>
      <c r="F48" s="40">
        <f t="shared" si="2"/>
        <v>0</v>
      </c>
      <c r="G48" s="51">
        <f t="shared" si="3"/>
        <v>0</v>
      </c>
      <c r="H48" s="407" t="s">
        <v>204</v>
      </c>
      <c r="AMI48" s="33"/>
    </row>
    <row r="49" spans="1:1023" customFormat="1" ht="15" customHeight="1" x14ac:dyDescent="0.25">
      <c r="A49" s="403" t="s">
        <v>220</v>
      </c>
      <c r="B49" s="404" t="s">
        <v>164</v>
      </c>
      <c r="C49" s="679">
        <v>4</v>
      </c>
      <c r="D49" s="405"/>
      <c r="E49" s="405"/>
      <c r="F49" s="40">
        <f t="shared" si="2"/>
        <v>0</v>
      </c>
      <c r="G49" s="51">
        <f t="shared" si="3"/>
        <v>0</v>
      </c>
      <c r="H49" s="408" t="s">
        <v>204</v>
      </c>
      <c r="AMI49" s="33"/>
    </row>
    <row r="50" spans="1:1023" customFormat="1" ht="15" customHeight="1" x14ac:dyDescent="0.2">
      <c r="A50" s="42" t="s">
        <v>221</v>
      </c>
      <c r="B50" s="44" t="s">
        <v>164</v>
      </c>
      <c r="C50" s="679">
        <v>1</v>
      </c>
      <c r="D50" s="405"/>
      <c r="E50" s="405"/>
      <c r="F50" s="40">
        <f t="shared" si="2"/>
        <v>0</v>
      </c>
      <c r="G50" s="51">
        <f t="shared" si="3"/>
        <v>0</v>
      </c>
      <c r="H50" s="407" t="s">
        <v>160</v>
      </c>
      <c r="AMI50" s="33"/>
    </row>
    <row r="51" spans="1:1023" customFormat="1" ht="15" customHeight="1" x14ac:dyDescent="0.2">
      <c r="A51" s="42" t="s">
        <v>222</v>
      </c>
      <c r="B51" s="44" t="s">
        <v>164</v>
      </c>
      <c r="C51" s="679">
        <v>1.24</v>
      </c>
      <c r="D51" s="405"/>
      <c r="E51" s="405"/>
      <c r="F51" s="40">
        <f t="shared" si="2"/>
        <v>0</v>
      </c>
      <c r="G51" s="51">
        <f t="shared" si="3"/>
        <v>0</v>
      </c>
      <c r="H51" s="407" t="s">
        <v>179</v>
      </c>
      <c r="AMI51" s="33"/>
    </row>
    <row r="52" spans="1:1023" customFormat="1" ht="15" customHeight="1" x14ac:dyDescent="0.2">
      <c r="A52" s="42" t="s">
        <v>223</v>
      </c>
      <c r="B52" s="44" t="s">
        <v>164</v>
      </c>
      <c r="C52" s="679">
        <v>3.85</v>
      </c>
      <c r="D52" s="405"/>
      <c r="E52" s="405"/>
      <c r="F52" s="40">
        <f t="shared" si="2"/>
        <v>0</v>
      </c>
      <c r="G52" s="51">
        <f t="shared" si="3"/>
        <v>0</v>
      </c>
      <c r="H52" s="407" t="s">
        <v>204</v>
      </c>
      <c r="AMI52" s="33"/>
    </row>
    <row r="53" spans="1:1023" customFormat="1" ht="15" customHeight="1" x14ac:dyDescent="0.2">
      <c r="A53" s="42" t="s">
        <v>224</v>
      </c>
      <c r="B53" s="44" t="s">
        <v>225</v>
      </c>
      <c r="C53" s="679">
        <v>0.64</v>
      </c>
      <c r="D53" s="405"/>
      <c r="E53" s="405"/>
      <c r="F53" s="40">
        <f t="shared" si="2"/>
        <v>0</v>
      </c>
      <c r="G53" s="51">
        <f t="shared" si="3"/>
        <v>0</v>
      </c>
      <c r="H53" s="407" t="s">
        <v>160</v>
      </c>
      <c r="AMI53" s="33"/>
    </row>
    <row r="54" spans="1:1023" customFormat="1" ht="15" customHeight="1" x14ac:dyDescent="0.2">
      <c r="A54" s="42" t="s">
        <v>226</v>
      </c>
      <c r="B54" s="44" t="s">
        <v>164</v>
      </c>
      <c r="C54" s="679">
        <v>1.28</v>
      </c>
      <c r="D54" s="405"/>
      <c r="E54" s="405"/>
      <c r="F54" s="40">
        <f t="shared" si="2"/>
        <v>0</v>
      </c>
      <c r="G54" s="51">
        <f t="shared" si="3"/>
        <v>0</v>
      </c>
      <c r="H54" s="407" t="s">
        <v>227</v>
      </c>
      <c r="AMI54" s="33"/>
    </row>
    <row r="55" spans="1:1023" customFormat="1" ht="15" customHeight="1" x14ac:dyDescent="0.2">
      <c r="A55" s="42" t="s">
        <v>228</v>
      </c>
      <c r="B55" s="44" t="s">
        <v>164</v>
      </c>
      <c r="C55" s="679">
        <v>0.99</v>
      </c>
      <c r="D55" s="405"/>
      <c r="E55" s="405"/>
      <c r="F55" s="40">
        <f t="shared" si="2"/>
        <v>0</v>
      </c>
      <c r="G55" s="51">
        <f t="shared" si="3"/>
        <v>0</v>
      </c>
      <c r="H55" s="407" t="s">
        <v>229</v>
      </c>
      <c r="AMI55" s="33"/>
    </row>
    <row r="56" spans="1:1023" customFormat="1" ht="15" customHeight="1" x14ac:dyDescent="0.2">
      <c r="A56" s="42" t="s">
        <v>230</v>
      </c>
      <c r="B56" s="44" t="s">
        <v>164</v>
      </c>
      <c r="C56" s="679">
        <v>3.9</v>
      </c>
      <c r="D56" s="405"/>
      <c r="E56" s="405"/>
      <c r="F56" s="40">
        <f t="shared" si="2"/>
        <v>0</v>
      </c>
      <c r="G56" s="51">
        <f t="shared" si="3"/>
        <v>0</v>
      </c>
      <c r="H56" s="407" t="s">
        <v>231</v>
      </c>
      <c r="AMI56" s="33"/>
    </row>
    <row r="57" spans="1:1023" customFormat="1" ht="15" customHeight="1" thickBot="1" x14ac:dyDescent="0.25">
      <c r="A57" s="45" t="s">
        <v>232</v>
      </c>
      <c r="B57" s="46" t="s">
        <v>164</v>
      </c>
      <c r="C57" s="679">
        <v>1.48</v>
      </c>
      <c r="D57" s="409"/>
      <c r="E57" s="409"/>
      <c r="F57" s="47">
        <f t="shared" si="2"/>
        <v>0</v>
      </c>
      <c r="G57" s="52">
        <f t="shared" si="3"/>
        <v>0</v>
      </c>
      <c r="H57" s="688" t="s">
        <v>160</v>
      </c>
      <c r="AMG57" s="33"/>
    </row>
    <row r="58" spans="1:1023" customFormat="1" ht="20.25" customHeight="1" thickBot="1" x14ac:dyDescent="0.25">
      <c r="A58" s="928" t="s">
        <v>233</v>
      </c>
      <c r="B58" s="929"/>
      <c r="C58" s="929"/>
      <c r="D58" s="929"/>
      <c r="E58" s="929"/>
      <c r="F58" s="929"/>
      <c r="G58" s="689">
        <f>SUM(G39:G57)</f>
        <v>0</v>
      </c>
      <c r="H58" s="690"/>
      <c r="AMH58" s="33"/>
    </row>
    <row r="59" spans="1:1023" customFormat="1" ht="20.25" customHeight="1" thickBot="1" x14ac:dyDescent="0.25">
      <c r="A59" s="928" t="s">
        <v>234</v>
      </c>
      <c r="B59" s="929"/>
      <c r="C59" s="929"/>
      <c r="D59" s="929"/>
      <c r="E59" s="929"/>
      <c r="F59" s="929"/>
      <c r="G59" s="691">
        <f>G58+G37</f>
        <v>0</v>
      </c>
      <c r="H59" s="692"/>
      <c r="AMH59" s="33"/>
    </row>
    <row r="60" spans="1:1023" customFormat="1" ht="15" thickBot="1" x14ac:dyDescent="0.25">
      <c r="A60" s="54"/>
      <c r="B60" s="55"/>
      <c r="C60" s="55"/>
      <c r="D60" s="55"/>
      <c r="E60" s="55"/>
      <c r="F60" s="55"/>
      <c r="G60" s="55"/>
      <c r="H60" s="56"/>
      <c r="AMI60" s="33"/>
    </row>
    <row r="61" spans="1:1023" customFormat="1" ht="20.25" customHeight="1" thickBot="1" x14ac:dyDescent="0.25">
      <c r="A61" s="930" t="s">
        <v>235</v>
      </c>
      <c r="B61" s="931"/>
      <c r="C61" s="931"/>
      <c r="D61" s="931"/>
      <c r="E61" s="931"/>
      <c r="F61" s="931"/>
      <c r="G61" s="931"/>
      <c r="H61" s="932"/>
      <c r="AMI61" s="33"/>
    </row>
    <row r="62" spans="1:1023" customFormat="1" ht="54.75" customHeight="1" thickBot="1" x14ac:dyDescent="0.25">
      <c r="A62" s="57" t="s">
        <v>130</v>
      </c>
      <c r="B62" s="58" t="s">
        <v>131</v>
      </c>
      <c r="C62" s="58" t="s">
        <v>236</v>
      </c>
      <c r="D62" s="36" t="s">
        <v>237</v>
      </c>
      <c r="E62" s="36" t="s">
        <v>134</v>
      </c>
      <c r="F62" s="37" t="s">
        <v>135</v>
      </c>
      <c r="G62" s="678" t="s">
        <v>238</v>
      </c>
      <c r="H62" s="59" t="s">
        <v>137</v>
      </c>
      <c r="AMI62" s="33"/>
    </row>
    <row r="63" spans="1:1023" customFormat="1" ht="15" customHeight="1" x14ac:dyDescent="0.2">
      <c r="A63" s="403" t="s">
        <v>239</v>
      </c>
      <c r="B63" s="44" t="s">
        <v>140</v>
      </c>
      <c r="C63" s="60">
        <f>0.1*22</f>
        <v>2.2000000000000002</v>
      </c>
      <c r="D63" s="405"/>
      <c r="E63" s="405"/>
      <c r="F63" s="40">
        <f>(D63+E63)/2</f>
        <v>0</v>
      </c>
      <c r="G63" s="41">
        <f>C63*F63</f>
        <v>0</v>
      </c>
      <c r="H63" s="43" t="s">
        <v>240</v>
      </c>
      <c r="AMI63" s="33"/>
    </row>
    <row r="64" spans="1:1023" customFormat="1" ht="15" customHeight="1" x14ac:dyDescent="0.2">
      <c r="A64" s="402" t="s">
        <v>150</v>
      </c>
      <c r="B64" s="44" t="s">
        <v>140</v>
      </c>
      <c r="C64" s="60">
        <f>0.5*22</f>
        <v>11</v>
      </c>
      <c r="D64" s="405"/>
      <c r="E64" s="405"/>
      <c r="F64" s="40">
        <f>(D64+E64)/2</f>
        <v>0</v>
      </c>
      <c r="G64" s="41">
        <f>C64*F64</f>
        <v>0</v>
      </c>
      <c r="H64" s="43" t="s">
        <v>148</v>
      </c>
      <c r="AMI64" s="33"/>
    </row>
    <row r="65" spans="1:1025" ht="15" customHeight="1" x14ac:dyDescent="0.2">
      <c r="A65" s="411" t="s">
        <v>169</v>
      </c>
      <c r="B65" s="46" t="s">
        <v>164</v>
      </c>
      <c r="C65" s="60">
        <v>4</v>
      </c>
      <c r="D65" s="405"/>
      <c r="E65" s="405"/>
      <c r="F65" s="40">
        <f>(D65+E65)/2</f>
        <v>0</v>
      </c>
      <c r="G65" s="41">
        <f>C65*F65</f>
        <v>0</v>
      </c>
      <c r="H65" s="49" t="s">
        <v>241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J65"/>
      <c r="AMK65"/>
    </row>
    <row r="66" spans="1:1025" ht="15" customHeight="1" thickBot="1" x14ac:dyDescent="0.25">
      <c r="A66" s="412" t="s">
        <v>242</v>
      </c>
      <c r="B66" s="44" t="s">
        <v>203</v>
      </c>
      <c r="C66" s="60">
        <f>4*2*22</f>
        <v>176</v>
      </c>
      <c r="D66" s="409"/>
      <c r="E66" s="409"/>
      <c r="F66" s="40">
        <f>(D66+E66)/2</f>
        <v>0</v>
      </c>
      <c r="G66" s="41">
        <f>C66*F66</f>
        <v>0</v>
      </c>
      <c r="H66" s="49" t="s">
        <v>243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J66"/>
      <c r="AMK66"/>
    </row>
    <row r="67" spans="1:1025" ht="47.25" customHeight="1" x14ac:dyDescent="0.2">
      <c r="A67" s="57" t="s">
        <v>130</v>
      </c>
      <c r="B67" s="58" t="s">
        <v>131</v>
      </c>
      <c r="C67" s="58" t="s">
        <v>244</v>
      </c>
      <c r="D67" s="58" t="s">
        <v>237</v>
      </c>
      <c r="E67" s="58" t="s">
        <v>134</v>
      </c>
      <c r="F67" s="61" t="s">
        <v>135</v>
      </c>
      <c r="G67" s="678" t="s">
        <v>245</v>
      </c>
      <c r="H67" s="59" t="s">
        <v>137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J67"/>
      <c r="AMK67"/>
    </row>
    <row r="68" spans="1:1025" ht="15" customHeight="1" thickBot="1" x14ac:dyDescent="0.25">
      <c r="A68" s="38" t="s">
        <v>246</v>
      </c>
      <c r="B68" s="39" t="s">
        <v>164</v>
      </c>
      <c r="C68" s="60">
        <f>2*4</f>
        <v>8</v>
      </c>
      <c r="D68" s="405"/>
      <c r="E68" s="405"/>
      <c r="F68" s="40">
        <f>(D68+E68)/2</f>
        <v>0</v>
      </c>
      <c r="G68" s="52">
        <f>C68*F68/12</f>
        <v>0</v>
      </c>
      <c r="H68" s="719" t="s">
        <v>243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J68"/>
      <c r="AMK68"/>
    </row>
    <row r="69" spans="1:1025" ht="20.25" customHeight="1" thickBot="1" x14ac:dyDescent="0.25">
      <c r="A69" s="928" t="s">
        <v>247</v>
      </c>
      <c r="B69" s="929"/>
      <c r="C69" s="929"/>
      <c r="D69" s="929"/>
      <c r="E69" s="929"/>
      <c r="F69" s="933"/>
      <c r="G69" s="720">
        <f>G63+G64+G65+G66+G68</f>
        <v>0</v>
      </c>
      <c r="H69" s="72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J69"/>
      <c r="AMK69"/>
    </row>
    <row r="70" spans="1:1025" x14ac:dyDescent="0.2">
      <c r="A70" s="54"/>
      <c r="B70" s="55"/>
      <c r="C70" s="55"/>
      <c r="D70" s="55"/>
      <c r="E70" s="55"/>
      <c r="F70" s="55"/>
      <c r="G70" s="55"/>
      <c r="H70" s="55"/>
      <c r="I70" s="55"/>
      <c r="J70" s="55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5" x14ac:dyDescent="0.2">
      <c r="A71" s="55" t="s">
        <v>248</v>
      </c>
      <c r="B71" s="55"/>
      <c r="C71" s="55"/>
      <c r="D71" s="55"/>
      <c r="E71" s="62"/>
      <c r="F71" s="55"/>
      <c r="G71" s="55"/>
      <c r="H71" s="56"/>
      <c r="I71" s="56"/>
      <c r="J71" s="55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5" x14ac:dyDescent="0.2">
      <c r="A72" s="55"/>
      <c r="B72" s="55"/>
      <c r="C72" s="55"/>
      <c r="D72" s="55"/>
      <c r="E72" s="62"/>
      <c r="F72" s="55"/>
      <c r="G72" s="62"/>
      <c r="H72" s="56"/>
      <c r="I72" s="56"/>
      <c r="J72" s="55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5" x14ac:dyDescent="0.2">
      <c r="A73" s="55" t="s">
        <v>249</v>
      </c>
      <c r="B73" s="55"/>
      <c r="C73" s="55"/>
      <c r="D73" s="55"/>
      <c r="E73" s="55"/>
      <c r="F73" s="55"/>
      <c r="G73" s="55"/>
      <c r="H73" s="55"/>
      <c r="I73" s="55"/>
      <c r="J73" s="55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5" x14ac:dyDescent="0.2">
      <c r="A74" s="55" t="s">
        <v>250</v>
      </c>
      <c r="B74" s="55"/>
      <c r="C74" s="55"/>
      <c r="D74" s="55"/>
      <c r="E74" s="55"/>
      <c r="F74" s="55"/>
      <c r="G74" s="55"/>
      <c r="H74" s="62"/>
      <c r="I74" s="62"/>
      <c r="J74" s="5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5" x14ac:dyDescent="0.2">
      <c r="A75" s="55" t="s">
        <v>251</v>
      </c>
      <c r="B75" s="55"/>
      <c r="C75" s="55"/>
      <c r="D75" s="55"/>
      <c r="E75" s="55"/>
      <c r="F75" s="55"/>
      <c r="G75" s="55"/>
      <c r="H75" s="63"/>
      <c r="I75" s="63"/>
      <c r="J75" s="5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5" x14ac:dyDescent="0.2">
      <c r="A76" s="55" t="s">
        <v>252</v>
      </c>
      <c r="B76" s="55"/>
      <c r="C76" s="55"/>
      <c r="D76" s="55"/>
      <c r="E76" s="55"/>
      <c r="F76" s="55"/>
      <c r="G76" s="55"/>
      <c r="H76" s="62"/>
      <c r="I76" s="62"/>
      <c r="J76" s="55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5" x14ac:dyDescent="0.2">
      <c r="A77" s="55" t="s">
        <v>253</v>
      </c>
      <c r="B77" s="55"/>
      <c r="C77" s="55"/>
      <c r="D77" s="55"/>
      <c r="E77" s="55"/>
      <c r="F77" s="55"/>
      <c r="G77" s="55"/>
      <c r="H77" s="55"/>
      <c r="I77" s="55"/>
      <c r="J77" s="55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5" x14ac:dyDescent="0.2">
      <c r="A78" s="55" t="s">
        <v>254</v>
      </c>
      <c r="B78" s="55"/>
      <c r="C78" s="55"/>
      <c r="D78" s="55"/>
      <c r="E78" s="55"/>
      <c r="F78" s="55"/>
      <c r="G78" s="55"/>
      <c r="H78" s="55"/>
      <c r="I78" s="55"/>
      <c r="J78" s="55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5" x14ac:dyDescent="0.2">
      <c r="A79" s="55" t="s">
        <v>255</v>
      </c>
      <c r="B79" s="55"/>
      <c r="C79" s="55"/>
      <c r="D79" s="55"/>
      <c r="E79" s="55"/>
      <c r="F79" s="55"/>
      <c r="G79" s="55"/>
      <c r="H79" s="55"/>
      <c r="I79" s="55"/>
      <c r="J79" s="55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5" x14ac:dyDescent="0.2">
      <c r="A80" s="55" t="s">
        <v>256</v>
      </c>
      <c r="B80" s="55"/>
      <c r="C80" s="55"/>
      <c r="D80" s="55"/>
      <c r="E80" s="55"/>
      <c r="F80" s="55"/>
      <c r="G80" s="55"/>
      <c r="H80" s="55"/>
      <c r="I80" s="55"/>
      <c r="J80" s="55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6" x14ac:dyDescent="0.2">
      <c r="A81" s="55" t="s">
        <v>257</v>
      </c>
      <c r="B81" s="55"/>
      <c r="C81" s="55"/>
      <c r="D81" s="55"/>
      <c r="E81" s="55"/>
      <c r="F81" s="55"/>
      <c r="G81" s="55"/>
      <c r="H81" s="55"/>
      <c r="I81" s="55"/>
      <c r="J81" s="55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6" x14ac:dyDescent="0.2">
      <c r="A82" s="55" t="s">
        <v>258</v>
      </c>
      <c r="B82" s="55"/>
      <c r="C82" s="55"/>
      <c r="D82" s="55"/>
      <c r="E82" s="55"/>
      <c r="F82" s="55"/>
      <c r="G82" s="55"/>
      <c r="H82" s="55"/>
      <c r="I82" s="55"/>
      <c r="J82" s="55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6" x14ac:dyDescent="0.2">
      <c r="A83" s="54"/>
      <c r="B83" s="55"/>
      <c r="C83" s="55"/>
      <c r="D83" s="55"/>
      <c r="E83" s="55"/>
      <c r="F83" s="55"/>
      <c r="G83" s="55"/>
      <c r="H83" s="55"/>
      <c r="I83" s="55"/>
      <c r="J83" s="55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6" ht="15" thickBot="1" x14ac:dyDescent="0.25">
      <c r="A84" s="54"/>
      <c r="B84" s="55"/>
      <c r="C84" s="55"/>
      <c r="D84" s="55"/>
      <c r="E84" s="55"/>
      <c r="F84" s="55"/>
      <c r="G84" s="55"/>
      <c r="H84" s="55"/>
      <c r="I84" s="55"/>
      <c r="J84" s="735"/>
      <c r="K84" s="736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6" ht="20.25" customHeight="1" x14ac:dyDescent="0.2">
      <c r="A85" s="934" t="s">
        <v>259</v>
      </c>
      <c r="B85" s="935"/>
      <c r="C85" s="935"/>
      <c r="D85" s="935"/>
      <c r="E85" s="935"/>
      <c r="F85" s="935"/>
      <c r="G85" s="935"/>
      <c r="H85" s="935"/>
      <c r="I85" s="935"/>
      <c r="J85" s="936"/>
      <c r="K85" s="937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6" s="65" customFormat="1" ht="48.75" thickBot="1" x14ac:dyDescent="0.25">
      <c r="A86" s="693" t="s">
        <v>130</v>
      </c>
      <c r="B86" s="64" t="s">
        <v>131</v>
      </c>
      <c r="C86" s="64" t="s">
        <v>260</v>
      </c>
      <c r="D86" s="64" t="s">
        <v>261</v>
      </c>
      <c r="E86" s="64" t="s">
        <v>262</v>
      </c>
      <c r="F86" s="64" t="s">
        <v>237</v>
      </c>
      <c r="G86" s="694" t="s">
        <v>134</v>
      </c>
      <c r="H86" s="694" t="s">
        <v>135</v>
      </c>
      <c r="I86" s="695" t="s">
        <v>263</v>
      </c>
      <c r="J86" s="695" t="s">
        <v>264</v>
      </c>
      <c r="K86" s="722" t="s">
        <v>265</v>
      </c>
    </row>
    <row r="87" spans="1:1026" ht="15" customHeight="1" x14ac:dyDescent="0.2">
      <c r="A87" s="402" t="s">
        <v>266</v>
      </c>
      <c r="B87" s="39" t="s">
        <v>164</v>
      </c>
      <c r="C87" s="39">
        <v>19</v>
      </c>
      <c r="D87" s="723">
        <v>15</v>
      </c>
      <c r="E87" s="724">
        <v>14</v>
      </c>
      <c r="F87" s="405"/>
      <c r="G87" s="418"/>
      <c r="H87" s="40">
        <f t="shared" ref="H87:H95" si="4">(F87+G87)/2</f>
        <v>0</v>
      </c>
      <c r="I87" s="41">
        <f>(C87*$H$87)</f>
        <v>0</v>
      </c>
      <c r="J87" s="41">
        <f>(D87*H87)</f>
        <v>0</v>
      </c>
      <c r="K87" s="41">
        <f>(E87*H87)</f>
        <v>0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  <c r="AMK87"/>
      <c r="AML87" s="33"/>
    </row>
    <row r="88" spans="1:1026" ht="15" customHeight="1" x14ac:dyDescent="0.2">
      <c r="A88" s="402" t="s">
        <v>267</v>
      </c>
      <c r="B88" s="44" t="s">
        <v>164</v>
      </c>
      <c r="C88" s="39">
        <v>19</v>
      </c>
      <c r="D88" s="723">
        <v>15</v>
      </c>
      <c r="E88" s="724">
        <v>14</v>
      </c>
      <c r="F88" s="405"/>
      <c r="G88" s="418"/>
      <c r="H88" s="40">
        <f t="shared" si="4"/>
        <v>0</v>
      </c>
      <c r="I88" s="41">
        <f t="shared" ref="I88:I96" si="5">(C88*H88)</f>
        <v>0</v>
      </c>
      <c r="J88" s="41">
        <f t="shared" ref="J88:J96" si="6">(D88*H88)</f>
        <v>0</v>
      </c>
      <c r="K88" s="41">
        <f t="shared" ref="K88:K96" si="7">(E88*H88)</f>
        <v>0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  <c r="AMK88"/>
      <c r="AML88" s="33"/>
    </row>
    <row r="89" spans="1:1026" ht="15" customHeight="1" x14ac:dyDescent="0.2">
      <c r="A89" s="402" t="s">
        <v>268</v>
      </c>
      <c r="B89" s="44" t="s">
        <v>164</v>
      </c>
      <c r="C89" s="39">
        <v>19</v>
      </c>
      <c r="D89" s="723">
        <v>15</v>
      </c>
      <c r="E89" s="724">
        <v>14</v>
      </c>
      <c r="F89" s="405"/>
      <c r="G89" s="418"/>
      <c r="H89" s="40">
        <f t="shared" si="4"/>
        <v>0</v>
      </c>
      <c r="I89" s="41">
        <f t="shared" si="5"/>
        <v>0</v>
      </c>
      <c r="J89" s="41">
        <f t="shared" si="6"/>
        <v>0</v>
      </c>
      <c r="K89" s="41">
        <f t="shared" si="7"/>
        <v>0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 s="33"/>
    </row>
    <row r="90" spans="1:1026" ht="15" customHeight="1" x14ac:dyDescent="0.2">
      <c r="A90" s="402" t="s">
        <v>269</v>
      </c>
      <c r="B90" s="44" t="s">
        <v>164</v>
      </c>
      <c r="C90" s="39">
        <v>19</v>
      </c>
      <c r="D90" s="723">
        <v>15</v>
      </c>
      <c r="E90" s="724">
        <v>14</v>
      </c>
      <c r="F90" s="405"/>
      <c r="G90" s="418"/>
      <c r="H90" s="40">
        <f t="shared" si="4"/>
        <v>0</v>
      </c>
      <c r="I90" s="41">
        <f t="shared" si="5"/>
        <v>0</v>
      </c>
      <c r="J90" s="41">
        <f t="shared" si="6"/>
        <v>0</v>
      </c>
      <c r="K90" s="41">
        <f t="shared" si="7"/>
        <v>0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  <c r="AMK90"/>
      <c r="AML90" s="33"/>
    </row>
    <row r="91" spans="1:1026" ht="15" customHeight="1" x14ac:dyDescent="0.2">
      <c r="A91" s="402" t="s">
        <v>270</v>
      </c>
      <c r="B91" s="44" t="s">
        <v>164</v>
      </c>
      <c r="C91" s="39">
        <v>19</v>
      </c>
      <c r="D91" s="723">
        <v>15</v>
      </c>
      <c r="E91" s="724">
        <v>14</v>
      </c>
      <c r="F91" s="405"/>
      <c r="G91" s="418"/>
      <c r="H91" s="40">
        <f t="shared" si="4"/>
        <v>0</v>
      </c>
      <c r="I91" s="41">
        <f t="shared" si="5"/>
        <v>0</v>
      </c>
      <c r="J91" s="41">
        <f t="shared" si="6"/>
        <v>0</v>
      </c>
      <c r="K91" s="41">
        <f t="shared" si="7"/>
        <v>0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  <c r="AMK91"/>
      <c r="AML91" s="33"/>
    </row>
    <row r="92" spans="1:1026" ht="15" customHeight="1" x14ac:dyDescent="0.2">
      <c r="A92" s="402" t="s">
        <v>271</v>
      </c>
      <c r="B92" s="44" t="s">
        <v>164</v>
      </c>
      <c r="C92" s="39">
        <v>19</v>
      </c>
      <c r="D92" s="723">
        <v>15</v>
      </c>
      <c r="E92" s="724">
        <v>14</v>
      </c>
      <c r="F92" s="405"/>
      <c r="G92" s="418"/>
      <c r="H92" s="40">
        <f t="shared" si="4"/>
        <v>0</v>
      </c>
      <c r="I92" s="41">
        <f t="shared" si="5"/>
        <v>0</v>
      </c>
      <c r="J92" s="41">
        <f t="shared" si="6"/>
        <v>0</v>
      </c>
      <c r="K92" s="41">
        <f t="shared" si="7"/>
        <v>0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  <c r="AMK92"/>
      <c r="AML92" s="33"/>
    </row>
    <row r="93" spans="1:1026" ht="15" customHeight="1" x14ac:dyDescent="0.2">
      <c r="A93" s="402" t="s">
        <v>272</v>
      </c>
      <c r="B93" s="44" t="s">
        <v>164</v>
      </c>
      <c r="C93" s="39">
        <v>19</v>
      </c>
      <c r="D93" s="723">
        <v>15</v>
      </c>
      <c r="E93" s="724">
        <v>14</v>
      </c>
      <c r="F93" s="405"/>
      <c r="G93" s="418"/>
      <c r="H93" s="40">
        <f t="shared" si="4"/>
        <v>0</v>
      </c>
      <c r="I93" s="41">
        <f t="shared" si="5"/>
        <v>0</v>
      </c>
      <c r="J93" s="41">
        <f t="shared" si="6"/>
        <v>0</v>
      </c>
      <c r="K93" s="41">
        <f t="shared" si="7"/>
        <v>0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  <c r="AMK93"/>
      <c r="AML93" s="33"/>
    </row>
    <row r="94" spans="1:1026" ht="15" customHeight="1" x14ac:dyDescent="0.2">
      <c r="A94" s="402" t="s">
        <v>273</v>
      </c>
      <c r="B94" s="44" t="s">
        <v>164</v>
      </c>
      <c r="C94" s="39">
        <v>19</v>
      </c>
      <c r="D94" s="723">
        <v>15</v>
      </c>
      <c r="E94" s="724">
        <v>14</v>
      </c>
      <c r="F94" s="405"/>
      <c r="G94" s="418"/>
      <c r="H94" s="40">
        <f t="shared" si="4"/>
        <v>0</v>
      </c>
      <c r="I94" s="41">
        <f t="shared" si="5"/>
        <v>0</v>
      </c>
      <c r="J94" s="41">
        <f t="shared" si="6"/>
        <v>0</v>
      </c>
      <c r="K94" s="41">
        <f t="shared" si="7"/>
        <v>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  <c r="AMK94"/>
      <c r="AML94" s="33"/>
    </row>
    <row r="95" spans="1:1026" ht="15" customHeight="1" x14ac:dyDescent="0.2">
      <c r="A95" s="402" t="s">
        <v>274</v>
      </c>
      <c r="B95" s="44" t="s">
        <v>164</v>
      </c>
      <c r="C95" s="39">
        <f>19*2</f>
        <v>38</v>
      </c>
      <c r="D95" s="725">
        <f>15*2</f>
        <v>30</v>
      </c>
      <c r="E95" s="726">
        <f>14*2</f>
        <v>28</v>
      </c>
      <c r="F95" s="405"/>
      <c r="G95" s="418"/>
      <c r="H95" s="857">
        <f t="shared" si="4"/>
        <v>0</v>
      </c>
      <c r="I95" s="856">
        <f>(C95*H95)</f>
        <v>0</v>
      </c>
      <c r="J95" s="41">
        <f t="shared" si="6"/>
        <v>0</v>
      </c>
      <c r="K95" s="41">
        <f t="shared" si="7"/>
        <v>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  <c r="AMK95"/>
      <c r="AML95" s="33"/>
    </row>
    <row r="96" spans="1:1026" ht="15" customHeight="1" thickBot="1" x14ac:dyDescent="0.25">
      <c r="A96" s="696" t="s">
        <v>275</v>
      </c>
      <c r="B96" s="44" t="s">
        <v>164</v>
      </c>
      <c r="C96" s="39">
        <v>14</v>
      </c>
      <c r="D96" s="725">
        <v>11</v>
      </c>
      <c r="E96" s="726">
        <v>5</v>
      </c>
      <c r="F96" s="419"/>
      <c r="G96" s="697"/>
      <c r="H96" s="419">
        <f>(F96+G96)/2</f>
        <v>0</v>
      </c>
      <c r="I96" s="41">
        <f t="shared" si="5"/>
        <v>0</v>
      </c>
      <c r="J96" s="41">
        <f t="shared" si="6"/>
        <v>0</v>
      </c>
      <c r="K96" s="41">
        <f t="shared" si="7"/>
        <v>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  <c r="AMK96"/>
      <c r="AML96" s="33"/>
    </row>
    <row r="97" spans="1:1025" ht="20.25" customHeight="1" thickBot="1" x14ac:dyDescent="0.25">
      <c r="A97" s="953" t="s">
        <v>276</v>
      </c>
      <c r="B97" s="954"/>
      <c r="C97" s="954"/>
      <c r="D97" s="954"/>
      <c r="E97" s="954"/>
      <c r="F97" s="954"/>
      <c r="G97" s="955"/>
      <c r="H97" s="698"/>
      <c r="I97" s="698">
        <f>SUM(I87:I96)</f>
        <v>0</v>
      </c>
      <c r="J97" s="698">
        <f>SUM(J87:J96)</f>
        <v>0</v>
      </c>
      <c r="K97" s="698">
        <f>SUM(K87:K96)</f>
        <v>0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5" ht="20.25" customHeight="1" thickBot="1" x14ac:dyDescent="0.25">
      <c r="A98" s="924" t="s">
        <v>277</v>
      </c>
      <c r="B98" s="925"/>
      <c r="C98" s="925"/>
      <c r="D98" s="925"/>
      <c r="E98" s="925"/>
      <c r="F98" s="66">
        <v>0.1</v>
      </c>
      <c r="G98" s="67"/>
      <c r="H98" s="727"/>
      <c r="I98" s="727">
        <f>I97/120</f>
        <v>0</v>
      </c>
      <c r="J98" s="727">
        <f>J97/120</f>
        <v>0</v>
      </c>
      <c r="K98" s="727">
        <f>K97/120</f>
        <v>0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5" ht="20.25" customHeight="1" thickBot="1" x14ac:dyDescent="0.25">
      <c r="A99" s="926" t="s">
        <v>278</v>
      </c>
      <c r="B99" s="927"/>
      <c r="C99" s="927"/>
      <c r="D99" s="927"/>
      <c r="E99" s="927"/>
      <c r="F99" s="927"/>
      <c r="G99" s="927"/>
      <c r="H99" s="728"/>
      <c r="I99" s="728">
        <f>I98/'Prod. GEXCAS'!O24</f>
        <v>0</v>
      </c>
      <c r="J99" s="728">
        <f>J98/'Prod. GEXLON'!P20</f>
        <v>0</v>
      </c>
      <c r="K99" s="728">
        <f>K98/'Prod. GEXMRG'!O19</f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5" x14ac:dyDescent="0.2">
      <c r="A100" s="54"/>
      <c r="B100" s="55"/>
      <c r="C100" s="55"/>
      <c r="D100" s="55"/>
      <c r="E100" s="55"/>
      <c r="F100" s="55"/>
      <c r="G100" s="62"/>
      <c r="H100" s="55"/>
      <c r="I100" s="55"/>
      <c r="J100" s="55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5" x14ac:dyDescent="0.2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5" x14ac:dyDescent="0.2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5" ht="20.25" customHeight="1" x14ac:dyDescent="0.2">
      <c r="A103" s="909" t="s">
        <v>279</v>
      </c>
      <c r="B103" s="910"/>
      <c r="C103" s="910"/>
      <c r="D103" s="910"/>
      <c r="E103" s="910"/>
      <c r="F103" s="910"/>
      <c r="G103" s="911"/>
      <c r="H103" s="55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J103"/>
      <c r="AMK103"/>
    </row>
    <row r="104" spans="1:1025" s="65" customFormat="1" ht="47.25" customHeight="1" x14ac:dyDescent="0.2">
      <c r="A104" s="699" t="s">
        <v>130</v>
      </c>
      <c r="B104" s="68" t="s">
        <v>131</v>
      </c>
      <c r="C104" s="68" t="s">
        <v>244</v>
      </c>
      <c r="D104" s="68" t="s">
        <v>280</v>
      </c>
      <c r="E104" s="69" t="s">
        <v>281</v>
      </c>
      <c r="F104" s="69" t="s">
        <v>282</v>
      </c>
      <c r="G104" s="737" t="s">
        <v>283</v>
      </c>
    </row>
    <row r="105" spans="1:1025" ht="20.25" customHeight="1" x14ac:dyDescent="0.2">
      <c r="A105" s="912" t="s">
        <v>284</v>
      </c>
      <c r="B105" s="913"/>
      <c r="C105" s="913"/>
      <c r="D105" s="913"/>
      <c r="E105" s="913"/>
      <c r="F105" s="914"/>
      <c r="G105" s="738">
        <f>SUM(G106:G111)</f>
        <v>0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I105"/>
      <c r="AMJ105"/>
      <c r="AMK105"/>
    </row>
    <row r="106" spans="1:1025" ht="15" customHeight="1" x14ac:dyDescent="0.2">
      <c r="A106" s="700" t="s">
        <v>285</v>
      </c>
      <c r="B106" s="39" t="s">
        <v>164</v>
      </c>
      <c r="C106" s="39">
        <v>2</v>
      </c>
      <c r="D106" s="419"/>
      <c r="E106" s="422"/>
      <c r="F106" s="40">
        <f t="shared" ref="F106:F111" si="8">(D106+E106)/2</f>
        <v>0</v>
      </c>
      <c r="G106" s="739">
        <f t="shared" ref="G106:G111" si="9">(C106*F106)/12</f>
        <v>0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I106"/>
      <c r="AMJ106"/>
      <c r="AMK106"/>
    </row>
    <row r="107" spans="1:1025" ht="15" customHeight="1" x14ac:dyDescent="0.2">
      <c r="A107" s="701" t="s">
        <v>286</v>
      </c>
      <c r="B107" s="44" t="s">
        <v>164</v>
      </c>
      <c r="C107" s="44">
        <v>1</v>
      </c>
      <c r="D107" s="419"/>
      <c r="E107" s="422"/>
      <c r="F107" s="40">
        <f t="shared" si="8"/>
        <v>0</v>
      </c>
      <c r="G107" s="739">
        <f t="shared" si="9"/>
        <v>0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I107"/>
      <c r="AMJ107"/>
      <c r="AMK107"/>
    </row>
    <row r="108" spans="1:1025" ht="15" customHeight="1" x14ac:dyDescent="0.2">
      <c r="A108" s="701" t="s">
        <v>287</v>
      </c>
      <c r="B108" s="44" t="s">
        <v>164</v>
      </c>
      <c r="C108" s="44">
        <v>2</v>
      </c>
      <c r="D108" s="419"/>
      <c r="E108" s="422"/>
      <c r="F108" s="40">
        <f t="shared" si="8"/>
        <v>0</v>
      </c>
      <c r="G108" s="739">
        <f t="shared" si="9"/>
        <v>0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I108"/>
      <c r="AMJ108"/>
      <c r="AMK108"/>
    </row>
    <row r="109" spans="1:1025" ht="15" customHeight="1" x14ac:dyDescent="0.2">
      <c r="A109" s="701" t="s">
        <v>288</v>
      </c>
      <c r="B109" s="44" t="s">
        <v>164</v>
      </c>
      <c r="C109" s="44">
        <v>2</v>
      </c>
      <c r="D109" s="419"/>
      <c r="E109" s="422"/>
      <c r="F109" s="40">
        <f t="shared" si="8"/>
        <v>0</v>
      </c>
      <c r="G109" s="739">
        <f t="shared" si="9"/>
        <v>0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I109"/>
      <c r="AMJ109"/>
      <c r="AMK109"/>
    </row>
    <row r="110" spans="1:1025" ht="15" customHeight="1" x14ac:dyDescent="0.2">
      <c r="A110" s="702" t="s">
        <v>289</v>
      </c>
      <c r="B110" s="46" t="s">
        <v>164</v>
      </c>
      <c r="C110" s="46">
        <v>1</v>
      </c>
      <c r="D110" s="420"/>
      <c r="E110" s="423"/>
      <c r="F110" s="40">
        <f t="shared" si="8"/>
        <v>0</v>
      </c>
      <c r="G110" s="739">
        <f t="shared" si="9"/>
        <v>0</v>
      </c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I110"/>
      <c r="AMJ110"/>
      <c r="AMK110"/>
    </row>
    <row r="111" spans="1:1025" ht="15" customHeight="1" x14ac:dyDescent="0.2">
      <c r="A111" s="703" t="s">
        <v>290</v>
      </c>
      <c r="B111" s="70" t="s">
        <v>184</v>
      </c>
      <c r="C111" s="70">
        <v>2</v>
      </c>
      <c r="D111" s="421"/>
      <c r="E111" s="424"/>
      <c r="F111" s="71">
        <f t="shared" si="8"/>
        <v>0</v>
      </c>
      <c r="G111" s="739">
        <f t="shared" si="9"/>
        <v>0</v>
      </c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I111"/>
      <c r="AMJ111"/>
      <c r="AMK111"/>
    </row>
    <row r="112" spans="1:1025" ht="20.25" customHeight="1" x14ac:dyDescent="0.2">
      <c r="A112" s="915" t="s">
        <v>291</v>
      </c>
      <c r="B112" s="916"/>
      <c r="C112" s="916"/>
      <c r="D112" s="916"/>
      <c r="E112" s="916"/>
      <c r="F112" s="917"/>
      <c r="G112" s="738">
        <f>SUM(G113:G116)</f>
        <v>0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I112"/>
      <c r="AMJ112"/>
      <c r="AMK112"/>
    </row>
    <row r="113" spans="1:1025" ht="15" customHeight="1" x14ac:dyDescent="0.2">
      <c r="A113" s="402" t="s">
        <v>292</v>
      </c>
      <c r="B113" s="39" t="s">
        <v>164</v>
      </c>
      <c r="C113" s="39">
        <v>2</v>
      </c>
      <c r="D113" s="419"/>
      <c r="E113" s="422"/>
      <c r="F113" s="40">
        <f>(D113+E113)/2</f>
        <v>0</v>
      </c>
      <c r="G113" s="739">
        <f>(C113*F113)/12</f>
        <v>0</v>
      </c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I113"/>
      <c r="AMJ113"/>
      <c r="AMK113"/>
    </row>
    <row r="114" spans="1:1025" ht="15" customHeight="1" x14ac:dyDescent="0.2">
      <c r="A114" s="402" t="s">
        <v>293</v>
      </c>
      <c r="B114" s="44" t="s">
        <v>164</v>
      </c>
      <c r="C114" s="44">
        <v>2</v>
      </c>
      <c r="D114" s="419"/>
      <c r="E114" s="422"/>
      <c r="F114" s="40">
        <f>(D114+E114)/2</f>
        <v>0</v>
      </c>
      <c r="G114" s="739">
        <f>(C114*F114)/12</f>
        <v>0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I114"/>
      <c r="AMJ114"/>
      <c r="AMK114"/>
    </row>
    <row r="115" spans="1:1025" ht="15" customHeight="1" x14ac:dyDescent="0.2">
      <c r="A115" s="402" t="s">
        <v>294</v>
      </c>
      <c r="B115" s="44" t="s">
        <v>164</v>
      </c>
      <c r="C115" s="44">
        <v>1</v>
      </c>
      <c r="D115" s="419"/>
      <c r="E115" s="422"/>
      <c r="F115" s="40">
        <f>(D115+E115)/2</f>
        <v>0</v>
      </c>
      <c r="G115" s="739">
        <f>(C115*F115)/12</f>
        <v>0</v>
      </c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I115"/>
      <c r="AMJ115"/>
      <c r="AMK115"/>
    </row>
    <row r="116" spans="1:1025" ht="15" customHeight="1" x14ac:dyDescent="0.2">
      <c r="A116" s="411" t="s">
        <v>295</v>
      </c>
      <c r="B116" s="46" t="s">
        <v>184</v>
      </c>
      <c r="C116" s="46">
        <v>2</v>
      </c>
      <c r="D116" s="420"/>
      <c r="E116" s="423"/>
      <c r="F116" s="40">
        <f>(D116+E116)/2</f>
        <v>0</v>
      </c>
      <c r="G116" s="739">
        <f>(C116*F116)/12</f>
        <v>0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I116"/>
      <c r="AMJ116"/>
      <c r="AMK116"/>
    </row>
    <row r="117" spans="1:1025" ht="20.25" customHeight="1" x14ac:dyDescent="0.2">
      <c r="A117" s="918" t="s">
        <v>296</v>
      </c>
      <c r="B117" s="919"/>
      <c r="C117" s="919"/>
      <c r="D117" s="919"/>
      <c r="E117" s="919"/>
      <c r="F117" s="920"/>
      <c r="G117" s="740">
        <f>G105</f>
        <v>0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I117"/>
      <c r="AMJ117"/>
      <c r="AMK117"/>
    </row>
    <row r="118" spans="1:1025" ht="20.25" customHeight="1" x14ac:dyDescent="0.2">
      <c r="A118" s="921" t="s">
        <v>297</v>
      </c>
      <c r="B118" s="922"/>
      <c r="C118" s="922"/>
      <c r="D118" s="922"/>
      <c r="E118" s="922"/>
      <c r="F118" s="923"/>
      <c r="G118" s="741">
        <f>G112</f>
        <v>0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I118"/>
      <c r="AMJ118"/>
      <c r="AMK118"/>
    </row>
    <row r="119" spans="1:1025" x14ac:dyDescent="0.2">
      <c r="A119" s="54"/>
      <c r="B119" s="55"/>
      <c r="C119" s="55"/>
      <c r="D119" s="55"/>
      <c r="E119" s="55"/>
      <c r="F119" s="55"/>
      <c r="G119" s="55"/>
      <c r="H119" s="55"/>
      <c r="I119" s="55"/>
      <c r="J119" s="55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5" ht="20.25" customHeight="1" x14ac:dyDescent="0.2">
      <c r="A120" s="943" t="s">
        <v>298</v>
      </c>
      <c r="B120" s="944"/>
      <c r="C120" s="944"/>
      <c r="D120" s="944"/>
      <c r="E120" s="944"/>
      <c r="F120" s="944"/>
      <c r="G120" s="944"/>
      <c r="H120" s="944"/>
      <c r="I120" s="945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J120"/>
      <c r="AMK120"/>
    </row>
    <row r="121" spans="1:1025" s="65" customFormat="1" ht="59.25" customHeight="1" thickBot="1" x14ac:dyDescent="0.25">
      <c r="A121" s="704" t="s">
        <v>130</v>
      </c>
      <c r="B121" s="72" t="s">
        <v>131</v>
      </c>
      <c r="C121" s="72" t="s">
        <v>299</v>
      </c>
      <c r="D121" s="72" t="s">
        <v>300</v>
      </c>
      <c r="E121" s="72" t="s">
        <v>237</v>
      </c>
      <c r="F121" s="73" t="s">
        <v>301</v>
      </c>
      <c r="G121" s="73" t="s">
        <v>282</v>
      </c>
      <c r="H121" s="705" t="s">
        <v>302</v>
      </c>
      <c r="I121" s="706" t="s">
        <v>303</v>
      </c>
    </row>
    <row r="122" spans="1:1025" ht="20.25" customHeight="1" thickBot="1" x14ac:dyDescent="0.25">
      <c r="A122" s="946" t="s">
        <v>304</v>
      </c>
      <c r="B122" s="947"/>
      <c r="C122" s="947"/>
      <c r="D122" s="947"/>
      <c r="E122" s="947"/>
      <c r="F122" s="947"/>
      <c r="G122" s="948"/>
      <c r="H122" s="707">
        <f>SUM(H123:H127)</f>
        <v>0</v>
      </c>
      <c r="I122" s="707">
        <f>SUM(I123:I127)</f>
        <v>0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I122"/>
      <c r="AMJ122"/>
      <c r="AMK122"/>
    </row>
    <row r="123" spans="1:1025" ht="15" customHeight="1" thickBot="1" x14ac:dyDescent="0.25">
      <c r="A123" s="402" t="s">
        <v>305</v>
      </c>
      <c r="B123" s="336" t="s">
        <v>164</v>
      </c>
      <c r="C123" s="708">
        <f>22</f>
        <v>22</v>
      </c>
      <c r="D123" s="708">
        <f>22</f>
        <v>22</v>
      </c>
      <c r="E123" s="419"/>
      <c r="F123" s="405"/>
      <c r="G123" s="40">
        <f>(E123+F123)/2</f>
        <v>0</v>
      </c>
      <c r="H123" s="81">
        <f>C123*G123</f>
        <v>0</v>
      </c>
      <c r="I123" s="81">
        <f>D123*G123</f>
        <v>0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H123"/>
      <c r="AMI123"/>
      <c r="AMJ123"/>
      <c r="AMK123"/>
    </row>
    <row r="124" spans="1:1025" ht="15" customHeight="1" thickBot="1" x14ac:dyDescent="0.25">
      <c r="A124" s="402" t="s">
        <v>306</v>
      </c>
      <c r="B124" s="83" t="s">
        <v>164</v>
      </c>
      <c r="C124" s="334">
        <f>1/6</f>
        <v>0.16666666666666666</v>
      </c>
      <c r="D124" s="647">
        <f>1/6</f>
        <v>0.16666666666666666</v>
      </c>
      <c r="E124" s="419"/>
      <c r="F124" s="405"/>
      <c r="G124" s="76">
        <f>(E124+F124)/2</f>
        <v>0</v>
      </c>
      <c r="H124" s="77">
        <f>C124*G124</f>
        <v>0</v>
      </c>
      <c r="I124" s="74">
        <f t="shared" ref="I124:I127" si="10">D124*G124</f>
        <v>0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H124"/>
      <c r="AMI124"/>
      <c r="AMJ124"/>
      <c r="AMK124"/>
    </row>
    <row r="125" spans="1:1025" ht="15" customHeight="1" thickBot="1" x14ac:dyDescent="0.25">
      <c r="A125" s="402" t="s">
        <v>307</v>
      </c>
      <c r="B125" s="83" t="s">
        <v>184</v>
      </c>
      <c r="C125" s="709">
        <f>2*22</f>
        <v>44</v>
      </c>
      <c r="D125" s="708">
        <f>3*22</f>
        <v>66</v>
      </c>
      <c r="E125" s="419"/>
      <c r="F125" s="405"/>
      <c r="G125" s="76">
        <f>(E125+F125)/2</f>
        <v>0</v>
      </c>
      <c r="H125" s="77">
        <f>C125*G125</f>
        <v>0</v>
      </c>
      <c r="I125" s="74">
        <f t="shared" si="10"/>
        <v>0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H125"/>
      <c r="AMI125"/>
      <c r="AMJ125"/>
      <c r="AMK125"/>
    </row>
    <row r="126" spans="1:1025" ht="15" customHeight="1" thickBot="1" x14ac:dyDescent="0.25">
      <c r="A126" s="402" t="s">
        <v>308</v>
      </c>
      <c r="B126" s="83" t="s">
        <v>164</v>
      </c>
      <c r="C126" s="710">
        <f>2*22</f>
        <v>44</v>
      </c>
      <c r="D126" s="711">
        <f>3*22</f>
        <v>66</v>
      </c>
      <c r="E126" s="420"/>
      <c r="F126" s="405"/>
      <c r="G126" s="76">
        <f>(E126+F126)/2</f>
        <v>0</v>
      </c>
      <c r="H126" s="77">
        <f>C126*G126</f>
        <v>0</v>
      </c>
      <c r="I126" s="74">
        <f t="shared" si="10"/>
        <v>0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H126"/>
      <c r="AMI126"/>
      <c r="AMJ126"/>
      <c r="AMK126"/>
    </row>
    <row r="127" spans="1:1025" ht="15" customHeight="1" thickBot="1" x14ac:dyDescent="0.25">
      <c r="A127" s="411" t="s">
        <v>309</v>
      </c>
      <c r="B127" s="335" t="s">
        <v>164</v>
      </c>
      <c r="C127" s="710">
        <f>22</f>
        <v>22</v>
      </c>
      <c r="D127" s="710">
        <f>22</f>
        <v>22</v>
      </c>
      <c r="E127" s="712"/>
      <c r="F127" s="409"/>
      <c r="G127" s="78">
        <f>(E127+F127)/2</f>
        <v>0</v>
      </c>
      <c r="H127" s="79">
        <f>C127*G127</f>
        <v>0</v>
      </c>
      <c r="I127" s="713">
        <f t="shared" si="10"/>
        <v>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H127"/>
      <c r="AMI127"/>
      <c r="AMJ127"/>
      <c r="AMK127"/>
    </row>
    <row r="128" spans="1:1025" s="65" customFormat="1" ht="56.25" customHeight="1" thickBot="1" x14ac:dyDescent="0.25">
      <c r="A128" s="714" t="s">
        <v>130</v>
      </c>
      <c r="B128" s="715" t="s">
        <v>131</v>
      </c>
      <c r="C128" s="715" t="s">
        <v>310</v>
      </c>
      <c r="D128" s="715" t="s">
        <v>311</v>
      </c>
      <c r="E128" s="715" t="s">
        <v>312</v>
      </c>
      <c r="F128" s="716" t="s">
        <v>301</v>
      </c>
      <c r="G128" s="716" t="s">
        <v>282</v>
      </c>
      <c r="H128" s="717" t="s">
        <v>302</v>
      </c>
      <c r="I128" s="718" t="s">
        <v>303</v>
      </c>
    </row>
    <row r="129" spans="1:1025" ht="20.25" customHeight="1" thickBot="1" x14ac:dyDescent="0.25">
      <c r="A129" s="949" t="s">
        <v>313</v>
      </c>
      <c r="B129" s="950"/>
      <c r="C129" s="950"/>
      <c r="D129" s="950"/>
      <c r="E129" s="950"/>
      <c r="F129" s="950"/>
      <c r="G129" s="951"/>
      <c r="H129" s="612">
        <f>SUM(H130:H133)</f>
        <v>0</v>
      </c>
      <c r="I129" s="612">
        <f>SUM(I130:I133)</f>
        <v>0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H129"/>
      <c r="AMI129"/>
      <c r="AMJ129"/>
      <c r="AMK129"/>
    </row>
    <row r="130" spans="1:1025" ht="15" customHeight="1" x14ac:dyDescent="0.2">
      <c r="A130" s="402" t="s">
        <v>314</v>
      </c>
      <c r="B130" s="39" t="s">
        <v>164</v>
      </c>
      <c r="C130" s="80">
        <v>1</v>
      </c>
      <c r="D130" s="80">
        <v>1</v>
      </c>
      <c r="E130" s="419"/>
      <c r="F130" s="405"/>
      <c r="G130" s="40">
        <f>(E130+F130)/2</f>
        <v>0</v>
      </c>
      <c r="H130" s="81">
        <f>(C130*G130)/12</f>
        <v>0</v>
      </c>
      <c r="I130" s="81">
        <f>(D130*G130)/12</f>
        <v>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G130"/>
      <c r="AMH130"/>
      <c r="AMI130"/>
      <c r="AMJ130"/>
      <c r="AMK130"/>
    </row>
    <row r="131" spans="1:1025" ht="15" customHeight="1" x14ac:dyDescent="0.2">
      <c r="A131" s="402" t="s">
        <v>315</v>
      </c>
      <c r="B131" s="44" t="s">
        <v>184</v>
      </c>
      <c r="C131" s="75">
        <v>2</v>
      </c>
      <c r="D131" s="75">
        <v>2</v>
      </c>
      <c r="E131" s="419"/>
      <c r="F131" s="405"/>
      <c r="G131" s="76">
        <f>(E131+F131)/2</f>
        <v>0</v>
      </c>
      <c r="H131" s="81">
        <f>(C131*G131)/12</f>
        <v>0</v>
      </c>
      <c r="I131" s="81">
        <f t="shared" ref="I131:I133" si="11">(D131*G131)/12</f>
        <v>0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G131"/>
      <c r="AMH131"/>
      <c r="AMI131"/>
      <c r="AMJ131"/>
      <c r="AMK131"/>
    </row>
    <row r="132" spans="1:1025" ht="15" customHeight="1" x14ac:dyDescent="0.2">
      <c r="A132" s="402" t="s">
        <v>308</v>
      </c>
      <c r="B132" s="44" t="s">
        <v>164</v>
      </c>
      <c r="C132" s="44">
        <f>2*22*12</f>
        <v>528</v>
      </c>
      <c r="D132" s="44">
        <f>3*22*12</f>
        <v>792</v>
      </c>
      <c r="E132" s="419"/>
      <c r="F132" s="405"/>
      <c r="G132" s="76">
        <f>(E132+F132)/2</f>
        <v>0</v>
      </c>
      <c r="H132" s="81">
        <f>(C132*G132)/12</f>
        <v>0</v>
      </c>
      <c r="I132" s="81">
        <f t="shared" si="11"/>
        <v>0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G132"/>
      <c r="AMH132"/>
      <c r="AMI132"/>
      <c r="AMJ132"/>
      <c r="AMK132"/>
    </row>
    <row r="133" spans="1:1025" ht="15" customHeight="1" x14ac:dyDescent="0.2">
      <c r="A133" s="402" t="s">
        <v>316</v>
      </c>
      <c r="B133" s="44" t="s">
        <v>164</v>
      </c>
      <c r="C133" s="75">
        <v>1</v>
      </c>
      <c r="D133" s="75">
        <v>1</v>
      </c>
      <c r="E133" s="419"/>
      <c r="F133" s="405"/>
      <c r="G133" s="76">
        <f>(E133+F133)/2</f>
        <v>0</v>
      </c>
      <c r="H133" s="81">
        <f>(C133*G133)/12</f>
        <v>0</v>
      </c>
      <c r="I133" s="81">
        <f t="shared" si="11"/>
        <v>0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G133"/>
      <c r="AMH133"/>
      <c r="AMI133"/>
      <c r="AMJ133"/>
      <c r="AMK133"/>
    </row>
    <row r="134" spans="1:1025" x14ac:dyDescent="0.2">
      <c r="A134" s="54"/>
      <c r="B134" s="55"/>
      <c r="C134" s="55"/>
      <c r="D134" s="55"/>
      <c r="E134" s="55"/>
      <c r="F134" s="55"/>
      <c r="G134" s="55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G134"/>
      <c r="AMH134"/>
      <c r="AMI134"/>
      <c r="AMJ134"/>
      <c r="AMK134"/>
    </row>
    <row r="135" spans="1:1025" ht="12.75" customHeight="1" x14ac:dyDescent="0.2">
      <c r="A135" s="952" t="s">
        <v>317</v>
      </c>
      <c r="B135" s="952"/>
      <c r="C135" s="952"/>
      <c r="D135" s="952"/>
      <c r="E135" s="952"/>
      <c r="F135" s="952"/>
      <c r="G135" s="5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G135"/>
      <c r="AMH135"/>
      <c r="AMI135"/>
      <c r="AMJ135"/>
      <c r="AMK135"/>
    </row>
    <row r="136" spans="1:1025" ht="12.75" customHeight="1" x14ac:dyDescent="0.2">
      <c r="A136" s="82" t="s">
        <v>305</v>
      </c>
      <c r="B136" s="938" t="s">
        <v>318</v>
      </c>
      <c r="C136" s="938"/>
      <c r="D136" s="938"/>
      <c r="E136" s="938"/>
      <c r="F136" s="938"/>
      <c r="G136" s="55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G136"/>
      <c r="AMH136"/>
      <c r="AMI136"/>
      <c r="AMJ136"/>
      <c r="AMK136"/>
    </row>
    <row r="137" spans="1:1025" ht="12.75" customHeight="1" x14ac:dyDescent="0.2">
      <c r="A137" s="82" t="s">
        <v>306</v>
      </c>
      <c r="B137" s="938" t="s">
        <v>319</v>
      </c>
      <c r="C137" s="938"/>
      <c r="D137" s="938"/>
      <c r="E137" s="938"/>
      <c r="F137" s="938"/>
      <c r="G137" s="55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G137"/>
      <c r="AMH137"/>
      <c r="AMI137"/>
      <c r="AMJ137"/>
      <c r="AMK137"/>
    </row>
    <row r="138" spans="1:1025" ht="12.75" customHeight="1" x14ac:dyDescent="0.2">
      <c r="A138" s="82" t="s">
        <v>307</v>
      </c>
      <c r="B138" s="938" t="s">
        <v>320</v>
      </c>
      <c r="C138" s="938"/>
      <c r="D138" s="938"/>
      <c r="E138" s="938"/>
      <c r="F138" s="938"/>
      <c r="G138" s="55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G138"/>
      <c r="AMH138"/>
      <c r="AMI138"/>
      <c r="AMJ138"/>
      <c r="AMK138"/>
    </row>
    <row r="139" spans="1:1025" ht="12.75" customHeight="1" x14ac:dyDescent="0.2">
      <c r="A139" s="82" t="s">
        <v>308</v>
      </c>
      <c r="B139" s="938" t="s">
        <v>321</v>
      </c>
      <c r="C139" s="938"/>
      <c r="D139" s="938"/>
      <c r="E139" s="938"/>
      <c r="F139" s="938"/>
      <c r="G139" s="55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G139"/>
      <c r="AMH139"/>
      <c r="AMI139"/>
      <c r="AMJ139"/>
      <c r="AMK139"/>
    </row>
    <row r="140" spans="1:1025" ht="12.75" customHeight="1" x14ac:dyDescent="0.2">
      <c r="A140" s="82" t="s">
        <v>309</v>
      </c>
      <c r="B140" s="938" t="s">
        <v>318</v>
      </c>
      <c r="C140" s="938"/>
      <c r="D140" s="938"/>
      <c r="E140" s="938"/>
      <c r="F140" s="938"/>
      <c r="G140" s="55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G140"/>
      <c r="AMH140"/>
      <c r="AMI140"/>
      <c r="AMJ140"/>
      <c r="AMK140"/>
    </row>
    <row r="141" spans="1:1025" ht="12.75" customHeight="1" x14ac:dyDescent="0.2">
      <c r="A141" s="82" t="s">
        <v>322</v>
      </c>
      <c r="B141" s="938" t="s">
        <v>323</v>
      </c>
      <c r="C141" s="938"/>
      <c r="D141" s="938"/>
      <c r="E141" s="938"/>
      <c r="F141" s="938"/>
      <c r="G141" s="55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G141"/>
      <c r="AMH141"/>
      <c r="AMI141"/>
      <c r="AMJ141"/>
      <c r="AMK141"/>
    </row>
    <row r="142" spans="1:1025" ht="12.75" customHeight="1" x14ac:dyDescent="0.2">
      <c r="A142" s="82" t="s">
        <v>324</v>
      </c>
      <c r="B142" s="938" t="s">
        <v>325</v>
      </c>
      <c r="C142" s="938"/>
      <c r="D142" s="938"/>
      <c r="E142" s="938"/>
      <c r="F142" s="938"/>
      <c r="G142" s="55"/>
      <c r="H142" s="55"/>
      <c r="I142" s="55"/>
      <c r="J142" s="55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5" ht="12.75" customHeight="1" x14ac:dyDescent="0.2">
      <c r="A143" s="82" t="s">
        <v>326</v>
      </c>
      <c r="B143" s="938" t="s">
        <v>327</v>
      </c>
      <c r="C143" s="938"/>
      <c r="D143" s="938"/>
      <c r="E143" s="938"/>
      <c r="F143" s="938"/>
      <c r="G143" s="55"/>
      <c r="H143" s="55"/>
      <c r="I143" s="55"/>
      <c r="J143" s="55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5" x14ac:dyDescent="0.2">
      <c r="A144" s="54"/>
      <c r="B144" s="55"/>
      <c r="C144" s="55"/>
      <c r="D144" s="55"/>
      <c r="E144" s="55"/>
      <c r="F144" s="55"/>
      <c r="G144" s="55"/>
      <c r="H144" s="55"/>
      <c r="I144" s="55"/>
      <c r="J144" s="55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" ht="20.25" customHeight="1" x14ac:dyDescent="0.2">
      <c r="A145" s="939" t="s">
        <v>328</v>
      </c>
      <c r="B145" s="940"/>
      <c r="C145" s="940"/>
      <c r="D145" s="940"/>
      <c r="E145" s="940"/>
      <c r="F145" s="940"/>
      <c r="G145" s="940"/>
      <c r="H145" s="743">
        <f>SUM(H146:H146)</f>
        <v>0</v>
      </c>
      <c r="I145" s="611"/>
      <c r="J145" s="55"/>
    </row>
    <row r="146" spans="1:10" ht="15" customHeight="1" x14ac:dyDescent="0.2">
      <c r="A146" s="744" t="s">
        <v>329</v>
      </c>
      <c r="B146" s="745" t="s">
        <v>164</v>
      </c>
      <c r="C146" s="745">
        <v>1</v>
      </c>
      <c r="D146" s="941"/>
      <c r="E146" s="942"/>
      <c r="F146" s="942"/>
      <c r="G146" s="942"/>
      <c r="H146" s="746">
        <f>D146</f>
        <v>0</v>
      </c>
      <c r="I146" s="742"/>
      <c r="J146" s="55"/>
    </row>
    <row r="147" spans="1:10" x14ac:dyDescent="0.2">
      <c r="A147"/>
      <c r="B147"/>
      <c r="C147"/>
      <c r="D147"/>
      <c r="E147"/>
      <c r="F147"/>
      <c r="G147"/>
      <c r="H147"/>
      <c r="I147"/>
      <c r="J147"/>
    </row>
  </sheetData>
  <mergeCells count="28">
    <mergeCell ref="B142:F142"/>
    <mergeCell ref="B143:F143"/>
    <mergeCell ref="A145:G145"/>
    <mergeCell ref="D146:G146"/>
    <mergeCell ref="A1:H1"/>
    <mergeCell ref="B136:F136"/>
    <mergeCell ref="B137:F137"/>
    <mergeCell ref="B138:F138"/>
    <mergeCell ref="B139:F139"/>
    <mergeCell ref="B140:F140"/>
    <mergeCell ref="B141:F141"/>
    <mergeCell ref="A120:I120"/>
    <mergeCell ref="A122:G122"/>
    <mergeCell ref="A129:G129"/>
    <mergeCell ref="A135:F135"/>
    <mergeCell ref="A97:G97"/>
    <mergeCell ref="A98:E98"/>
    <mergeCell ref="A99:G99"/>
    <mergeCell ref="A58:F58"/>
    <mergeCell ref="A59:F59"/>
    <mergeCell ref="A61:H61"/>
    <mergeCell ref="A69:F69"/>
    <mergeCell ref="A85:K85"/>
    <mergeCell ref="A103:G103"/>
    <mergeCell ref="A105:F105"/>
    <mergeCell ref="A112:F112"/>
    <mergeCell ref="A117:F117"/>
    <mergeCell ref="A118:F11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LY62"/>
  <sheetViews>
    <sheetView showGridLines="0" zoomScale="98" zoomScaleNormal="98" workbookViewId="0">
      <pane xSplit="4" ySplit="5" topLeftCell="Y6" activePane="bottomRight" state="frozen"/>
      <selection pane="topRight"/>
      <selection pane="bottomLeft"/>
      <selection pane="bottomRight" activeCell="AC58" sqref="AC58"/>
    </sheetView>
  </sheetViews>
  <sheetFormatPr defaultRowHeight="14.25" x14ac:dyDescent="0.2"/>
  <cols>
    <col min="1" max="1" width="6.75"/>
    <col min="2" max="2" width="27.25" customWidth="1"/>
    <col min="3" max="3" width="58.75" customWidth="1"/>
    <col min="6" max="6" width="8"/>
    <col min="7" max="7" width="8.5"/>
    <col min="8" max="8" width="6.625"/>
    <col min="9" max="9" width="7.875"/>
    <col min="10" max="10" width="7.375"/>
    <col min="11" max="11" width="9.25"/>
    <col min="12" max="12" width="9.125" customWidth="1"/>
    <col min="13" max="13" width="8.25"/>
    <col min="14" max="14" width="6.25"/>
    <col min="15" max="15" width="9.25" customWidth="1"/>
    <col min="16" max="16" width="7.375"/>
    <col min="17" max="17" width="8.625"/>
    <col min="18" max="18" width="6.875"/>
    <col min="19" max="19" width="7.5"/>
    <col min="20" max="20" width="8.875" customWidth="1"/>
    <col min="21" max="21" width="7.5"/>
    <col min="22" max="22" width="7"/>
    <col min="23" max="23" width="8.875"/>
    <col min="24" max="24" width="7.25"/>
    <col min="25" max="25" width="12.375"/>
    <col min="26" max="26" width="12.625" customWidth="1"/>
    <col min="27" max="29" width="10.875" customWidth="1"/>
    <col min="30" max="1014" width="10.625"/>
  </cols>
  <sheetData>
    <row r="1" spans="1:29" ht="23.25" x14ac:dyDescent="0.2">
      <c r="A1" s="956" t="s">
        <v>330</v>
      </c>
      <c r="B1" s="956"/>
      <c r="C1" s="956"/>
      <c r="D1" s="956"/>
      <c r="E1" s="956"/>
      <c r="F1" s="956"/>
      <c r="G1" s="956"/>
      <c r="H1" s="956"/>
      <c r="I1" s="956"/>
      <c r="J1" s="956"/>
      <c r="K1" s="956"/>
      <c r="L1" s="956"/>
      <c r="M1" s="956"/>
      <c r="N1" s="956"/>
      <c r="O1" s="956"/>
      <c r="P1" s="956"/>
      <c r="Q1" s="956"/>
      <c r="R1" s="956"/>
      <c r="S1" s="956"/>
      <c r="T1" s="956"/>
      <c r="U1" s="956"/>
      <c r="V1" s="956"/>
      <c r="W1" s="956"/>
      <c r="X1" s="956"/>
      <c r="Y1" s="956"/>
      <c r="Z1" s="956"/>
      <c r="AA1" s="956"/>
      <c r="AB1" s="956"/>
      <c r="AC1" s="956"/>
    </row>
    <row r="2" spans="1:29" ht="15" customHeight="1" x14ac:dyDescent="0.2">
      <c r="A2" s="957" t="s">
        <v>131</v>
      </c>
      <c r="B2" s="957"/>
      <c r="C2" s="342"/>
      <c r="D2" s="342"/>
      <c r="E2" s="958" t="s">
        <v>331</v>
      </c>
      <c r="F2" s="958"/>
      <c r="G2" s="958"/>
      <c r="H2" s="958"/>
      <c r="I2" s="958"/>
      <c r="J2" s="958"/>
      <c r="K2" s="958"/>
      <c r="L2" s="958"/>
      <c r="M2" s="959" t="s">
        <v>332</v>
      </c>
      <c r="N2" s="959"/>
      <c r="O2" s="959"/>
      <c r="P2" s="959"/>
      <c r="Q2" s="959"/>
      <c r="R2" s="959"/>
      <c r="S2" s="960" t="s">
        <v>333</v>
      </c>
      <c r="T2" s="960"/>
      <c r="U2" s="960"/>
      <c r="V2" s="960"/>
      <c r="W2" s="960"/>
      <c r="X2" s="960"/>
      <c r="Y2" s="144" t="s">
        <v>334</v>
      </c>
      <c r="Z2" s="144" t="s">
        <v>335</v>
      </c>
      <c r="AA2" s="144" t="s">
        <v>336</v>
      </c>
      <c r="AB2" s="144" t="s">
        <v>337</v>
      </c>
      <c r="AC2" s="144" t="s">
        <v>338</v>
      </c>
    </row>
    <row r="3" spans="1:29" ht="59.25" customHeight="1" x14ac:dyDescent="0.2">
      <c r="A3" s="990" t="s">
        <v>339</v>
      </c>
      <c r="B3" s="972" t="s">
        <v>340</v>
      </c>
      <c r="C3" s="672"/>
      <c r="D3" s="976" t="s">
        <v>341</v>
      </c>
      <c r="E3" s="975" t="s">
        <v>342</v>
      </c>
      <c r="F3" s="969"/>
      <c r="G3" s="969" t="s">
        <v>343</v>
      </c>
      <c r="H3" s="969"/>
      <c r="I3" s="969" t="s">
        <v>344</v>
      </c>
      <c r="J3" s="969"/>
      <c r="K3" s="969" t="s">
        <v>345</v>
      </c>
      <c r="L3" s="969"/>
      <c r="M3" s="970" t="s">
        <v>346</v>
      </c>
      <c r="N3" s="970"/>
      <c r="O3" s="971" t="s">
        <v>347</v>
      </c>
      <c r="P3" s="971"/>
      <c r="Q3" s="970" t="s">
        <v>348</v>
      </c>
      <c r="R3" s="970"/>
      <c r="S3" s="964" t="s">
        <v>349</v>
      </c>
      <c r="T3" s="964"/>
      <c r="U3" s="964" t="s">
        <v>350</v>
      </c>
      <c r="V3" s="964"/>
      <c r="W3" s="965" t="s">
        <v>351</v>
      </c>
      <c r="X3" s="965"/>
      <c r="Y3" s="966" t="s">
        <v>352</v>
      </c>
      <c r="Z3" s="979" t="s">
        <v>353</v>
      </c>
      <c r="AA3" s="967" t="s">
        <v>354</v>
      </c>
      <c r="AB3" s="988" t="s">
        <v>355</v>
      </c>
      <c r="AC3" s="961" t="s">
        <v>356</v>
      </c>
    </row>
    <row r="4" spans="1:29" ht="15" customHeight="1" thickBot="1" x14ac:dyDescent="0.25">
      <c r="A4" s="991"/>
      <c r="B4" s="973"/>
      <c r="C4" s="673"/>
      <c r="D4" s="977"/>
      <c r="E4" s="975"/>
      <c r="F4" s="969"/>
      <c r="G4" s="969"/>
      <c r="H4" s="969"/>
      <c r="I4" s="969"/>
      <c r="J4" s="969"/>
      <c r="K4" s="969"/>
      <c r="L4" s="969"/>
      <c r="M4" s="970"/>
      <c r="N4" s="970"/>
      <c r="O4" s="971"/>
      <c r="P4" s="971"/>
      <c r="Q4" s="970"/>
      <c r="R4" s="970"/>
      <c r="S4" s="964"/>
      <c r="T4" s="964"/>
      <c r="U4" s="964"/>
      <c r="V4" s="964"/>
      <c r="W4" s="965"/>
      <c r="X4" s="965"/>
      <c r="Y4" s="966"/>
      <c r="Z4" s="980"/>
      <c r="AA4" s="968"/>
      <c r="AB4" s="989"/>
      <c r="AC4" s="962"/>
    </row>
    <row r="5" spans="1:29" ht="24.75" customHeight="1" thickBot="1" x14ac:dyDescent="0.25">
      <c r="A5" s="992"/>
      <c r="B5" s="974"/>
      <c r="C5" s="674"/>
      <c r="D5" s="978"/>
      <c r="E5" s="372" t="s">
        <v>357</v>
      </c>
      <c r="F5" s="373" t="s">
        <v>358</v>
      </c>
      <c r="G5" s="372" t="s">
        <v>357</v>
      </c>
      <c r="H5" s="373" t="s">
        <v>358</v>
      </c>
      <c r="I5" s="372" t="s">
        <v>357</v>
      </c>
      <c r="J5" s="373" t="s">
        <v>358</v>
      </c>
      <c r="K5" s="372" t="s">
        <v>357</v>
      </c>
      <c r="L5" s="373" t="s">
        <v>358</v>
      </c>
      <c r="M5" s="561" t="s">
        <v>357</v>
      </c>
      <c r="N5" s="561" t="s">
        <v>358</v>
      </c>
      <c r="O5" s="561" t="s">
        <v>357</v>
      </c>
      <c r="P5" s="561" t="s">
        <v>358</v>
      </c>
      <c r="Q5" s="561" t="s">
        <v>357</v>
      </c>
      <c r="R5" s="561" t="s">
        <v>358</v>
      </c>
      <c r="S5" s="562" t="s">
        <v>357</v>
      </c>
      <c r="T5" s="562" t="s">
        <v>358</v>
      </c>
      <c r="U5" s="562" t="s">
        <v>357</v>
      </c>
      <c r="V5" s="562" t="s">
        <v>358</v>
      </c>
      <c r="W5" s="858" t="s">
        <v>357</v>
      </c>
      <c r="X5" s="580" t="s">
        <v>358</v>
      </c>
      <c r="Y5" s="425" t="s">
        <v>359</v>
      </c>
      <c r="Z5" s="860" t="s">
        <v>359</v>
      </c>
      <c r="AA5" s="426" t="s">
        <v>359</v>
      </c>
      <c r="AB5" s="147" t="s">
        <v>359</v>
      </c>
      <c r="AC5" s="861" t="s">
        <v>359</v>
      </c>
    </row>
    <row r="6" spans="1:29" ht="14.25" customHeight="1" x14ac:dyDescent="0.2">
      <c r="A6" s="148">
        <v>1</v>
      </c>
      <c r="B6" s="148" t="s">
        <v>76</v>
      </c>
      <c r="C6" s="148" t="s">
        <v>360</v>
      </c>
      <c r="D6" s="343">
        <f>MC!C68</f>
        <v>0</v>
      </c>
      <c r="E6" s="815">
        <v>2054.1999999999998</v>
      </c>
      <c r="F6" s="560">
        <f>'GEXCAS Limp.Ord.'!H149</f>
        <v>0</v>
      </c>
      <c r="G6" s="821">
        <v>819.31</v>
      </c>
      <c r="H6" s="830">
        <f>'GEXCAS Limp.Ord.'!H155</f>
        <v>0</v>
      </c>
      <c r="I6" s="821">
        <v>201.39</v>
      </c>
      <c r="J6" s="370">
        <f>'GEXCAS Limp.Ord.'!H161</f>
        <v>0</v>
      </c>
      <c r="K6" s="585">
        <v>60.56</v>
      </c>
      <c r="L6" s="560">
        <f>'GEXCAS Limp.Ord.'!H167</f>
        <v>0</v>
      </c>
      <c r="M6" s="566">
        <v>92.89</v>
      </c>
      <c r="N6" s="560">
        <f>'GEXCAS Limp.Ord.'!H173</f>
        <v>0</v>
      </c>
      <c r="O6" s="566">
        <v>17.11</v>
      </c>
      <c r="P6" s="560">
        <f>'GEXCAS Limp.Ord.'!H176</f>
        <v>0</v>
      </c>
      <c r="Q6" s="566">
        <v>58.39</v>
      </c>
      <c r="R6" s="560">
        <f>'GEXCAS Limp.Ord.'!H179</f>
        <v>0</v>
      </c>
      <c r="S6" s="577">
        <v>203.15</v>
      </c>
      <c r="T6" s="560">
        <f>'GEXCAS Limp.Ord.'!H185</f>
        <v>0</v>
      </c>
      <c r="U6" s="819">
        <v>137.85</v>
      </c>
      <c r="V6" s="560">
        <f>'GEXCAS Limp.Ord.'!H188</f>
        <v>0</v>
      </c>
      <c r="W6" s="833">
        <v>341</v>
      </c>
      <c r="X6" s="582">
        <f>'GEXCAS Limp.Ord.'!H191</f>
        <v>0</v>
      </c>
      <c r="Y6" s="571">
        <f t="shared" ref="Y6:Y24" si="0">(E6*F6)+(G6*H6)+(I6*J6)+(K6*L6)+(M6*N6)+(O6*P6)+(Q6*R6)+(S6*T6)+(U6*V6)+(W6*X6)</f>
        <v>0</v>
      </c>
      <c r="Z6" s="859"/>
      <c r="AA6" s="427">
        <f>'Prod. GEXCAS'!R4*'GEXCAS Limp.Ord.'!C141</f>
        <v>0</v>
      </c>
      <c r="AB6" s="153">
        <f>'Prod. GEXCAS'!S4*'GEXCAS Covid'!C141</f>
        <v>0</v>
      </c>
      <c r="AC6" s="154">
        <f>MC!I7*'Prod. GEXCAS'!T4</f>
        <v>0</v>
      </c>
    </row>
    <row r="7" spans="1:29" ht="14.25" customHeight="1" x14ac:dyDescent="0.2">
      <c r="A7" s="155">
        <v>2</v>
      </c>
      <c r="B7" s="155" t="s">
        <v>78</v>
      </c>
      <c r="C7" s="155" t="s">
        <v>361</v>
      </c>
      <c r="D7" s="344">
        <f>MC!C69</f>
        <v>0</v>
      </c>
      <c r="E7" s="816">
        <v>136.41</v>
      </c>
      <c r="F7" s="556">
        <f>'GEXCAS Limp.Ord.'!J149</f>
        <v>0</v>
      </c>
      <c r="G7" s="822">
        <v>160.57</v>
      </c>
      <c r="H7" s="574">
        <f>'GEXCAS Limp.Ord.'!J155</f>
        <v>0</v>
      </c>
      <c r="I7" s="816">
        <v>136.59</v>
      </c>
      <c r="J7" s="371">
        <f>'GEXCAS Limp.Ord.'!J161</f>
        <v>0</v>
      </c>
      <c r="K7" s="586">
        <v>32</v>
      </c>
      <c r="L7" s="556">
        <f>'GEXCAS Limp.Ord.'!J167</f>
        <v>0</v>
      </c>
      <c r="M7" s="567">
        <v>114.18</v>
      </c>
      <c r="N7" s="556">
        <f>'GEXCAS Limp.Ord.'!J173</f>
        <v>0</v>
      </c>
      <c r="O7" s="567">
        <v>1212.3599999999999</v>
      </c>
      <c r="P7" s="556">
        <f>'GEXCAS Limp.Ord.'!J176</f>
        <v>0</v>
      </c>
      <c r="Q7" s="567">
        <v>373</v>
      </c>
      <c r="R7" s="556">
        <f>'GEXCAS Limp.Ord.'!J179</f>
        <v>0</v>
      </c>
      <c r="S7" s="568">
        <v>0</v>
      </c>
      <c r="T7" s="556">
        <f>'GEXCAS Limp.Ord.'!J185</f>
        <v>0</v>
      </c>
      <c r="U7" s="819">
        <v>77.81</v>
      </c>
      <c r="V7" s="556">
        <f>'GEXCAS Limp.Ord.'!J188</f>
        <v>0</v>
      </c>
      <c r="W7" s="834">
        <v>77.81</v>
      </c>
      <c r="X7" s="573">
        <f>'GEXCAS Limp.Ord.'!J191</f>
        <v>0</v>
      </c>
      <c r="Y7" s="571">
        <f t="shared" si="0"/>
        <v>0</v>
      </c>
      <c r="Z7" s="431"/>
      <c r="AA7" s="428">
        <f>'Prod. GEXCAS'!R5*'GEXCAS Limp.Ord.'!C142</f>
        <v>0</v>
      </c>
      <c r="AB7" s="160">
        <f>'Prod. GEXCAS'!S5*'GEXCAS Covid'!C142</f>
        <v>0</v>
      </c>
      <c r="AC7" s="161"/>
    </row>
    <row r="8" spans="1:29" ht="14.25" customHeight="1" x14ac:dyDescent="0.2">
      <c r="A8" s="155">
        <v>3</v>
      </c>
      <c r="B8" s="155" t="s">
        <v>80</v>
      </c>
      <c r="C8" s="155" t="s">
        <v>362</v>
      </c>
      <c r="D8" s="344">
        <f>MC!C70</f>
        <v>0</v>
      </c>
      <c r="E8" s="815">
        <v>1570.02</v>
      </c>
      <c r="F8" s="556">
        <f>'GEXCAS Limp.Ord.'!H149</f>
        <v>0</v>
      </c>
      <c r="G8" s="823">
        <v>1341.31</v>
      </c>
      <c r="H8" s="574">
        <f>'GEXCAS Limp.Ord.'!H155</f>
        <v>0</v>
      </c>
      <c r="I8" s="816">
        <v>751.5</v>
      </c>
      <c r="J8" s="371">
        <f>'GEXCAS Limp.Ord.'!H161</f>
        <v>0</v>
      </c>
      <c r="K8" s="586">
        <v>125.26</v>
      </c>
      <c r="L8" s="556">
        <f>'GEXCAS Limp.Ord.'!H167</f>
        <v>0</v>
      </c>
      <c r="M8" s="567">
        <v>323.77</v>
      </c>
      <c r="N8" s="560">
        <f>'GEXCAS Limp.Ord.'!H173</f>
        <v>0</v>
      </c>
      <c r="O8" s="567">
        <v>137</v>
      </c>
      <c r="P8" s="556">
        <f>'GEXCAS Limp.Ord.'!H176</f>
        <v>0</v>
      </c>
      <c r="Q8" s="567">
        <v>353</v>
      </c>
      <c r="R8" s="560">
        <f>'GEXCAS Limp.Ord.'!H179</f>
        <v>0</v>
      </c>
      <c r="S8" s="568">
        <v>302</v>
      </c>
      <c r="T8" s="556">
        <f>'GEXCAS Limp.Ord.'!H185</f>
        <v>0</v>
      </c>
      <c r="U8" s="819">
        <v>364</v>
      </c>
      <c r="V8" s="556">
        <f>'GEXCAS Limp.Ord.'!H188</f>
        <v>0</v>
      </c>
      <c r="W8" s="834">
        <v>666</v>
      </c>
      <c r="X8" s="573">
        <f>'GEXCAS Limp.Ord.'!H191</f>
        <v>0</v>
      </c>
      <c r="Y8" s="571">
        <f t="shared" si="0"/>
        <v>0</v>
      </c>
      <c r="Z8" s="431">
        <f>'Prod. GEXCAS'!Q6*'GEXCAS Covid'!C136</f>
        <v>0</v>
      </c>
      <c r="AA8" s="428">
        <f>'Prod. GEXCAS'!R6*'GEXCAS Limp.Ord.'!C141</f>
        <v>0</v>
      </c>
      <c r="AB8" s="160">
        <f>'Prod. GEXCAS'!S6*'GEXCAS Covid'!C141</f>
        <v>0</v>
      </c>
      <c r="AC8" s="161"/>
    </row>
    <row r="9" spans="1:29" ht="14.25" customHeight="1" x14ac:dyDescent="0.2">
      <c r="A9" s="155">
        <v>4</v>
      </c>
      <c r="B9" s="155" t="s">
        <v>82</v>
      </c>
      <c r="C9" s="155" t="s">
        <v>363</v>
      </c>
      <c r="D9" s="344">
        <f>MC!C71</f>
        <v>0</v>
      </c>
      <c r="E9" s="816">
        <v>973</v>
      </c>
      <c r="F9" s="556">
        <f>'GEXCAS Limp.Ord.'!J149</f>
        <v>0</v>
      </c>
      <c r="G9" s="824">
        <v>1111.5</v>
      </c>
      <c r="H9" s="574">
        <f>'GEXCAS Limp.Ord.'!J155</f>
        <v>0</v>
      </c>
      <c r="I9" s="828">
        <v>770</v>
      </c>
      <c r="J9" s="371">
        <f>'GEXCAS Limp.Ord.'!J161</f>
        <v>0</v>
      </c>
      <c r="K9" s="586">
        <v>100.85</v>
      </c>
      <c r="L9" s="556">
        <f>'GEXCAS Limp.Ord.'!J167</f>
        <v>0</v>
      </c>
      <c r="M9" s="568">
        <v>1293</v>
      </c>
      <c r="N9" s="556">
        <f>'GEXCAS Limp.Ord.'!J173</f>
        <v>0</v>
      </c>
      <c r="O9" s="567">
        <v>5607</v>
      </c>
      <c r="P9" s="556">
        <f>'GEXCAS Limp.Ord.'!J176</f>
        <v>0</v>
      </c>
      <c r="Q9" s="567">
        <v>81</v>
      </c>
      <c r="R9" s="556">
        <f>'GEXCAS Limp.Ord.'!J179</f>
        <v>0</v>
      </c>
      <c r="S9" s="568">
        <v>421.84</v>
      </c>
      <c r="T9" s="556">
        <f>'GEXCAS Limp.Ord.'!J185</f>
        <v>0</v>
      </c>
      <c r="U9" s="819">
        <v>256.16000000000003</v>
      </c>
      <c r="V9" s="556">
        <f>'GEXCAS Limp.Ord.'!J188</f>
        <v>0</v>
      </c>
      <c r="W9" s="834">
        <v>678</v>
      </c>
      <c r="X9" s="573">
        <f>'GEXCAS Limp.Ord.'!J191</f>
        <v>0</v>
      </c>
      <c r="Y9" s="571">
        <f t="shared" si="0"/>
        <v>0</v>
      </c>
      <c r="Z9" s="431">
        <f>'Prod. GEXCAS'!Q7*'GEXCAS Covid'!C137</f>
        <v>0</v>
      </c>
      <c r="AA9" s="428">
        <f>'Prod. GEXCAS'!R7*'GEXCAS Limp.Ord.'!C142</f>
        <v>0</v>
      </c>
      <c r="AB9" s="160">
        <f>'Prod. GEXCAS'!S7*'GEXCAS Covid'!C142</f>
        <v>0</v>
      </c>
      <c r="AC9" s="161"/>
    </row>
    <row r="10" spans="1:29" ht="14.25" customHeight="1" x14ac:dyDescent="0.2">
      <c r="A10" s="155">
        <v>5</v>
      </c>
      <c r="B10" s="155" t="s">
        <v>84</v>
      </c>
      <c r="C10" s="155" t="s">
        <v>364</v>
      </c>
      <c r="D10" s="344">
        <f>MC!C72</f>
        <v>0</v>
      </c>
      <c r="E10" s="815">
        <v>1301.03</v>
      </c>
      <c r="F10" s="556">
        <f>'GEXCAS Limp.Ord.'!H149</f>
        <v>0</v>
      </c>
      <c r="G10" s="822">
        <v>983.92</v>
      </c>
      <c r="H10" s="574">
        <f>'GEXCAS Limp.Ord.'!H155</f>
        <v>0</v>
      </c>
      <c r="I10" s="816">
        <v>131.74</v>
      </c>
      <c r="J10" s="371">
        <f>'GEXCAS Limp.Ord.'!H161</f>
        <v>0</v>
      </c>
      <c r="K10" s="586">
        <v>106.07</v>
      </c>
      <c r="L10" s="556">
        <f>'GEXCAS Limp.Ord.'!H167</f>
        <v>0</v>
      </c>
      <c r="M10" s="567">
        <v>210</v>
      </c>
      <c r="N10" s="556">
        <f>'GEXCAS Limp.Ord.'!H173</f>
        <v>0</v>
      </c>
      <c r="O10" s="567">
        <v>381</v>
      </c>
      <c r="P10" s="556">
        <f>'GEXCAS Limp.Ord.'!H176</f>
        <v>0</v>
      </c>
      <c r="Q10" s="567">
        <v>126</v>
      </c>
      <c r="R10" s="556">
        <f>'GEXCAS Limp.Ord.'!H179</f>
        <v>0</v>
      </c>
      <c r="S10" s="568">
        <v>256.05</v>
      </c>
      <c r="T10" s="556">
        <f>'GEXCAS Limp.Ord.'!H185</f>
        <v>0</v>
      </c>
      <c r="U10" s="819">
        <v>149.84</v>
      </c>
      <c r="V10" s="556">
        <f>'GEXCAS Limp.Ord.'!H188</f>
        <v>0</v>
      </c>
      <c r="W10" s="834">
        <v>405.89</v>
      </c>
      <c r="X10" s="573">
        <f>'GEXCAS Limp.Ord.'!H191</f>
        <v>0</v>
      </c>
      <c r="Y10" s="571">
        <f t="shared" si="0"/>
        <v>0</v>
      </c>
      <c r="Z10" s="431">
        <f>'Prod. GEXCAS'!Q8*'GEXCAS Covid'!C136</f>
        <v>0</v>
      </c>
      <c r="AA10" s="428">
        <f>'Prod. GEXCAS'!R8*'GEXCAS Limp.Ord.'!C141</f>
        <v>0</v>
      </c>
      <c r="AB10" s="160">
        <f>'Prod. GEXCAS'!S8*'GEXCAS Covid'!C141</f>
        <v>0</v>
      </c>
      <c r="AC10" s="161"/>
    </row>
    <row r="11" spans="1:29" ht="14.25" customHeight="1" x14ac:dyDescent="0.2">
      <c r="A11" s="155">
        <v>6</v>
      </c>
      <c r="B11" s="155" t="s">
        <v>87</v>
      </c>
      <c r="C11" s="155" t="s">
        <v>365</v>
      </c>
      <c r="D11" s="344">
        <f>MC!C73</f>
        <v>0</v>
      </c>
      <c r="E11" s="816">
        <v>243.96</v>
      </c>
      <c r="F11" s="556">
        <f>'GEXCAS Limp.Ord.'!H149</f>
        <v>0</v>
      </c>
      <c r="G11" s="822">
        <v>524</v>
      </c>
      <c r="H11" s="574">
        <f>'GEXCAS Limp.Ord.'!H155</f>
        <v>0</v>
      </c>
      <c r="I11" s="816">
        <v>466.81</v>
      </c>
      <c r="J11" s="371">
        <f>'GEXCAS Limp.Ord.'!H161</f>
        <v>0</v>
      </c>
      <c r="K11" s="586">
        <v>21.28</v>
      </c>
      <c r="L11" s="556">
        <f>'GEXCAS Limp.Ord.'!H167</f>
        <v>0</v>
      </c>
      <c r="M11" s="567">
        <v>24.85</v>
      </c>
      <c r="N11" s="556">
        <f>'GEXCAS Limp.Ord.'!H173</f>
        <v>0</v>
      </c>
      <c r="O11" s="569">
        <v>0</v>
      </c>
      <c r="P11" s="556">
        <f>'GEXCAS Limp.Ord.'!H176</f>
        <v>0</v>
      </c>
      <c r="Q11" s="569">
        <v>160</v>
      </c>
      <c r="R11" s="556">
        <f>'GEXCAS Limp.Ord.'!H179</f>
        <v>0</v>
      </c>
      <c r="S11" s="568">
        <v>0</v>
      </c>
      <c r="T11" s="556">
        <f>'GEXCAS Limp.Ord.'!H185</f>
        <v>0</v>
      </c>
      <c r="U11" s="819">
        <v>95.75</v>
      </c>
      <c r="V11" s="556">
        <f>'GEXCAS Limp.Ord.'!H188</f>
        <v>0</v>
      </c>
      <c r="W11" s="833">
        <v>95.75</v>
      </c>
      <c r="X11" s="573">
        <f>'GEXCAS Limp.Ord.'!H191</f>
        <v>0</v>
      </c>
      <c r="Y11" s="571">
        <f t="shared" si="0"/>
        <v>0</v>
      </c>
      <c r="Z11" s="431">
        <f>'Prod. GEXCAS'!P9*'GEXCAS Covid'!D136</f>
        <v>0</v>
      </c>
      <c r="AA11" s="428">
        <f>'Prod. GEXCAS'!R9*'GEXCAS Limp.Ord.'!C141</f>
        <v>0</v>
      </c>
      <c r="AB11" s="160">
        <f>'Prod. GEXCAS'!S9*'GEXCAS Covid'!C141</f>
        <v>0</v>
      </c>
      <c r="AC11" s="161"/>
    </row>
    <row r="12" spans="1:29" ht="14.25" customHeight="1" x14ac:dyDescent="0.2">
      <c r="A12" s="155">
        <v>7</v>
      </c>
      <c r="B12" s="155" t="s">
        <v>89</v>
      </c>
      <c r="C12" s="155" t="s">
        <v>366</v>
      </c>
      <c r="D12" s="344">
        <f>MC!C74</f>
        <v>0</v>
      </c>
      <c r="E12" s="815">
        <v>1187.0999999999999</v>
      </c>
      <c r="F12" s="556">
        <f>'GEXCAS Limp.Ord.'!D149</f>
        <v>0</v>
      </c>
      <c r="G12" s="822">
        <v>857.82</v>
      </c>
      <c r="H12" s="574">
        <f>'GEXCAS Limp.Ord.'!D155</f>
        <v>0</v>
      </c>
      <c r="I12" s="816">
        <v>144.71</v>
      </c>
      <c r="J12" s="371">
        <f>'GEXCAS Limp.Ord.'!D161</f>
        <v>0</v>
      </c>
      <c r="K12" s="586">
        <v>104.8</v>
      </c>
      <c r="L12" s="556">
        <f>'GEXCAS Limp.Ord.'!D167</f>
        <v>0</v>
      </c>
      <c r="M12" s="567">
        <v>612.47</v>
      </c>
      <c r="N12" s="556">
        <f>'GEXCAS Limp.Ord.'!D173</f>
        <v>0</v>
      </c>
      <c r="O12" s="569">
        <v>2104.5</v>
      </c>
      <c r="P12" s="556">
        <f>'GEXCAS Limp.Ord.'!D176</f>
        <v>0</v>
      </c>
      <c r="Q12" s="569">
        <v>205</v>
      </c>
      <c r="R12" s="556">
        <f>'GEXCAS Limp.Ord.'!D179</f>
        <v>0</v>
      </c>
      <c r="S12" s="568">
        <v>263</v>
      </c>
      <c r="T12" s="556">
        <f>'GEXCAS Limp.Ord.'!D185</f>
        <v>0</v>
      </c>
      <c r="U12" s="819">
        <v>137</v>
      </c>
      <c r="V12" s="556">
        <f>'GEXCAS Limp.Ord.'!D188</f>
        <v>0</v>
      </c>
      <c r="W12" s="834">
        <v>400</v>
      </c>
      <c r="X12" s="573">
        <f>'GEXCAS Limp.Ord.'!D191</f>
        <v>0</v>
      </c>
      <c r="Y12" s="571">
        <f t="shared" si="0"/>
        <v>0</v>
      </c>
      <c r="Z12" s="431">
        <f>('Prod. GEXCAS'!P10*'GEXCAS Covid'!D134)+('Prod. GEXCAS'!Q10*'GEXCAS Covid'!C134)</f>
        <v>0</v>
      </c>
      <c r="AA12" s="428">
        <f>'Prod. GEXCAS'!R10*'GEXCAS Limp.Ord.'!C139</f>
        <v>0</v>
      </c>
      <c r="AB12" s="160">
        <f>'Prod. GEXCAS'!S10*'GEXCAS Covid'!C139</f>
        <v>0</v>
      </c>
      <c r="AC12" s="161"/>
    </row>
    <row r="13" spans="1:29" ht="14.25" customHeight="1" x14ac:dyDescent="0.2">
      <c r="A13" s="155">
        <v>8</v>
      </c>
      <c r="B13" s="155" t="s">
        <v>91</v>
      </c>
      <c r="C13" s="155" t="s">
        <v>367</v>
      </c>
      <c r="D13" s="344">
        <f>MC!C75</f>
        <v>0</v>
      </c>
      <c r="E13" s="817">
        <v>263.98</v>
      </c>
      <c r="F13" s="556">
        <f>'GEXCAS Limp.Ord.'!H149</f>
        <v>0</v>
      </c>
      <c r="G13" s="822">
        <v>102.61</v>
      </c>
      <c r="H13" s="574">
        <f>'GEXCAS Limp.Ord.'!H155</f>
        <v>0</v>
      </c>
      <c r="I13" s="816">
        <v>192.03</v>
      </c>
      <c r="J13" s="371">
        <f>'GEXCAS Limp.Ord.'!H161</f>
        <v>0</v>
      </c>
      <c r="K13" s="586">
        <v>13.84</v>
      </c>
      <c r="L13" s="556">
        <f>'GEXCAS Limp.Ord.'!H167</f>
        <v>0</v>
      </c>
      <c r="M13" s="567">
        <v>0</v>
      </c>
      <c r="N13" s="556">
        <f>'GEXCAS Limp.Ord.'!H173</f>
        <v>0</v>
      </c>
      <c r="O13" s="569">
        <v>0</v>
      </c>
      <c r="P13" s="556">
        <f>'GEXCAS Limp.Ord.'!H176</f>
        <v>0</v>
      </c>
      <c r="Q13" s="569">
        <v>38</v>
      </c>
      <c r="R13" s="556">
        <f>'GEXCAS Limp.Ord.'!H179</f>
        <v>0</v>
      </c>
      <c r="S13" s="568">
        <v>0</v>
      </c>
      <c r="T13" s="556">
        <f>'GEXCAS Limp.Ord.'!H185</f>
        <v>0</v>
      </c>
      <c r="U13" s="819">
        <v>35.93</v>
      </c>
      <c r="V13" s="556">
        <f>'GEXCAS Limp.Ord.'!H188</f>
        <v>0</v>
      </c>
      <c r="W13" s="833">
        <v>35.93</v>
      </c>
      <c r="X13" s="573">
        <f>'GEXCAS Limp.Ord.'!H191</f>
        <v>0</v>
      </c>
      <c r="Y13" s="571">
        <f t="shared" si="0"/>
        <v>0</v>
      </c>
      <c r="Z13" s="431"/>
      <c r="AA13" s="428">
        <f>'Prod. GEXCAS'!R11*'GEXCAS Limp.Ord.'!C141</f>
        <v>0</v>
      </c>
      <c r="AB13" s="160">
        <f>'Prod. GEXCAS'!S11*'GEXCAS Covid'!C141</f>
        <v>0</v>
      </c>
      <c r="AC13" s="161"/>
    </row>
    <row r="14" spans="1:29" ht="14.25" customHeight="1" x14ac:dyDescent="0.2">
      <c r="A14" s="155">
        <v>9</v>
      </c>
      <c r="B14" s="155" t="s">
        <v>93</v>
      </c>
      <c r="C14" s="155" t="s">
        <v>368</v>
      </c>
      <c r="D14" s="344">
        <f>MC!C76</f>
        <v>0</v>
      </c>
      <c r="E14" s="815">
        <v>1130.76</v>
      </c>
      <c r="F14" s="556">
        <f>'GEXCAS Limp.Ord.'!H149</f>
        <v>0</v>
      </c>
      <c r="G14" s="822">
        <v>571.33000000000004</v>
      </c>
      <c r="H14" s="574">
        <f>'GEXCAS Limp.Ord.'!H155</f>
        <v>0</v>
      </c>
      <c r="I14" s="816">
        <v>542.57000000000005</v>
      </c>
      <c r="J14" s="371">
        <f>'GEXCAS Limp.Ord.'!H161</f>
        <v>0</v>
      </c>
      <c r="K14" s="586">
        <v>80.760000000000005</v>
      </c>
      <c r="L14" s="556">
        <f>'GEXCAS Limp.Ord.'!H167</f>
        <v>0</v>
      </c>
      <c r="M14" s="567">
        <v>826</v>
      </c>
      <c r="N14" s="556">
        <f>'GEXCAS Limp.Ord.'!H173</f>
        <v>0</v>
      </c>
      <c r="O14" s="568">
        <v>397</v>
      </c>
      <c r="P14" s="556">
        <f>'GEXCAS Limp.Ord.'!H176</f>
        <v>0</v>
      </c>
      <c r="Q14" s="569">
        <v>158.38999999999999</v>
      </c>
      <c r="R14" s="556">
        <f>'GEXCAS Limp.Ord.'!H179</f>
        <v>0</v>
      </c>
      <c r="S14" s="568">
        <v>209.15</v>
      </c>
      <c r="T14" s="556">
        <f>'GEXCAS Limp.Ord.'!H185</f>
        <v>0</v>
      </c>
      <c r="U14" s="819">
        <v>265.85000000000002</v>
      </c>
      <c r="V14" s="556">
        <f>'GEXCAS Limp.Ord.'!H188</f>
        <v>0</v>
      </c>
      <c r="W14" s="834">
        <v>475</v>
      </c>
      <c r="X14" s="573">
        <f>'GEXCAS Limp.Ord.'!H191</f>
        <v>0</v>
      </c>
      <c r="Y14" s="571">
        <f t="shared" si="0"/>
        <v>0</v>
      </c>
      <c r="Z14" s="431">
        <f>'Prod. GEXCAS'!Q12*'GEXCAS Covid'!C136</f>
        <v>0</v>
      </c>
      <c r="AA14" s="428">
        <f>'Prod. GEXCAS'!R12*'GEXCAS Limp.Ord.'!C141</f>
        <v>0</v>
      </c>
      <c r="AB14" s="160">
        <f>'Prod. GEXCAS'!S12*'GEXCAS Covid'!C141</f>
        <v>0</v>
      </c>
      <c r="AC14" s="161"/>
    </row>
    <row r="15" spans="1:29" ht="14.25" customHeight="1" x14ac:dyDescent="0.2">
      <c r="A15" s="155">
        <v>10</v>
      </c>
      <c r="B15" s="155" t="s">
        <v>95</v>
      </c>
      <c r="C15" s="155" t="s">
        <v>369</v>
      </c>
      <c r="D15" s="344">
        <f>MC!C77</f>
        <v>0</v>
      </c>
      <c r="E15" s="816">
        <v>159.47999999999999</v>
      </c>
      <c r="F15" s="556">
        <f>'GEXCAS Limp.Ord.'!J149</f>
        <v>0</v>
      </c>
      <c r="G15" s="822">
        <v>168.26</v>
      </c>
      <c r="H15" s="574">
        <f>'GEXCAS Limp.Ord.'!J155</f>
        <v>0</v>
      </c>
      <c r="I15" s="816">
        <v>206.27</v>
      </c>
      <c r="J15" s="371">
        <f>'GEXCAS Limp.Ord.'!J161</f>
        <v>0</v>
      </c>
      <c r="K15" s="586">
        <v>34.35</v>
      </c>
      <c r="L15" s="556">
        <f>'GEXCAS Limp.Ord.'!J167</f>
        <v>0</v>
      </c>
      <c r="M15" s="567">
        <v>163.52000000000001</v>
      </c>
      <c r="N15" s="556">
        <f>'GEXCAS Limp.Ord.'!J173</f>
        <v>0</v>
      </c>
      <c r="O15" s="569">
        <v>694.07</v>
      </c>
      <c r="P15" s="556">
        <f>'GEXCAS Limp.Ord.'!J176</f>
        <v>0</v>
      </c>
      <c r="Q15" s="569">
        <v>365</v>
      </c>
      <c r="R15" s="556">
        <f>'GEXCAS Limp.Ord.'!J179</f>
        <v>0</v>
      </c>
      <c r="S15" s="568">
        <v>0</v>
      </c>
      <c r="T15" s="556">
        <f>'GEXCAS Limp.Ord.'!J185</f>
        <v>0</v>
      </c>
      <c r="U15" s="819">
        <v>89.98</v>
      </c>
      <c r="V15" s="556">
        <f>'GEXCAS Limp.Ord.'!J188</f>
        <v>0</v>
      </c>
      <c r="W15" s="833">
        <v>89.98</v>
      </c>
      <c r="X15" s="573">
        <f>'GEXCAS Limp.Ord.'!J191</f>
        <v>0</v>
      </c>
      <c r="Y15" s="571">
        <f t="shared" si="0"/>
        <v>0</v>
      </c>
      <c r="Z15" s="431">
        <f>'Prod. GEXCAS'!P13*'GEXCAS Covid'!D137</f>
        <v>0</v>
      </c>
      <c r="AA15" s="428">
        <f>'Prod. GEXCAS'!R13*'GEXCAS Limp.Ord.'!C142</f>
        <v>0</v>
      </c>
      <c r="AB15" s="160">
        <f>'Prod. GEXCAS'!S13*'GEXCAS Covid'!C142</f>
        <v>0</v>
      </c>
      <c r="AC15" s="161"/>
    </row>
    <row r="16" spans="1:29" ht="14.25" customHeight="1" x14ac:dyDescent="0.2">
      <c r="A16" s="155">
        <v>11</v>
      </c>
      <c r="B16" s="155" t="s">
        <v>97</v>
      </c>
      <c r="C16" s="155" t="s">
        <v>370</v>
      </c>
      <c r="D16" s="344">
        <f>MC!C78</f>
        <v>0</v>
      </c>
      <c r="E16" s="816">
        <v>74.900000000000006</v>
      </c>
      <c r="F16" s="556">
        <f>'GEXCAS Limp.Ord.'!H149</f>
        <v>0</v>
      </c>
      <c r="G16" s="822">
        <v>21.16</v>
      </c>
      <c r="H16" s="574">
        <f>'GEXCAS Limp.Ord.'!H155</f>
        <v>0</v>
      </c>
      <c r="I16" s="816">
        <v>60.5</v>
      </c>
      <c r="J16" s="371">
        <f>'GEXCAS Limp.Ord.'!H161</f>
        <v>0</v>
      </c>
      <c r="K16" s="586">
        <v>14.99</v>
      </c>
      <c r="L16" s="556">
        <f>'GEXCAS Limp.Ord.'!H167</f>
        <v>0</v>
      </c>
      <c r="M16" s="567">
        <v>0</v>
      </c>
      <c r="N16" s="556">
        <f>'GEXCAS Limp.Ord.'!H173</f>
        <v>0</v>
      </c>
      <c r="O16" s="569">
        <v>0</v>
      </c>
      <c r="P16" s="556">
        <f>'GEXCAS Limp.Ord.'!H176</f>
        <v>0</v>
      </c>
      <c r="Q16" s="569">
        <v>46.51</v>
      </c>
      <c r="R16" s="556">
        <f>'GEXCAS Limp.Ord.'!H179</f>
        <v>0</v>
      </c>
      <c r="S16" s="568">
        <v>0</v>
      </c>
      <c r="T16" s="556">
        <f>'GEXCAS Limp.Ord.'!H185</f>
        <v>0</v>
      </c>
      <c r="U16" s="819">
        <v>34.06</v>
      </c>
      <c r="V16" s="556">
        <f>'GEXCAS Limp.Ord.'!H188</f>
        <v>0</v>
      </c>
      <c r="W16" s="834">
        <v>34.06</v>
      </c>
      <c r="X16" s="573">
        <f>'GEXCAS Limp.Ord.'!H191</f>
        <v>0</v>
      </c>
      <c r="Y16" s="571">
        <f t="shared" si="0"/>
        <v>0</v>
      </c>
      <c r="Z16" s="431"/>
      <c r="AA16" s="428">
        <f>'Prod. GEXCAS'!R14*'GEXCAS Limp.Ord.'!C141</f>
        <v>0</v>
      </c>
      <c r="AB16" s="160">
        <f>'Prod. GEXCAS'!S14*'GEXCAS Covid'!C141</f>
        <v>0</v>
      </c>
      <c r="AC16" s="161"/>
    </row>
    <row r="17" spans="1:1013" ht="14.25" customHeight="1" x14ac:dyDescent="0.2">
      <c r="A17" s="155">
        <v>12</v>
      </c>
      <c r="B17" s="155" t="s">
        <v>99</v>
      </c>
      <c r="C17" s="155" t="s">
        <v>371</v>
      </c>
      <c r="D17" s="344">
        <f>MC!C79</f>
        <v>0</v>
      </c>
      <c r="E17" s="816">
        <v>541.91999999999996</v>
      </c>
      <c r="F17" s="556">
        <f>'GEXCAS Limp.Ord.'!H149</f>
        <v>0</v>
      </c>
      <c r="G17" s="822">
        <v>186.3</v>
      </c>
      <c r="H17" s="574">
        <f>'GEXCAS Limp.Ord.'!H155</f>
        <v>0</v>
      </c>
      <c r="I17" s="816">
        <v>236.46</v>
      </c>
      <c r="J17" s="371">
        <f>'GEXCAS Limp.Ord.'!H161</f>
        <v>0</v>
      </c>
      <c r="K17" s="586">
        <v>22.76</v>
      </c>
      <c r="L17" s="556">
        <f>'GEXCAS Limp.Ord.'!H167</f>
        <v>0</v>
      </c>
      <c r="M17" s="567">
        <v>82.75</v>
      </c>
      <c r="N17" s="556">
        <f>'GEXCAS Limp.Ord.'!H173</f>
        <v>0</v>
      </c>
      <c r="O17" s="569">
        <v>371.82</v>
      </c>
      <c r="P17" s="556">
        <f>'GEXCAS Limp.Ord.'!H176</f>
        <v>0</v>
      </c>
      <c r="Q17" s="569">
        <v>154</v>
      </c>
      <c r="R17" s="556">
        <f>'GEXCAS Limp.Ord.'!H179</f>
        <v>0</v>
      </c>
      <c r="S17" s="568">
        <v>6.52</v>
      </c>
      <c r="T17" s="556">
        <f>'GEXCAS Limp.Ord.'!H185</f>
        <v>0</v>
      </c>
      <c r="U17" s="819">
        <v>70.72</v>
      </c>
      <c r="V17" s="556">
        <f>'GEXCAS Limp.Ord.'!H188</f>
        <v>0</v>
      </c>
      <c r="W17" s="833">
        <v>77.239999999999995</v>
      </c>
      <c r="X17" s="573">
        <f>'GEXCAS Limp.Ord.'!H191</f>
        <v>0</v>
      </c>
      <c r="Y17" s="571">
        <f t="shared" si="0"/>
        <v>0</v>
      </c>
      <c r="Z17" s="431">
        <f>'Prod. GEXCAS'!P15*'GEXCAS Covid'!D136</f>
        <v>0</v>
      </c>
      <c r="AA17" s="428">
        <f>'Prod. GEXCAS'!R15*'GEXCAS Limp.Ord.'!C141</f>
        <v>0</v>
      </c>
      <c r="AB17" s="160">
        <f>'Prod. GEXCAS'!S15*'GEXCAS Covid'!C141</f>
        <v>0</v>
      </c>
      <c r="AC17" s="161"/>
    </row>
    <row r="18" spans="1:1013" s="145" customFormat="1" ht="14.25" customHeight="1" x14ac:dyDescent="0.2">
      <c r="A18" s="155">
        <v>13</v>
      </c>
      <c r="B18" s="155" t="s">
        <v>101</v>
      </c>
      <c r="C18" s="155" t="s">
        <v>372</v>
      </c>
      <c r="D18" s="344">
        <f>MC!C80</f>
        <v>0</v>
      </c>
      <c r="E18" s="816">
        <v>56.37</v>
      </c>
      <c r="F18" s="556">
        <f>'GEXCAS Limp.Ord.'!H149</f>
        <v>0</v>
      </c>
      <c r="G18" s="825">
        <v>70.95</v>
      </c>
      <c r="H18" s="574">
        <f>'GEXCAS Limp.Ord.'!H155</f>
        <v>0</v>
      </c>
      <c r="I18" s="816">
        <v>106.69</v>
      </c>
      <c r="J18" s="371">
        <f>'GEXCAS Limp.Ord.'!H161</f>
        <v>0</v>
      </c>
      <c r="K18" s="586">
        <v>20.32</v>
      </c>
      <c r="L18" s="556">
        <f>'GEXCAS Limp.Ord.'!H167</f>
        <v>0</v>
      </c>
      <c r="M18" s="568">
        <v>277</v>
      </c>
      <c r="N18" s="556">
        <f>'GEXCAS Limp.Ord.'!H173</f>
        <v>0</v>
      </c>
      <c r="O18" s="569">
        <v>455</v>
      </c>
      <c r="P18" s="556">
        <f>'GEXCAS Limp.Ord.'!H176</f>
        <v>0</v>
      </c>
      <c r="Q18" s="569">
        <v>635</v>
      </c>
      <c r="R18" s="556">
        <f>'GEXCAS Limp.Ord.'!H179</f>
        <v>0</v>
      </c>
      <c r="S18" s="568">
        <v>0</v>
      </c>
      <c r="T18" s="556">
        <f>'GEXCAS Limp.Ord.'!H185</f>
        <v>0</v>
      </c>
      <c r="U18" s="819">
        <v>22.3</v>
      </c>
      <c r="V18" s="556">
        <f>'GEXCAS Limp.Ord.'!H188</f>
        <v>0</v>
      </c>
      <c r="W18" s="834">
        <v>22.3</v>
      </c>
      <c r="X18" s="573">
        <f>'GEXCAS Limp.Ord.'!H191</f>
        <v>0</v>
      </c>
      <c r="Y18" s="571">
        <f t="shared" si="0"/>
        <v>0</v>
      </c>
      <c r="Z18" s="431">
        <f>'Prod. GEXCAS'!P16*'GEXCAS Covid'!D136</f>
        <v>0</v>
      </c>
      <c r="AA18" s="428">
        <f>'Prod. GEXCAS'!R16*'GEXCAS Limp.Ord.'!C141</f>
        <v>0</v>
      </c>
      <c r="AB18" s="160">
        <f>'Prod. GEXCAS'!S16*'GEXCAS Covid'!C141</f>
        <v>0</v>
      </c>
      <c r="AC18" s="161"/>
      <c r="ALM18" s="162"/>
      <c r="ALN18" s="162"/>
      <c r="ALO18" s="162"/>
      <c r="ALP18" s="162"/>
      <c r="ALQ18" s="162"/>
      <c r="ALR18" s="162"/>
      <c r="ALS18" s="162"/>
      <c r="ALT18" s="162"/>
      <c r="ALU18" s="162"/>
      <c r="ALV18" s="162"/>
      <c r="ALW18" s="162"/>
      <c r="ALX18" s="162"/>
      <c r="ALY18" s="162"/>
    </row>
    <row r="19" spans="1:1013" s="145" customFormat="1" ht="14.25" customHeight="1" x14ac:dyDescent="0.2">
      <c r="A19" s="155">
        <v>14</v>
      </c>
      <c r="B19" s="155" t="s">
        <v>103</v>
      </c>
      <c r="C19" s="155" t="s">
        <v>373</v>
      </c>
      <c r="D19" s="344">
        <f>MC!C81</f>
        <v>0</v>
      </c>
      <c r="E19" s="816">
        <v>121.24</v>
      </c>
      <c r="F19" s="556">
        <f>'GEXCAS Limp.Ord.'!H149</f>
        <v>0</v>
      </c>
      <c r="G19" s="822">
        <v>85.67</v>
      </c>
      <c r="H19" s="574">
        <f>'GEXCAS Limp.Ord.'!H155</f>
        <v>0</v>
      </c>
      <c r="I19" s="816">
        <v>129.88999999999999</v>
      </c>
      <c r="J19" s="371">
        <f>'GEXCAS Limp.Ord.'!H161</f>
        <v>0</v>
      </c>
      <c r="K19" s="586">
        <v>16.649999999999999</v>
      </c>
      <c r="L19" s="556">
        <f>'GEXCAS Limp.Ord.'!H167</f>
        <v>0</v>
      </c>
      <c r="M19" s="567">
        <v>12</v>
      </c>
      <c r="N19" s="556">
        <f>'GEXCAS Limp.Ord.'!H173</f>
        <v>0</v>
      </c>
      <c r="O19" s="569">
        <v>0</v>
      </c>
      <c r="P19" s="556">
        <f>'GEXCAS Limp.Ord.'!H176</f>
        <v>0</v>
      </c>
      <c r="Q19" s="569">
        <v>335</v>
      </c>
      <c r="R19" s="556">
        <f>'GEXCAS Limp.Ord.'!H179</f>
        <v>0</v>
      </c>
      <c r="S19" s="568">
        <v>0</v>
      </c>
      <c r="T19" s="556">
        <f>'GEXCAS Limp.Ord.'!H185</f>
        <v>0</v>
      </c>
      <c r="U19" s="819">
        <v>54.25</v>
      </c>
      <c r="V19" s="556">
        <f>'GEXCAS Limp.Ord.'!H188</f>
        <v>0</v>
      </c>
      <c r="W19" s="833">
        <v>54.25</v>
      </c>
      <c r="X19" s="573">
        <f>'GEXCAS Limp.Ord.'!H191</f>
        <v>0</v>
      </c>
      <c r="Y19" s="571">
        <f t="shared" si="0"/>
        <v>0</v>
      </c>
      <c r="Z19" s="431"/>
      <c r="AA19" s="428">
        <f>'Prod. GEXCAS'!R17*'GEXCAS Limp.Ord.'!C141</f>
        <v>0</v>
      </c>
      <c r="AB19" s="160">
        <f>'Prod. GEXCAS'!S17*'GEXCAS Covid'!C141</f>
        <v>0</v>
      </c>
      <c r="AC19" s="161"/>
      <c r="ALM19" s="162"/>
      <c r="ALN19" s="162"/>
      <c r="ALO19" s="162"/>
      <c r="ALP19" s="162"/>
      <c r="ALQ19" s="162"/>
      <c r="ALR19" s="162"/>
      <c r="ALS19" s="162"/>
      <c r="ALT19" s="162"/>
      <c r="ALU19" s="162"/>
      <c r="ALV19" s="162"/>
      <c r="ALW19" s="162"/>
      <c r="ALX19" s="162"/>
      <c r="ALY19" s="162"/>
    </row>
    <row r="20" spans="1:1013" s="145" customFormat="1" ht="14.25" customHeight="1" x14ac:dyDescent="0.2">
      <c r="A20" s="155">
        <v>15</v>
      </c>
      <c r="B20" s="155" t="s">
        <v>105</v>
      </c>
      <c r="C20" s="155" t="s">
        <v>374</v>
      </c>
      <c r="D20" s="345">
        <f>MC!C82</f>
        <v>0</v>
      </c>
      <c r="E20" s="816">
        <v>81.66</v>
      </c>
      <c r="F20" s="557">
        <f>'GEXCAS Limp.Ord.'!H149</f>
        <v>0</v>
      </c>
      <c r="G20" s="822">
        <v>34.479999999999997</v>
      </c>
      <c r="H20" s="574">
        <f>'GEXCAS Limp.Ord.'!H155</f>
        <v>0</v>
      </c>
      <c r="I20" s="816">
        <v>41.84</v>
      </c>
      <c r="J20" s="583">
        <f>'GEXCAS Limp.Ord.'!H161</f>
        <v>0</v>
      </c>
      <c r="K20" s="587">
        <v>7.05</v>
      </c>
      <c r="L20" s="557">
        <f>'GEXCAS Limp.Ord.'!H167</f>
        <v>0</v>
      </c>
      <c r="M20" s="567">
        <v>35</v>
      </c>
      <c r="N20" s="557">
        <f>'GEXCAS Limp.Ord.'!H173</f>
        <v>0</v>
      </c>
      <c r="O20" s="569">
        <v>0</v>
      </c>
      <c r="P20" s="557">
        <f>'GEXCAS Limp.Ord.'!H176</f>
        <v>0</v>
      </c>
      <c r="Q20" s="567">
        <v>61</v>
      </c>
      <c r="R20" s="557">
        <f>'GEXCAS Limp.Ord.'!H179</f>
        <v>0</v>
      </c>
      <c r="S20" s="568">
        <v>0</v>
      </c>
      <c r="T20" s="557">
        <f>'GEXCAS Limp.Ord.'!H185</f>
        <v>0</v>
      </c>
      <c r="U20" s="819">
        <v>10.34</v>
      </c>
      <c r="V20" s="557">
        <f>'GEXCAS Limp.Ord.'!H188</f>
        <v>0</v>
      </c>
      <c r="W20" s="834">
        <v>10.34</v>
      </c>
      <c r="X20" s="573">
        <f>'GEXCAS Limp.Ord.'!H191</f>
        <v>0</v>
      </c>
      <c r="Y20" s="571">
        <f t="shared" si="0"/>
        <v>0</v>
      </c>
      <c r="Z20" s="549"/>
      <c r="AA20" s="550">
        <f>'Prod. GEXCAS'!R18*'GEXCAS Limp.Ord.'!C141</f>
        <v>0</v>
      </c>
      <c r="AB20" s="551">
        <f>'Prod. GEXCAS'!S18*'GEXCAS Covid'!C141</f>
        <v>0</v>
      </c>
      <c r="AC20" s="169"/>
      <c r="ALM20" s="162"/>
      <c r="ALN20" s="162"/>
      <c r="ALO20" s="162"/>
      <c r="ALP20" s="162"/>
      <c r="ALQ20" s="162"/>
      <c r="ALR20" s="162"/>
      <c r="ALS20" s="162"/>
      <c r="ALT20" s="162"/>
      <c r="ALU20" s="162"/>
      <c r="ALV20" s="162"/>
      <c r="ALW20" s="162"/>
      <c r="ALX20" s="162"/>
      <c r="ALY20" s="162"/>
    </row>
    <row r="21" spans="1:1013" s="145" customFormat="1" ht="14.25" customHeight="1" x14ac:dyDescent="0.2">
      <c r="A21" s="155">
        <v>16</v>
      </c>
      <c r="B21" s="155" t="s">
        <v>107</v>
      </c>
      <c r="C21" s="155" t="s">
        <v>375</v>
      </c>
      <c r="D21" s="345">
        <f>MC!C83</f>
        <v>0</v>
      </c>
      <c r="E21" s="816">
        <v>110.89</v>
      </c>
      <c r="F21" s="557">
        <f>'GEXCAS Limp.Ord.'!H149</f>
        <v>0</v>
      </c>
      <c r="G21" s="822">
        <v>26.86</v>
      </c>
      <c r="H21" s="574">
        <f>'GEXCAS Limp.Ord.'!H155</f>
        <v>0</v>
      </c>
      <c r="I21" s="828">
        <v>140.72999999999999</v>
      </c>
      <c r="J21" s="583">
        <f>'GEXCAS Limp.Ord.'!H161</f>
        <v>0</v>
      </c>
      <c r="K21" s="587">
        <v>24.27</v>
      </c>
      <c r="L21" s="557">
        <f>'GEXCAS Limp.Ord.'!H167</f>
        <v>0</v>
      </c>
      <c r="M21" s="567">
        <v>119.85</v>
      </c>
      <c r="N21" s="557">
        <f>'GEXCAS Limp.Ord.'!H173</f>
        <v>0</v>
      </c>
      <c r="O21" s="569">
        <v>1080</v>
      </c>
      <c r="P21" s="557">
        <f>'GEXCAS Limp.Ord.'!H176</f>
        <v>0</v>
      </c>
      <c r="Q21" s="569">
        <v>739.76</v>
      </c>
      <c r="R21" s="557">
        <f>'GEXCAS Limp.Ord.'!H179</f>
        <v>0</v>
      </c>
      <c r="S21" s="568">
        <v>0</v>
      </c>
      <c r="T21" s="557">
        <f>'GEXCAS Limp.Ord.'!H185</f>
        <v>0</v>
      </c>
      <c r="U21" s="819">
        <v>116.27</v>
      </c>
      <c r="V21" s="557">
        <f>'GEXCAS Limp.Ord.'!H188</f>
        <v>0</v>
      </c>
      <c r="W21" s="834">
        <v>116.27</v>
      </c>
      <c r="X21" s="573">
        <f>'GEXCAS Limp.Ord.'!H191</f>
        <v>0</v>
      </c>
      <c r="Y21" s="571">
        <f t="shared" si="0"/>
        <v>0</v>
      </c>
      <c r="Z21" s="549"/>
      <c r="AA21" s="550">
        <f>'Prod. GEXCAS'!R19*'GEXCAS Limp.Ord.'!C141</f>
        <v>0</v>
      </c>
      <c r="AB21" s="551">
        <f>'Prod. GEXCAS'!S19*'GEXCAS Covid'!C141</f>
        <v>0</v>
      </c>
      <c r="AC21" s="169"/>
      <c r="ALM21" s="162"/>
      <c r="ALN21" s="162"/>
      <c r="ALO21" s="162"/>
      <c r="ALP21" s="162"/>
      <c r="ALQ21" s="162"/>
      <c r="ALR21" s="162"/>
      <c r="ALS21" s="162"/>
      <c r="ALT21" s="162"/>
      <c r="ALU21" s="162"/>
      <c r="ALV21" s="162"/>
      <c r="ALW21" s="162"/>
      <c r="ALX21" s="162"/>
      <c r="ALY21" s="162"/>
    </row>
    <row r="22" spans="1:1013" s="145" customFormat="1" ht="14.25" customHeight="1" x14ac:dyDescent="0.2">
      <c r="A22" s="155">
        <v>17</v>
      </c>
      <c r="B22" s="155" t="s">
        <v>109</v>
      </c>
      <c r="C22" s="155" t="s">
        <v>376</v>
      </c>
      <c r="D22" s="345">
        <f>MC!C84</f>
        <v>0</v>
      </c>
      <c r="E22" s="816">
        <v>110.89</v>
      </c>
      <c r="F22" s="557">
        <f>'GEXCAS Limp.Ord.'!L149</f>
        <v>0</v>
      </c>
      <c r="G22" s="822">
        <v>26.86</v>
      </c>
      <c r="H22" s="574">
        <f>'GEXCAS Limp.Ord.'!L155</f>
        <v>0</v>
      </c>
      <c r="I22" s="828">
        <v>140.72999999999999</v>
      </c>
      <c r="J22" s="583">
        <f>'GEXCAS Limp.Ord.'!L161</f>
        <v>0</v>
      </c>
      <c r="K22" s="587">
        <v>24.27</v>
      </c>
      <c r="L22" s="557">
        <f>'GEXCAS Limp.Ord.'!L167</f>
        <v>0</v>
      </c>
      <c r="M22" s="572">
        <v>498.5</v>
      </c>
      <c r="N22" s="557">
        <f>'GEXCAS Limp.Ord.'!L173</f>
        <v>0</v>
      </c>
      <c r="O22" s="572">
        <v>341.5</v>
      </c>
      <c r="P22" s="557">
        <f>'GEXCAS Limp.Ord.'!L176</f>
        <v>0</v>
      </c>
      <c r="Q22" s="572">
        <v>207.92</v>
      </c>
      <c r="R22" s="557">
        <f>'GEXCAS Limp.Ord.'!L179</f>
        <v>0</v>
      </c>
      <c r="S22" s="578">
        <v>0</v>
      </c>
      <c r="T22" s="557">
        <f>'GEXCAS Limp.Ord.'!L185</f>
        <v>0</v>
      </c>
      <c r="U22" s="819">
        <v>116.27</v>
      </c>
      <c r="V22" s="557">
        <f>'GEXCAS Limp.Ord.'!L188</f>
        <v>0</v>
      </c>
      <c r="W22" s="834">
        <v>116.27</v>
      </c>
      <c r="X22" s="573">
        <f>'GEXCAS Limp.Ord.'!L191</f>
        <v>0</v>
      </c>
      <c r="Y22" s="571">
        <f t="shared" si="0"/>
        <v>0</v>
      </c>
      <c r="Z22" s="549"/>
      <c r="AA22" s="550">
        <f>'Prod. GEXCAS'!R20*'GEXCAS Limp.Ord.'!C143</f>
        <v>0</v>
      </c>
      <c r="AB22" s="551">
        <f>'Prod. GEXCAS'!S20*'GEXCAS Covid'!C143</f>
        <v>0</v>
      </c>
      <c r="AC22" s="169"/>
      <c r="ALM22" s="162"/>
      <c r="ALN22" s="162"/>
      <c r="ALO22" s="162"/>
      <c r="ALP22" s="162"/>
      <c r="ALQ22" s="162"/>
      <c r="ALR22" s="162"/>
      <c r="ALS22" s="162"/>
      <c r="ALT22" s="162"/>
      <c r="ALU22" s="162"/>
      <c r="ALV22" s="162"/>
      <c r="ALW22" s="162"/>
      <c r="ALX22" s="162"/>
      <c r="ALY22" s="162"/>
    </row>
    <row r="23" spans="1:1013" s="145" customFormat="1" ht="14.25" customHeight="1" x14ac:dyDescent="0.2">
      <c r="A23" s="155">
        <v>18</v>
      </c>
      <c r="B23" s="155" t="s">
        <v>111</v>
      </c>
      <c r="C23" s="155" t="s">
        <v>377</v>
      </c>
      <c r="D23" s="345">
        <f>MC!C85</f>
        <v>0</v>
      </c>
      <c r="E23" s="816">
        <v>110.16</v>
      </c>
      <c r="F23" s="574">
        <f>'GEXCAS Limp.Ord.'!H149</f>
        <v>0</v>
      </c>
      <c r="G23" s="822">
        <v>26.86</v>
      </c>
      <c r="H23" s="574">
        <f>'GEXCAS Limp.Ord.'!H155</f>
        <v>0</v>
      </c>
      <c r="I23" s="816">
        <v>140.72999999999999</v>
      </c>
      <c r="J23" s="573">
        <f>'GEXCAS Limp.Ord.'!H161</f>
        <v>0</v>
      </c>
      <c r="K23" s="588">
        <v>24.27</v>
      </c>
      <c r="L23" s="574">
        <f>'GEXCAS Limp.Ord.'!H167</f>
        <v>0</v>
      </c>
      <c r="M23" s="575">
        <v>119.37</v>
      </c>
      <c r="N23" s="574">
        <f>'GEXCAS Limp.Ord.'!H173</f>
        <v>0</v>
      </c>
      <c r="O23" s="576">
        <v>201.51</v>
      </c>
      <c r="P23" s="574">
        <f>'GEXCAS Limp.Ord.'!H176</f>
        <v>0</v>
      </c>
      <c r="Q23" s="576">
        <v>570.84</v>
      </c>
      <c r="R23" s="557">
        <f>'GEXCAS Limp.Ord.'!H179</f>
        <v>0</v>
      </c>
      <c r="S23" s="579">
        <v>0</v>
      </c>
      <c r="T23" s="574">
        <f>'GEXCAS Limp.Ord.'!H185</f>
        <v>0</v>
      </c>
      <c r="U23" s="819">
        <v>116.27</v>
      </c>
      <c r="V23" s="574">
        <f>'GEXCAS Limp.Ord.'!H188</f>
        <v>0</v>
      </c>
      <c r="W23" s="834">
        <v>116.27</v>
      </c>
      <c r="X23" s="573">
        <f>'GEXCAS Limp.Ord.'!H191</f>
        <v>0</v>
      </c>
      <c r="Y23" s="571">
        <f t="shared" si="0"/>
        <v>0</v>
      </c>
      <c r="Z23" s="549"/>
      <c r="AA23" s="550">
        <f>'Prod. GEXCAS'!R21*'GEXCAS Limp.Ord.'!C141</f>
        <v>0</v>
      </c>
      <c r="AB23" s="551">
        <f>'Prod. GEXCAS'!S21*'GEXCAS Covid'!C141</f>
        <v>0</v>
      </c>
      <c r="AC23" s="169"/>
      <c r="ALM23" s="162"/>
      <c r="ALN23" s="162"/>
      <c r="ALO23" s="162"/>
      <c r="ALP23" s="162"/>
      <c r="ALQ23" s="162"/>
      <c r="ALR23" s="162"/>
      <c r="ALS23" s="162"/>
      <c r="ALT23" s="162"/>
      <c r="ALU23" s="162"/>
      <c r="ALV23" s="162"/>
      <c r="ALW23" s="162"/>
      <c r="ALX23" s="162"/>
      <c r="ALY23" s="162"/>
    </row>
    <row r="24" spans="1:1013" s="145" customFormat="1" ht="14.25" customHeight="1" x14ac:dyDescent="0.2">
      <c r="A24" s="155">
        <v>19</v>
      </c>
      <c r="B24" s="155" t="s">
        <v>112</v>
      </c>
      <c r="C24" s="155" t="s">
        <v>378</v>
      </c>
      <c r="D24" s="345">
        <f>MC!C86</f>
        <v>0</v>
      </c>
      <c r="E24" s="818">
        <v>110.16</v>
      </c>
      <c r="F24" s="820">
        <f>'GEXCAS Limp.Ord.'!D149</f>
        <v>0</v>
      </c>
      <c r="G24" s="826">
        <v>26.86</v>
      </c>
      <c r="H24" s="831">
        <f>'GEXCAS Limp.Ord.'!D155</f>
        <v>0</v>
      </c>
      <c r="I24" s="829">
        <v>140.72999999999999</v>
      </c>
      <c r="J24" s="827">
        <f>'GEXCAS Limp.Ord.'!D161</f>
        <v>0</v>
      </c>
      <c r="K24" s="588">
        <v>24.27</v>
      </c>
      <c r="L24" s="574">
        <f>'GEXCAS Limp.Ord.'!D167</f>
        <v>0</v>
      </c>
      <c r="M24" s="575">
        <v>186.47</v>
      </c>
      <c r="N24" s="574">
        <f>'GEXCAS Limp.Ord.'!D173</f>
        <v>0</v>
      </c>
      <c r="O24" s="576">
        <v>1345</v>
      </c>
      <c r="P24" s="574">
        <f>'GEXCAS Limp.Ord.'!D176</f>
        <v>0</v>
      </c>
      <c r="Q24" s="576">
        <v>1041</v>
      </c>
      <c r="R24" s="574">
        <f>'GEXCAS Limp.Ord.'!D179</f>
        <v>0</v>
      </c>
      <c r="S24" s="579">
        <v>0</v>
      </c>
      <c r="T24" s="574">
        <f>'GEXCAS Limp.Ord.'!D185</f>
        <v>0</v>
      </c>
      <c r="U24" s="832">
        <v>116.27</v>
      </c>
      <c r="V24" s="574">
        <f>'GEXCAS Limp.Ord.'!D188</f>
        <v>0</v>
      </c>
      <c r="W24" s="835">
        <v>116.27</v>
      </c>
      <c r="X24" s="573">
        <f>'GEXCAS Limp.Ord.'!D191</f>
        <v>0</v>
      </c>
      <c r="Y24" s="571">
        <f t="shared" si="0"/>
        <v>0</v>
      </c>
      <c r="Z24" s="432"/>
      <c r="AA24" s="429">
        <f>'Prod. GEXCAS'!R22*'GEXCAS Limp.Ord.'!C139</f>
        <v>0</v>
      </c>
      <c r="AB24" s="163">
        <f>'Prod. GEXCAS'!S22*'GEXCAS Covid'!C139</f>
        <v>0</v>
      </c>
      <c r="AC24" s="164"/>
      <c r="ALM24" s="162"/>
      <c r="ALN24" s="162"/>
      <c r="ALO24" s="162"/>
      <c r="ALP24" s="162"/>
      <c r="ALQ24" s="162"/>
      <c r="ALR24" s="162"/>
      <c r="ALS24" s="162"/>
      <c r="ALT24" s="162"/>
      <c r="ALU24" s="162"/>
      <c r="ALV24" s="162"/>
      <c r="ALW24" s="162"/>
      <c r="ALX24" s="162"/>
      <c r="ALY24" s="162"/>
    </row>
    <row r="25" spans="1:1013" s="145" customFormat="1" ht="14.25" customHeight="1" x14ac:dyDescent="0.2">
      <c r="A25" s="981" t="s">
        <v>379</v>
      </c>
      <c r="B25" s="982"/>
      <c r="C25" s="982"/>
      <c r="D25" s="983"/>
      <c r="E25" s="558">
        <f>SUM(E6:E24)</f>
        <v>10338.129999999997</v>
      </c>
      <c r="F25" s="555"/>
      <c r="G25" s="558">
        <f>SUM(G6:G24)</f>
        <v>7146.6299999999974</v>
      </c>
      <c r="H25" s="559"/>
      <c r="I25" s="558">
        <f>SUM(I6:I24)</f>
        <v>4681.9099999999989</v>
      </c>
      <c r="J25" s="559"/>
      <c r="K25" s="589">
        <f>SUM(K6:K24)</f>
        <v>858.61999999999989</v>
      </c>
      <c r="L25" s="593"/>
      <c r="M25" s="558">
        <f>SUM(M6:M24)</f>
        <v>4991.62</v>
      </c>
      <c r="N25" s="559"/>
      <c r="O25" s="558">
        <f>SUM(O6:O24)</f>
        <v>14344.869999999999</v>
      </c>
      <c r="P25" s="559"/>
      <c r="Q25" s="558">
        <f>SUM(Q6:Q24)</f>
        <v>5708.81</v>
      </c>
      <c r="R25" s="559"/>
      <c r="S25" s="570">
        <f>SUM(S6:S24)</f>
        <v>1661.71</v>
      </c>
      <c r="T25" s="797"/>
      <c r="U25" s="558">
        <f>SUM(U6:U24)</f>
        <v>2266.92</v>
      </c>
      <c r="V25" s="559"/>
      <c r="W25" s="581">
        <f>SUM(W6:W24)</f>
        <v>3928.6299999999997</v>
      </c>
      <c r="X25" s="559"/>
      <c r="Y25" s="166">
        <f>SUM(Y6:Y24)</f>
        <v>0</v>
      </c>
      <c r="Z25" s="430">
        <f>SUM(Z6:Z24)</f>
        <v>0</v>
      </c>
      <c r="AA25" s="167">
        <f>SUM(AA6:AA24)</f>
        <v>0</v>
      </c>
      <c r="AB25" s="168">
        <f>SUM(AB6:AB24)</f>
        <v>0</v>
      </c>
      <c r="AC25" s="166">
        <f>SUM(AC6:AC24)</f>
        <v>0</v>
      </c>
      <c r="ALM25" s="162"/>
      <c r="ALN25" s="162"/>
      <c r="ALO25" s="162"/>
      <c r="ALP25" s="162"/>
      <c r="ALQ25" s="162"/>
      <c r="ALR25" s="162"/>
      <c r="ALS25" s="162"/>
      <c r="ALT25" s="162"/>
      <c r="ALU25" s="162"/>
      <c r="ALV25" s="162"/>
      <c r="ALW25" s="162"/>
      <c r="ALX25" s="162"/>
      <c r="ALY25" s="162"/>
    </row>
    <row r="26" spans="1:1013" s="145" customFormat="1" ht="12.75" x14ac:dyDescent="0.2">
      <c r="A26" s="148">
        <v>20</v>
      </c>
      <c r="B26" s="148" t="s">
        <v>77</v>
      </c>
      <c r="C26" s="148" t="s">
        <v>380</v>
      </c>
      <c r="D26" s="343">
        <f>MC!I68</f>
        <v>0</v>
      </c>
      <c r="E26" s="563">
        <v>822</v>
      </c>
      <c r="F26" s="149">
        <f>'GEXLON Limp.Ord. '!L149</f>
        <v>0</v>
      </c>
      <c r="G26" s="563">
        <v>511</v>
      </c>
      <c r="H26" s="150">
        <f>'GEXLON Limp.Ord. '!L155</f>
        <v>0</v>
      </c>
      <c r="I26" s="563">
        <v>0</v>
      </c>
      <c r="J26" s="150">
        <f>'GEXLON Limp.Ord. '!L161</f>
        <v>0</v>
      </c>
      <c r="K26" s="563">
        <v>103</v>
      </c>
      <c r="L26" s="590">
        <f>'GEXLON Limp.Ord. '!L167</f>
        <v>0</v>
      </c>
      <c r="M26" s="563">
        <v>993</v>
      </c>
      <c r="N26" s="150">
        <f>'GEXLON Limp.Ord. '!L173</f>
        <v>0</v>
      </c>
      <c r="O26" s="563">
        <v>6842</v>
      </c>
      <c r="P26" s="150">
        <f>'GEXLON Limp.Ord. '!L176</f>
        <v>0</v>
      </c>
      <c r="Q26" s="563">
        <v>190</v>
      </c>
      <c r="R26" s="150">
        <f>'GEXLON Limp.Ord. '!L179</f>
        <v>0</v>
      </c>
      <c r="S26" s="563">
        <v>132</v>
      </c>
      <c r="T26" s="796">
        <f>'GEXLON Limp.Ord. '!L185</f>
        <v>0</v>
      </c>
      <c r="U26" s="563">
        <v>115</v>
      </c>
      <c r="V26" s="150">
        <f>'GEXLON Limp.Ord. '!L188</f>
        <v>0</v>
      </c>
      <c r="W26" s="563">
        <v>247</v>
      </c>
      <c r="X26" s="150">
        <f>'GEXLON Limp.Ord. '!L191</f>
        <v>0</v>
      </c>
      <c r="Y26" s="151">
        <f t="shared" ref="Y26:Y40" si="1">(E26*F26)+(G26*H26)+(I26*J26)+(K26*L26)+(M26*N26)+(O26*P26)+(Q26*R26)+(S26*T26)+(U26*V26)+(W26*X26)</f>
        <v>0</v>
      </c>
      <c r="Z26" s="431"/>
      <c r="AA26" s="152">
        <f>'Prod. GEXLON'!S4*'GEXLON Limp.Ord. '!C143</f>
        <v>0</v>
      </c>
      <c r="AB26" s="153">
        <f>'Prod. GEXLON'!T4*'GEXLON Covid '!C143</f>
        <v>0</v>
      </c>
      <c r="AC26" s="154">
        <f>MC!I7*'Prod. GEXLON'!U4</f>
        <v>0</v>
      </c>
      <c r="ALM26" s="162"/>
      <c r="ALN26" s="162"/>
      <c r="ALO26" s="162"/>
      <c r="ALP26" s="162"/>
      <c r="ALQ26" s="162"/>
      <c r="ALR26" s="162"/>
      <c r="ALS26" s="162"/>
      <c r="ALT26" s="162"/>
      <c r="ALU26" s="162"/>
      <c r="ALV26" s="162"/>
      <c r="ALW26" s="162"/>
      <c r="ALX26" s="162"/>
      <c r="ALY26" s="162"/>
    </row>
    <row r="27" spans="1:1013" s="145" customFormat="1" ht="12.75" x14ac:dyDescent="0.2">
      <c r="A27" s="155">
        <v>21</v>
      </c>
      <c r="B27" s="155" t="s">
        <v>79</v>
      </c>
      <c r="C27" s="155" t="s">
        <v>381</v>
      </c>
      <c r="D27" s="344">
        <f>MC!I69</f>
        <v>0</v>
      </c>
      <c r="E27" s="564">
        <v>773</v>
      </c>
      <c r="F27" s="156">
        <f>'GEXLON Limp.Ord. '!F149</f>
        <v>0</v>
      </c>
      <c r="G27" s="564">
        <v>1519</v>
      </c>
      <c r="H27" s="157">
        <f>'GEXLON Limp.Ord. '!F155</f>
        <v>0</v>
      </c>
      <c r="I27" s="564">
        <v>0</v>
      </c>
      <c r="J27" s="157">
        <f>'GEXLON Limp.Ord. '!F161</f>
        <v>0</v>
      </c>
      <c r="K27" s="564">
        <v>153</v>
      </c>
      <c r="L27" s="591">
        <f>'GEXLON Limp.Ord. '!F167</f>
        <v>0</v>
      </c>
      <c r="M27" s="564">
        <v>712</v>
      </c>
      <c r="N27" s="157">
        <f>'GEXLON Limp.Ord. '!F173</f>
        <v>0</v>
      </c>
      <c r="O27" s="564">
        <v>1008</v>
      </c>
      <c r="P27" s="157">
        <f>'GEXLON Limp.Ord. '!F176</f>
        <v>0</v>
      </c>
      <c r="Q27" s="564">
        <v>316</v>
      </c>
      <c r="R27" s="157">
        <f>'GEXLON Limp.Ord. '!F179</f>
        <v>0</v>
      </c>
      <c r="S27" s="564">
        <v>265</v>
      </c>
      <c r="T27" s="157">
        <f>'GEXLON Limp.Ord. '!F185</f>
        <v>0</v>
      </c>
      <c r="U27" s="564">
        <v>78</v>
      </c>
      <c r="V27" s="157">
        <f>'GEXLON Limp.Ord. '!F188</f>
        <v>0</v>
      </c>
      <c r="W27" s="564">
        <v>343</v>
      </c>
      <c r="X27" s="157">
        <f>'GEXLON Limp.Ord. '!F191</f>
        <v>0</v>
      </c>
      <c r="Y27" s="158">
        <f t="shared" si="1"/>
        <v>0</v>
      </c>
      <c r="Z27" s="431">
        <f>'Prod. GEXLON'!Q5*'GEXLON Covid '!D135</f>
        <v>0</v>
      </c>
      <c r="AA27" s="159">
        <f>'Prod. GEXLON'!S5*'GEXLON Limp.Ord. '!C140</f>
        <v>0</v>
      </c>
      <c r="AB27" s="160">
        <f>'Prod. GEXLON'!T5*'GEXLON Covid '!C140</f>
        <v>0</v>
      </c>
      <c r="AC27" s="161"/>
      <c r="ALM27" s="162"/>
      <c r="ALN27" s="162"/>
      <c r="ALO27" s="162"/>
      <c r="ALP27" s="162"/>
      <c r="ALQ27" s="162"/>
      <c r="ALR27" s="162"/>
      <c r="ALS27" s="162"/>
      <c r="ALT27" s="162"/>
      <c r="ALU27" s="162"/>
      <c r="ALV27" s="162"/>
      <c r="ALW27" s="162"/>
      <c r="ALX27" s="162"/>
      <c r="ALY27" s="162"/>
    </row>
    <row r="28" spans="1:1013" s="145" customFormat="1" ht="12.75" x14ac:dyDescent="0.2">
      <c r="A28" s="155">
        <v>22</v>
      </c>
      <c r="B28" s="155" t="s">
        <v>81</v>
      </c>
      <c r="C28" s="155" t="s">
        <v>382</v>
      </c>
      <c r="D28" s="344">
        <f>MC!I70</f>
        <v>0</v>
      </c>
      <c r="E28" s="564">
        <v>787</v>
      </c>
      <c r="F28" s="156">
        <f>'GEXLON Limp.Ord. '!L149</f>
        <v>0</v>
      </c>
      <c r="G28" s="564">
        <v>2256</v>
      </c>
      <c r="H28" s="157">
        <f>'GEXLON Limp.Ord. '!L155</f>
        <v>0</v>
      </c>
      <c r="I28" s="564">
        <v>0</v>
      </c>
      <c r="J28" s="150">
        <f>'GEXLON Limp.Ord. '!L161</f>
        <v>0</v>
      </c>
      <c r="K28" s="564">
        <v>121</v>
      </c>
      <c r="L28" s="591">
        <f>'GEXLON Limp.Ord. '!L167</f>
        <v>0</v>
      </c>
      <c r="M28" s="564">
        <v>1989</v>
      </c>
      <c r="N28" s="157">
        <f>'GEXLON Limp.Ord. '!L173</f>
        <v>0</v>
      </c>
      <c r="O28" s="564">
        <v>2171</v>
      </c>
      <c r="P28" s="157">
        <f>'GEXLON Limp.Ord. '!L176</f>
        <v>0</v>
      </c>
      <c r="Q28" s="564">
        <v>643</v>
      </c>
      <c r="R28" s="157">
        <f>'GEXLON Limp.Ord. '!L179</f>
        <v>0</v>
      </c>
      <c r="S28" s="564">
        <v>92</v>
      </c>
      <c r="T28" s="671">
        <f>'GEXLON Limp.Ord. '!L185</f>
        <v>0</v>
      </c>
      <c r="U28" s="564">
        <v>640</v>
      </c>
      <c r="V28" s="157">
        <f>'GEXLON Limp.Ord. '!L188</f>
        <v>0</v>
      </c>
      <c r="W28" s="564">
        <v>732</v>
      </c>
      <c r="X28" s="157">
        <f>'GEXLON Limp.Ord. '!L191</f>
        <v>0</v>
      </c>
      <c r="Y28" s="158">
        <f t="shared" si="1"/>
        <v>0</v>
      </c>
      <c r="Z28" s="431">
        <f>'Prod. GEXLON'!R6*'GEXLON Covid '!C138</f>
        <v>0</v>
      </c>
      <c r="AA28" s="159">
        <f>'Prod. GEXLON'!S6*'GEXLON Limp.Ord. '!C143</f>
        <v>0</v>
      </c>
      <c r="AB28" s="160">
        <f>'Prod. GEXLON'!T6*'GEXLON Covid '!C143</f>
        <v>0</v>
      </c>
      <c r="AC28" s="161"/>
      <c r="ALM28" s="162"/>
      <c r="ALN28" s="162"/>
      <c r="ALO28" s="162"/>
      <c r="ALP28" s="162"/>
      <c r="ALQ28" s="162"/>
      <c r="ALR28" s="162"/>
      <c r="ALS28" s="162"/>
      <c r="ALT28" s="162"/>
      <c r="ALU28" s="162"/>
      <c r="ALV28" s="162"/>
      <c r="ALW28" s="162"/>
      <c r="ALX28" s="162"/>
      <c r="ALY28" s="162"/>
    </row>
    <row r="29" spans="1:1013" s="145" customFormat="1" ht="12.75" x14ac:dyDescent="0.2">
      <c r="A29" s="155">
        <v>23</v>
      </c>
      <c r="B29" s="155" t="s">
        <v>83</v>
      </c>
      <c r="C29" s="155" t="s">
        <v>383</v>
      </c>
      <c r="D29" s="344">
        <f>MC!I71</f>
        <v>0</v>
      </c>
      <c r="E29" s="564">
        <v>551</v>
      </c>
      <c r="F29" s="156">
        <f>'GEXLON Limp.Ord. '!L149</f>
        <v>0</v>
      </c>
      <c r="G29" s="564">
        <v>233</v>
      </c>
      <c r="H29" s="157">
        <f>'GEXLON Limp.Ord. '!L155</f>
        <v>0</v>
      </c>
      <c r="I29" s="564">
        <v>0</v>
      </c>
      <c r="J29" s="157">
        <f>'GEXLON Limp.Ord. '!L161</f>
        <v>0</v>
      </c>
      <c r="K29" s="564">
        <v>92</v>
      </c>
      <c r="L29" s="591">
        <f>'GEXLON Limp.Ord. '!L167</f>
        <v>0</v>
      </c>
      <c r="M29" s="564">
        <v>888</v>
      </c>
      <c r="N29" s="157">
        <f>'GEXLON Limp.Ord. '!L173</f>
        <v>0</v>
      </c>
      <c r="O29" s="564">
        <v>545</v>
      </c>
      <c r="P29" s="157">
        <f>'GEXLON Limp.Ord. '!L176</f>
        <v>0</v>
      </c>
      <c r="Q29" s="564">
        <v>308</v>
      </c>
      <c r="R29" s="157">
        <f>'GEXLON Limp.Ord. '!L179</f>
        <v>0</v>
      </c>
      <c r="S29" s="564">
        <v>0</v>
      </c>
      <c r="T29" s="671">
        <f>'GEXLON Limp.Ord. '!L185</f>
        <v>0</v>
      </c>
      <c r="U29" s="564">
        <v>261</v>
      </c>
      <c r="V29" s="157">
        <f>'GEXLON Limp.Ord. '!L188</f>
        <v>0</v>
      </c>
      <c r="W29" s="564">
        <v>261</v>
      </c>
      <c r="X29" s="157">
        <f>'GEXLON Limp.Ord. '!L191</f>
        <v>0</v>
      </c>
      <c r="Y29" s="158">
        <f t="shared" si="1"/>
        <v>0</v>
      </c>
      <c r="Z29" s="431">
        <f>'Prod. GEXLON'!Q7*'GEXLON Covid '!D138</f>
        <v>0</v>
      </c>
      <c r="AA29" s="159">
        <f>'Prod. GEXLON'!S7*'GEXLON Limp.Ord. '!C143</f>
        <v>0</v>
      </c>
      <c r="AB29" s="160">
        <f>'Prod. GEXLON'!T7*'GEXLON Covid '!C143</f>
        <v>0</v>
      </c>
      <c r="AC29" s="161"/>
      <c r="ALM29" s="162"/>
      <c r="ALN29" s="162"/>
      <c r="ALO29" s="162"/>
      <c r="ALP29" s="162"/>
      <c r="ALQ29" s="162"/>
      <c r="ALR29" s="162"/>
      <c r="ALS29" s="162"/>
      <c r="ALT29" s="162"/>
      <c r="ALU29" s="162"/>
      <c r="ALV29" s="162"/>
      <c r="ALW29" s="162"/>
      <c r="ALX29" s="162"/>
      <c r="ALY29" s="162"/>
    </row>
    <row r="30" spans="1:1013" s="145" customFormat="1" ht="12.75" x14ac:dyDescent="0.2">
      <c r="A30" s="155">
        <v>24</v>
      </c>
      <c r="B30" s="155" t="s">
        <v>85</v>
      </c>
      <c r="C30" s="155" t="s">
        <v>384</v>
      </c>
      <c r="D30" s="344">
        <f>MC!I72</f>
        <v>0</v>
      </c>
      <c r="E30" s="564">
        <v>701</v>
      </c>
      <c r="F30" s="156">
        <f>'GEXLON Limp.Ord. '!J149</f>
        <v>0</v>
      </c>
      <c r="G30" s="564">
        <v>634</v>
      </c>
      <c r="H30" s="157">
        <f>'GEXLON Limp.Ord. '!J155</f>
        <v>0</v>
      </c>
      <c r="I30" s="564">
        <v>0</v>
      </c>
      <c r="J30" s="157">
        <f>'GEXLON Limp.Ord. '!J161</f>
        <v>0</v>
      </c>
      <c r="K30" s="564">
        <v>84</v>
      </c>
      <c r="L30" s="591">
        <f>'GEXLON Limp.Ord. '!J167</f>
        <v>0</v>
      </c>
      <c r="M30" s="564">
        <v>230</v>
      </c>
      <c r="N30" s="157">
        <f>'GEXLON Limp.Ord. '!J173</f>
        <v>0</v>
      </c>
      <c r="O30" s="564">
        <v>91</v>
      </c>
      <c r="P30" s="157">
        <f>'GEXLON Limp.Ord. '!J176</f>
        <v>0</v>
      </c>
      <c r="Q30" s="564">
        <v>404</v>
      </c>
      <c r="R30" s="157">
        <f>'GEXLON Limp.Ord. '!J179</f>
        <v>0</v>
      </c>
      <c r="S30" s="564">
        <v>133</v>
      </c>
      <c r="T30" s="157">
        <f>'GEXLON Limp.Ord. '!J185</f>
        <v>0</v>
      </c>
      <c r="U30" s="564">
        <v>86</v>
      </c>
      <c r="V30" s="157">
        <f>'GEXLON Limp.Ord. '!J188</f>
        <v>0</v>
      </c>
      <c r="W30" s="564">
        <v>219</v>
      </c>
      <c r="X30" s="157">
        <f>'GEXLON Limp.Ord. '!J191</f>
        <v>0</v>
      </c>
      <c r="Y30" s="158">
        <f t="shared" si="1"/>
        <v>0</v>
      </c>
      <c r="Z30" s="431">
        <f>'Prod. GEXLON'!Q8*'GEXLON Covid '!D137</f>
        <v>0</v>
      </c>
      <c r="AA30" s="159">
        <f>'Prod. GEXLON'!S8*'GEXLON Limp.Ord. '!C142</f>
        <v>0</v>
      </c>
      <c r="AB30" s="160">
        <f>'Prod. GEXLON'!T8*'GEXLON Covid '!C142</f>
        <v>0</v>
      </c>
      <c r="AC30" s="161"/>
      <c r="ALM30" s="162"/>
      <c r="ALN30" s="162"/>
      <c r="ALO30" s="162"/>
      <c r="ALP30" s="162"/>
      <c r="ALQ30" s="162"/>
      <c r="ALR30" s="162"/>
      <c r="ALS30" s="162"/>
      <c r="ALT30" s="162"/>
      <c r="ALU30" s="162"/>
      <c r="ALV30" s="162"/>
      <c r="ALW30" s="162"/>
      <c r="ALX30" s="162"/>
      <c r="ALY30" s="162"/>
    </row>
    <row r="31" spans="1:1013" s="145" customFormat="1" ht="12.75" x14ac:dyDescent="0.2">
      <c r="A31" s="155">
        <v>25</v>
      </c>
      <c r="B31" s="155" t="s">
        <v>88</v>
      </c>
      <c r="C31" s="155" t="s">
        <v>385</v>
      </c>
      <c r="D31" s="344">
        <f>MC!I73</f>
        <v>0</v>
      </c>
      <c r="E31" s="564">
        <v>714</v>
      </c>
      <c r="F31" s="156">
        <f>'GEXLON Limp.Ord. '!L149</f>
        <v>0</v>
      </c>
      <c r="G31" s="564">
        <v>1920</v>
      </c>
      <c r="H31" s="157">
        <f>'GEXLON Limp.Ord. '!L155</f>
        <v>0</v>
      </c>
      <c r="I31" s="564">
        <v>0</v>
      </c>
      <c r="J31" s="157">
        <f>'GEXLON Limp.Ord. '!L161</f>
        <v>0</v>
      </c>
      <c r="K31" s="564">
        <v>114</v>
      </c>
      <c r="L31" s="591">
        <f>'GEXLON Limp.Ord. '!L167</f>
        <v>0</v>
      </c>
      <c r="M31" s="564">
        <v>688</v>
      </c>
      <c r="N31" s="157">
        <f>'GEXLON Limp.Ord. '!L173</f>
        <v>0</v>
      </c>
      <c r="O31" s="564">
        <v>89</v>
      </c>
      <c r="P31" s="157">
        <f>'GEXLON Limp.Ord. '!L176</f>
        <v>0</v>
      </c>
      <c r="Q31" s="564">
        <v>476</v>
      </c>
      <c r="R31" s="157">
        <f>'GEXLON Limp.Ord. '!L179</f>
        <v>0</v>
      </c>
      <c r="S31" s="564">
        <v>1027</v>
      </c>
      <c r="T31" s="157">
        <f>'GEXLON Limp.Ord. '!L185</f>
        <v>0</v>
      </c>
      <c r="U31" s="564">
        <v>0</v>
      </c>
      <c r="V31" s="157">
        <f>'GEXLON Limp.Ord. '!L188</f>
        <v>0</v>
      </c>
      <c r="W31" s="564">
        <v>1027</v>
      </c>
      <c r="X31" s="157">
        <f>'GEXLON Limp.Ord. '!L191</f>
        <v>0</v>
      </c>
      <c r="Y31" s="158">
        <f t="shared" si="1"/>
        <v>0</v>
      </c>
      <c r="Z31" s="431">
        <f>'Prod. GEXLON'!R9*'GEXLON Covid '!C138</f>
        <v>0</v>
      </c>
      <c r="AA31" s="159">
        <f>'Prod. GEXLON'!S9*'GEXLON Limp.Ord. '!C143</f>
        <v>0</v>
      </c>
      <c r="AB31" s="160">
        <f>'Prod. GEXLON'!T9*'GEXLON Covid '!C143</f>
        <v>0</v>
      </c>
      <c r="AC31" s="161"/>
      <c r="ALM31" s="162"/>
      <c r="ALN31" s="162"/>
      <c r="ALO31" s="162"/>
      <c r="ALP31" s="162"/>
      <c r="ALQ31" s="162"/>
      <c r="ALR31" s="162"/>
      <c r="ALS31" s="162"/>
      <c r="ALT31" s="162"/>
      <c r="ALU31" s="162"/>
      <c r="ALV31" s="162"/>
      <c r="ALW31" s="162"/>
      <c r="ALX31" s="162"/>
      <c r="ALY31" s="162"/>
    </row>
    <row r="32" spans="1:1013" s="145" customFormat="1" ht="12.75" x14ac:dyDescent="0.2">
      <c r="A32" s="155">
        <v>26</v>
      </c>
      <c r="B32" s="155" t="s">
        <v>90</v>
      </c>
      <c r="C32" s="155" t="s">
        <v>386</v>
      </c>
      <c r="D32" s="344">
        <f>MC!I74</f>
        <v>0</v>
      </c>
      <c r="E32" s="564">
        <v>289</v>
      </c>
      <c r="F32" s="156">
        <f>'GEXLON Limp.Ord. '!H149</f>
        <v>0</v>
      </c>
      <c r="G32" s="564">
        <v>21</v>
      </c>
      <c r="H32" s="157">
        <f>'GEXLON Limp.Ord. '!H155</f>
        <v>0</v>
      </c>
      <c r="I32" s="564">
        <v>0</v>
      </c>
      <c r="J32" s="157">
        <f>'GEXLON Limp.Ord. '!H161</f>
        <v>0</v>
      </c>
      <c r="K32" s="564">
        <v>24.4</v>
      </c>
      <c r="L32" s="591">
        <f>'GEXLON Limp.Ord. '!H167</f>
        <v>0</v>
      </c>
      <c r="M32" s="564">
        <v>584</v>
      </c>
      <c r="N32" s="157">
        <f>'GEXLON Limp.Ord. '!H173</f>
        <v>0</v>
      </c>
      <c r="O32" s="564">
        <v>244</v>
      </c>
      <c r="P32" s="157">
        <f>'GEXLON Limp.Ord. '!H176</f>
        <v>0</v>
      </c>
      <c r="Q32" s="564">
        <v>179</v>
      </c>
      <c r="R32" s="157">
        <f>'GEXLON Limp.Ord. '!H179</f>
        <v>0</v>
      </c>
      <c r="S32" s="564">
        <v>0</v>
      </c>
      <c r="T32" s="157">
        <f>'GEXLON Limp.Ord. '!H185</f>
        <v>0</v>
      </c>
      <c r="U32" s="564">
        <v>141</v>
      </c>
      <c r="V32" s="157">
        <f>'GEXLON Limp.Ord. '!H188</f>
        <v>0</v>
      </c>
      <c r="W32" s="564">
        <v>141</v>
      </c>
      <c r="X32" s="157">
        <f>'GEXLON Limp.Ord. '!H191</f>
        <v>0</v>
      </c>
      <c r="Y32" s="158">
        <f t="shared" si="1"/>
        <v>0</v>
      </c>
      <c r="Z32" s="431"/>
      <c r="AA32" s="159">
        <f>'Prod. GEXLON'!S10*'GEXLON Limp.Ord. '!C141</f>
        <v>0</v>
      </c>
      <c r="AB32" s="160">
        <f>'Prod. GEXLON'!T10*'GEXLON Covid '!C141</f>
        <v>0</v>
      </c>
      <c r="AC32" s="161"/>
      <c r="ALM32" s="162"/>
      <c r="ALN32" s="162"/>
      <c r="ALO32" s="162"/>
      <c r="ALP32" s="162"/>
      <c r="ALQ32" s="162"/>
      <c r="ALR32" s="162"/>
      <c r="ALS32" s="162"/>
      <c r="ALT32" s="162"/>
      <c r="ALU32" s="162"/>
      <c r="ALV32" s="162"/>
      <c r="ALW32" s="162"/>
      <c r="ALX32" s="162"/>
      <c r="ALY32" s="162"/>
    </row>
    <row r="33" spans="1:1013" s="145" customFormat="1" ht="12.75" x14ac:dyDescent="0.2">
      <c r="A33" s="155">
        <v>27</v>
      </c>
      <c r="B33" s="155" t="s">
        <v>92</v>
      </c>
      <c r="C33" s="155" t="s">
        <v>387</v>
      </c>
      <c r="D33" s="344">
        <f>MC!I75</f>
        <v>0</v>
      </c>
      <c r="E33" s="564">
        <v>289</v>
      </c>
      <c r="F33" s="156">
        <f>'GEXLON Limp.Ord. '!H149</f>
        <v>0</v>
      </c>
      <c r="G33" s="564">
        <v>21</v>
      </c>
      <c r="H33" s="157">
        <f>'GEXLON Limp.Ord. '!H155</f>
        <v>0</v>
      </c>
      <c r="I33" s="564">
        <v>0</v>
      </c>
      <c r="J33" s="157">
        <f>'GEXLON Limp.Ord. '!H161</f>
        <v>0</v>
      </c>
      <c r="K33" s="564">
        <v>24.4</v>
      </c>
      <c r="L33" s="591">
        <f>'GEXLON Limp.Ord. '!H167</f>
        <v>0</v>
      </c>
      <c r="M33" s="564">
        <v>521</v>
      </c>
      <c r="N33" s="157">
        <f>'GEXLON Limp.Ord. '!H173</f>
        <v>0</v>
      </c>
      <c r="O33" s="564">
        <v>229</v>
      </c>
      <c r="P33" s="157">
        <f>'GEXLON Limp.Ord. '!H176</f>
        <v>0</v>
      </c>
      <c r="Q33" s="564">
        <v>62</v>
      </c>
      <c r="R33" s="157">
        <f>'GEXLON Limp.Ord. '!H179</f>
        <v>0</v>
      </c>
      <c r="S33" s="564">
        <v>0</v>
      </c>
      <c r="T33" s="157">
        <f>'GEXLON Limp.Ord. '!H185</f>
        <v>0</v>
      </c>
      <c r="U33" s="564">
        <v>141</v>
      </c>
      <c r="V33" s="157">
        <f>'GEXLON Limp.Ord. '!H188</f>
        <v>0</v>
      </c>
      <c r="W33" s="564">
        <v>141</v>
      </c>
      <c r="X33" s="157">
        <f>'GEXLON Limp.Ord. '!H191</f>
        <v>0</v>
      </c>
      <c r="Y33" s="158">
        <f t="shared" si="1"/>
        <v>0</v>
      </c>
      <c r="Z33" s="431"/>
      <c r="AA33" s="159">
        <f>'Prod. GEXLON'!S11*'GEXLON Limp.Ord. '!C141</f>
        <v>0</v>
      </c>
      <c r="AB33" s="160">
        <f>'Prod. GEXLON'!T11*'GEXLON Covid '!C141</f>
        <v>0</v>
      </c>
      <c r="AC33" s="161"/>
      <c r="ALM33" s="162"/>
      <c r="ALN33" s="162"/>
      <c r="ALO33" s="162"/>
      <c r="ALP33" s="162"/>
      <c r="ALQ33" s="162"/>
      <c r="ALR33" s="162"/>
      <c r="ALS33" s="162"/>
      <c r="ALT33" s="162"/>
      <c r="ALU33" s="162"/>
      <c r="ALV33" s="162"/>
      <c r="ALW33" s="162"/>
      <c r="ALX33" s="162"/>
      <c r="ALY33" s="162"/>
    </row>
    <row r="34" spans="1:1013" s="145" customFormat="1" ht="12.75" x14ac:dyDescent="0.2">
      <c r="A34" s="155">
        <v>28</v>
      </c>
      <c r="B34" s="155" t="s">
        <v>94</v>
      </c>
      <c r="C34" s="155" t="s">
        <v>388</v>
      </c>
      <c r="D34" s="344">
        <f>MC!I76</f>
        <v>0</v>
      </c>
      <c r="E34" s="564">
        <v>289</v>
      </c>
      <c r="F34" s="156">
        <f>'GEXLON Limp.Ord. '!H149</f>
        <v>0</v>
      </c>
      <c r="G34" s="564">
        <v>21</v>
      </c>
      <c r="H34" s="157">
        <f>'GEXLON Limp.Ord. '!H155</f>
        <v>0</v>
      </c>
      <c r="I34" s="564">
        <v>0</v>
      </c>
      <c r="J34" s="157">
        <f>'GEXLON Limp.Ord. '!H161</f>
        <v>0</v>
      </c>
      <c r="K34" s="564">
        <v>24.4</v>
      </c>
      <c r="L34" s="591">
        <f>'GEXLON Limp.Ord. '!H167</f>
        <v>0</v>
      </c>
      <c r="M34" s="564">
        <v>541</v>
      </c>
      <c r="N34" s="157">
        <f>'GEXLON Limp.Ord. '!H173</f>
        <v>0</v>
      </c>
      <c r="O34" s="564">
        <v>618</v>
      </c>
      <c r="P34" s="157">
        <f>'GEXLON Limp.Ord. '!H176</f>
        <v>0</v>
      </c>
      <c r="Q34" s="564">
        <v>70</v>
      </c>
      <c r="R34" s="157">
        <f>'GEXLON Limp.Ord. '!H179</f>
        <v>0</v>
      </c>
      <c r="S34" s="564">
        <v>0</v>
      </c>
      <c r="T34" s="157">
        <f>'GEXLON Limp.Ord. '!H185</f>
        <v>0</v>
      </c>
      <c r="U34" s="564">
        <v>121</v>
      </c>
      <c r="V34" s="157">
        <f>'GEXLON Limp.Ord. '!H188</f>
        <v>0</v>
      </c>
      <c r="W34" s="564">
        <v>121</v>
      </c>
      <c r="X34" s="157">
        <f>'GEXLON Limp.Ord. '!H191</f>
        <v>0</v>
      </c>
      <c r="Y34" s="158">
        <f t="shared" si="1"/>
        <v>0</v>
      </c>
      <c r="Z34" s="431"/>
      <c r="AA34" s="159">
        <f>'Prod. GEXLON'!S12*'GEXLON Limp.Ord. '!C141</f>
        <v>0</v>
      </c>
      <c r="AB34" s="160">
        <f>'Prod. GEXLON'!T12*'GEXLON Covid '!C141</f>
        <v>0</v>
      </c>
      <c r="AC34" s="161"/>
      <c r="ALM34" s="162"/>
      <c r="ALN34" s="162"/>
      <c r="ALO34" s="162"/>
      <c r="ALP34" s="162"/>
      <c r="ALQ34" s="162"/>
      <c r="ALR34" s="162"/>
      <c r="ALS34" s="162"/>
      <c r="ALT34" s="162"/>
      <c r="ALU34" s="162"/>
      <c r="ALV34" s="162"/>
      <c r="ALW34" s="162"/>
      <c r="ALX34" s="162"/>
      <c r="ALY34" s="162"/>
    </row>
    <row r="35" spans="1:1013" s="145" customFormat="1" ht="12.75" x14ac:dyDescent="0.2">
      <c r="A35" s="155">
        <v>29</v>
      </c>
      <c r="B35" s="155" t="s">
        <v>96</v>
      </c>
      <c r="C35" s="155" t="s">
        <v>389</v>
      </c>
      <c r="D35" s="344">
        <f>MC!I77</f>
        <v>0</v>
      </c>
      <c r="E35" s="564">
        <v>933</v>
      </c>
      <c r="F35" s="156">
        <f>'GEXLON Limp.Ord. '!L149</f>
        <v>0</v>
      </c>
      <c r="G35" s="564">
        <v>939</v>
      </c>
      <c r="H35" s="157">
        <f>'GEXLON Limp.Ord. '!L155</f>
        <v>0</v>
      </c>
      <c r="I35" s="564">
        <v>0</v>
      </c>
      <c r="J35" s="157">
        <f>'GEXLON Limp.Ord. '!L161</f>
        <v>0</v>
      </c>
      <c r="K35" s="564">
        <v>72</v>
      </c>
      <c r="L35" s="591">
        <f>'GEXLON Limp.Ord. '!L167</f>
        <v>0</v>
      </c>
      <c r="M35" s="564">
        <v>18</v>
      </c>
      <c r="N35" s="157">
        <f>'GEXLON Limp.Ord. '!L173</f>
        <v>0</v>
      </c>
      <c r="O35" s="564">
        <v>0</v>
      </c>
      <c r="P35" s="157">
        <f>'GEXLON Limp.Ord. '!L176</f>
        <v>0</v>
      </c>
      <c r="Q35" s="564">
        <v>47</v>
      </c>
      <c r="R35" s="157">
        <f>'GEXLON Limp.Ord. '!L179</f>
        <v>0</v>
      </c>
      <c r="S35" s="564">
        <v>241</v>
      </c>
      <c r="T35" s="157">
        <f>'GEXLON Limp.Ord. '!L185</f>
        <v>0</v>
      </c>
      <c r="U35" s="564">
        <v>0</v>
      </c>
      <c r="V35" s="157">
        <f>'GEXLON Limp.Ord. '!L188</f>
        <v>0</v>
      </c>
      <c r="W35" s="564">
        <v>241</v>
      </c>
      <c r="X35" s="157">
        <f>'GEXLON Limp.Ord. '!L191</f>
        <v>0</v>
      </c>
      <c r="Y35" s="158">
        <f t="shared" si="1"/>
        <v>0</v>
      </c>
      <c r="Z35" s="431"/>
      <c r="AA35" s="159">
        <f>'Prod. GEXLON'!S13*'GEXLON Limp.Ord. '!C143</f>
        <v>0</v>
      </c>
      <c r="AB35" s="160">
        <f>'Prod. GEXLON'!T13*'GEXLON Covid '!C143</f>
        <v>0</v>
      </c>
      <c r="AC35" s="161"/>
      <c r="ALM35" s="162"/>
      <c r="ALN35" s="162"/>
      <c r="ALO35" s="162"/>
      <c r="ALP35" s="162"/>
      <c r="ALQ35" s="162"/>
      <c r="ALR35" s="162"/>
      <c r="ALS35" s="162"/>
      <c r="ALT35" s="162"/>
      <c r="ALU35" s="162"/>
      <c r="ALV35" s="162"/>
      <c r="ALW35" s="162"/>
      <c r="ALX35" s="162"/>
      <c r="ALY35" s="162"/>
    </row>
    <row r="36" spans="1:1013" s="145" customFormat="1" ht="12.75" x14ac:dyDescent="0.2">
      <c r="A36" s="155">
        <v>30</v>
      </c>
      <c r="B36" s="155" t="s">
        <v>98</v>
      </c>
      <c r="C36" s="155" t="s">
        <v>390</v>
      </c>
      <c r="D36" s="344">
        <f>MC!I78</f>
        <v>0</v>
      </c>
      <c r="E36" s="564">
        <v>690</v>
      </c>
      <c r="F36" s="156">
        <f>'GEXLON Limp.Ord. '!L149</f>
        <v>0</v>
      </c>
      <c r="G36" s="564">
        <v>0</v>
      </c>
      <c r="H36" s="157">
        <f>'GEXLON Limp.Ord. '!L155</f>
        <v>0</v>
      </c>
      <c r="I36" s="564">
        <v>0</v>
      </c>
      <c r="J36" s="157">
        <f>'GEXLON Limp.Ord. '!L161</f>
        <v>0</v>
      </c>
      <c r="K36" s="564">
        <v>55</v>
      </c>
      <c r="L36" s="591">
        <f>'GEXLON Limp.Ord. '!L167</f>
        <v>0</v>
      </c>
      <c r="M36" s="564">
        <v>330</v>
      </c>
      <c r="N36" s="157">
        <f>'GEXLON Limp.Ord. '!L173</f>
        <v>0</v>
      </c>
      <c r="O36" s="564">
        <v>40</v>
      </c>
      <c r="P36" s="157">
        <f>'GEXLON Limp.Ord. '!L176</f>
        <v>0</v>
      </c>
      <c r="Q36" s="564">
        <v>109</v>
      </c>
      <c r="R36" s="157">
        <f>'GEXLON Limp.Ord. '!L179</f>
        <v>0</v>
      </c>
      <c r="S36" s="564">
        <v>0</v>
      </c>
      <c r="T36" s="157">
        <f>'GEXLON Limp.Ord. '!L185</f>
        <v>0</v>
      </c>
      <c r="U36" s="564">
        <v>202</v>
      </c>
      <c r="V36" s="157">
        <f>'GEXLON Limp.Ord. '!L188</f>
        <v>0</v>
      </c>
      <c r="W36" s="564">
        <v>202</v>
      </c>
      <c r="X36" s="157">
        <f>'GEXLON Limp.Ord. '!L191</f>
        <v>0</v>
      </c>
      <c r="Y36" s="158">
        <f t="shared" si="1"/>
        <v>0</v>
      </c>
      <c r="Z36" s="431">
        <f>('Prod. GEXLON'!Q14*'GEXLON Covid '!D138)+('Prod. GEXLON'!R14*'GEXLON Covid '!C138)</f>
        <v>0</v>
      </c>
      <c r="AA36" s="159">
        <f>'Prod. GEXLON'!S14*'GEXLON Limp.Ord. '!C143</f>
        <v>0</v>
      </c>
      <c r="AB36" s="160">
        <f>'Prod. GEXLON'!T14*'GEXLON Covid '!C143</f>
        <v>0</v>
      </c>
      <c r="AC36" s="161"/>
      <c r="ALM36" s="162"/>
      <c r="ALN36" s="162"/>
      <c r="ALO36" s="162"/>
      <c r="ALP36" s="162"/>
      <c r="ALQ36" s="162"/>
      <c r="ALR36" s="162"/>
      <c r="ALS36" s="162"/>
      <c r="ALT36" s="162"/>
      <c r="ALU36" s="162"/>
      <c r="ALV36" s="162"/>
      <c r="ALW36" s="162"/>
      <c r="ALX36" s="162"/>
      <c r="ALY36" s="162"/>
    </row>
    <row r="37" spans="1:1013" s="145" customFormat="1" ht="12.75" x14ac:dyDescent="0.2">
      <c r="A37" s="155">
        <v>31</v>
      </c>
      <c r="B37" s="155" t="s">
        <v>100</v>
      </c>
      <c r="C37" s="155" t="s">
        <v>391</v>
      </c>
      <c r="D37" s="344">
        <f>MC!I79</f>
        <v>0</v>
      </c>
      <c r="E37" s="564">
        <v>650</v>
      </c>
      <c r="F37" s="156">
        <f>'GEXLON Limp.Ord. '!L149</f>
        <v>0</v>
      </c>
      <c r="G37" s="564">
        <v>189</v>
      </c>
      <c r="H37" s="157">
        <f>'GEXLON Limp.Ord. '!L155</f>
        <v>0</v>
      </c>
      <c r="I37" s="564">
        <v>0</v>
      </c>
      <c r="J37" s="157">
        <f>'GEXLON Limp.Ord. '!L161</f>
        <v>0</v>
      </c>
      <c r="K37" s="564">
        <v>57</v>
      </c>
      <c r="L37" s="591">
        <f>'GEXLON Limp.Ord. '!L167</f>
        <v>0</v>
      </c>
      <c r="M37" s="564">
        <v>102</v>
      </c>
      <c r="N37" s="157">
        <f>'GEXLON Limp.Ord. '!L173</f>
        <v>0</v>
      </c>
      <c r="O37" s="564">
        <v>0</v>
      </c>
      <c r="P37" s="157">
        <f>'GEXLON Limp.Ord. '!L176</f>
        <v>0</v>
      </c>
      <c r="Q37" s="564">
        <v>70</v>
      </c>
      <c r="R37" s="157">
        <f>'GEXLON Limp.Ord. '!L179</f>
        <v>0</v>
      </c>
      <c r="S37" s="564">
        <v>20</v>
      </c>
      <c r="T37" s="157">
        <f>'GEXLON Limp.Ord. '!L185</f>
        <v>0</v>
      </c>
      <c r="U37" s="564">
        <v>79</v>
      </c>
      <c r="V37" s="157">
        <f>'GEXLON Limp.Ord. '!L188</f>
        <v>0</v>
      </c>
      <c r="W37" s="564">
        <v>99</v>
      </c>
      <c r="X37" s="157">
        <f>'GEXLON Limp.Ord. '!L191</f>
        <v>0</v>
      </c>
      <c r="Y37" s="158">
        <f t="shared" si="1"/>
        <v>0</v>
      </c>
      <c r="Z37" s="431">
        <f>'Prod. GEXLON'!Q15*'GEXLON Covid '!D138</f>
        <v>0</v>
      </c>
      <c r="AA37" s="159">
        <f>'Prod. GEXLON'!S15*'GEXLON Limp.Ord. '!C143</f>
        <v>0</v>
      </c>
      <c r="AB37" s="160">
        <f>'Prod. GEXLON'!T15*'GEXLON Covid '!C143</f>
        <v>0</v>
      </c>
      <c r="AC37" s="161"/>
      <c r="ALM37" s="162"/>
      <c r="ALN37" s="162"/>
      <c r="ALO37" s="162"/>
      <c r="ALP37" s="162"/>
      <c r="ALQ37" s="162"/>
      <c r="ALR37" s="162"/>
      <c r="ALS37" s="162"/>
      <c r="ALT37" s="162"/>
      <c r="ALU37" s="162"/>
      <c r="ALV37" s="162"/>
      <c r="ALW37" s="162"/>
      <c r="ALX37" s="162"/>
      <c r="ALY37" s="162"/>
    </row>
    <row r="38" spans="1:1013" s="145" customFormat="1" ht="12.75" x14ac:dyDescent="0.2">
      <c r="A38" s="155">
        <v>32</v>
      </c>
      <c r="B38" s="155" t="s">
        <v>102</v>
      </c>
      <c r="C38" s="155" t="s">
        <v>392</v>
      </c>
      <c r="D38" s="344">
        <f>MC!I80</f>
        <v>0</v>
      </c>
      <c r="E38" s="564">
        <v>496</v>
      </c>
      <c r="F38" s="156">
        <f>'GEXLON Limp.Ord. '!L149</f>
        <v>0</v>
      </c>
      <c r="G38" s="564">
        <v>0</v>
      </c>
      <c r="H38" s="157">
        <f>'GEXLON Limp.Ord. '!L155</f>
        <v>0</v>
      </c>
      <c r="I38" s="564">
        <v>0</v>
      </c>
      <c r="J38" s="157">
        <f>'GEXLON Limp.Ord. '!L161</f>
        <v>0</v>
      </c>
      <c r="K38" s="564">
        <v>45</v>
      </c>
      <c r="L38" s="591">
        <f>'GEXLON Limp.Ord. '!L167</f>
        <v>0</v>
      </c>
      <c r="M38" s="564">
        <v>569</v>
      </c>
      <c r="N38" s="157">
        <f>'GEXLON Limp.Ord. '!L173</f>
        <v>0</v>
      </c>
      <c r="O38" s="564">
        <v>136</v>
      </c>
      <c r="P38" s="157">
        <f>'GEXLON Limp.Ord. '!L176</f>
        <v>0</v>
      </c>
      <c r="Q38" s="564">
        <v>122</v>
      </c>
      <c r="R38" s="157">
        <f>'GEXLON Limp.Ord. '!L179</f>
        <v>0</v>
      </c>
      <c r="S38" s="564">
        <v>0</v>
      </c>
      <c r="T38" s="157">
        <f>'GEXLON Limp.Ord. '!L185</f>
        <v>0</v>
      </c>
      <c r="U38" s="564">
        <v>157</v>
      </c>
      <c r="V38" s="157">
        <f>'GEXLON Limp.Ord. '!L188</f>
        <v>0</v>
      </c>
      <c r="W38" s="564">
        <v>157</v>
      </c>
      <c r="X38" s="157">
        <f>'GEXLON Limp.Ord. '!L191</f>
        <v>0</v>
      </c>
      <c r="Y38" s="158">
        <f t="shared" si="1"/>
        <v>0</v>
      </c>
      <c r="Z38" s="431"/>
      <c r="AA38" s="159">
        <f>'Prod. GEXLON'!S16*'GEXLON Limp.Ord. '!C143</f>
        <v>0</v>
      </c>
      <c r="AB38" s="160">
        <f>'Prod. GEXLON'!T16*'GEXLON Covid '!C143</f>
        <v>0</v>
      </c>
      <c r="AC38" s="161"/>
      <c r="ALM38" s="162"/>
      <c r="ALN38" s="162"/>
      <c r="ALO38" s="162"/>
      <c r="ALP38" s="162"/>
      <c r="ALQ38" s="162"/>
      <c r="ALR38" s="162"/>
      <c r="ALS38" s="162"/>
      <c r="ALT38" s="162"/>
      <c r="ALU38" s="162"/>
      <c r="ALV38" s="162"/>
      <c r="ALW38" s="162"/>
      <c r="ALX38" s="162"/>
      <c r="ALY38" s="162"/>
    </row>
    <row r="39" spans="1:1013" s="145" customFormat="1" ht="12.75" x14ac:dyDescent="0.2">
      <c r="A39" s="155">
        <v>33</v>
      </c>
      <c r="B39" s="155" t="s">
        <v>104</v>
      </c>
      <c r="C39" s="155" t="s">
        <v>393</v>
      </c>
      <c r="D39" s="344">
        <f>MC!I81</f>
        <v>0</v>
      </c>
      <c r="E39" s="564">
        <v>397</v>
      </c>
      <c r="F39" s="156">
        <f>'GEXLON Limp.Ord. '!L149</f>
        <v>0</v>
      </c>
      <c r="G39" s="564">
        <v>225</v>
      </c>
      <c r="H39" s="157">
        <f>'GEXLON Limp.Ord. '!L155</f>
        <v>0</v>
      </c>
      <c r="I39" s="564">
        <v>0</v>
      </c>
      <c r="J39" s="157">
        <f>'GEXLON Limp.Ord. '!L161</f>
        <v>0</v>
      </c>
      <c r="K39" s="564">
        <v>35</v>
      </c>
      <c r="L39" s="591">
        <f>'GEXLON Limp.Ord. '!L167</f>
        <v>0</v>
      </c>
      <c r="M39" s="564">
        <v>128</v>
      </c>
      <c r="N39" s="157">
        <f>'GEXLON Limp.Ord. '!L173</f>
        <v>0</v>
      </c>
      <c r="O39" s="564">
        <v>0</v>
      </c>
      <c r="P39" s="157">
        <f>'GEXLON Limp.Ord. '!L176</f>
        <v>0</v>
      </c>
      <c r="Q39" s="564">
        <v>56</v>
      </c>
      <c r="R39" s="157">
        <f>'GEXLON Limp.Ord. '!L179</f>
        <v>0</v>
      </c>
      <c r="S39" s="564">
        <v>0</v>
      </c>
      <c r="T39" s="157">
        <f>'GEXLON Limp.Ord. '!L185</f>
        <v>0</v>
      </c>
      <c r="U39" s="564">
        <v>61</v>
      </c>
      <c r="V39" s="157">
        <f>'GEXLON Limp.Ord. '!L188</f>
        <v>0</v>
      </c>
      <c r="W39" s="564">
        <v>61</v>
      </c>
      <c r="X39" s="157">
        <f>'GEXLON Limp.Ord. '!L191</f>
        <v>0</v>
      </c>
      <c r="Y39" s="158">
        <f t="shared" si="1"/>
        <v>0</v>
      </c>
      <c r="Z39" s="431">
        <f>'Prod. GEXLON'!Q17*'GEXLON Covid '!D138</f>
        <v>0</v>
      </c>
      <c r="AA39" s="159">
        <f>'Prod. GEXLON'!S17*'GEXLON Limp.Ord. '!C143</f>
        <v>0</v>
      </c>
      <c r="AB39" s="160">
        <f>'Prod. GEXLON'!T17*'GEXLON Covid '!C143</f>
        <v>0</v>
      </c>
      <c r="AC39" s="161"/>
      <c r="ALM39" s="162"/>
      <c r="ALN39" s="162"/>
      <c r="ALO39" s="162"/>
      <c r="ALP39" s="162"/>
      <c r="ALQ39" s="162"/>
      <c r="ALR39" s="162"/>
      <c r="ALS39" s="162"/>
      <c r="ALT39" s="162"/>
      <c r="ALU39" s="162"/>
      <c r="ALV39" s="162"/>
      <c r="ALW39" s="162"/>
      <c r="ALX39" s="162"/>
      <c r="ALY39" s="162"/>
    </row>
    <row r="40" spans="1:1013" s="145" customFormat="1" ht="12.75" x14ac:dyDescent="0.2">
      <c r="A40" s="155">
        <v>34</v>
      </c>
      <c r="B40" s="155" t="s">
        <v>106</v>
      </c>
      <c r="C40" s="155" t="s">
        <v>394</v>
      </c>
      <c r="D40" s="344">
        <f>MC!I82</f>
        <v>0</v>
      </c>
      <c r="E40" s="565">
        <v>328</v>
      </c>
      <c r="F40" s="156">
        <f>'GEXLON Limp.Ord. '!L149</f>
        <v>0</v>
      </c>
      <c r="G40" s="565">
        <v>0</v>
      </c>
      <c r="H40" s="157">
        <f>'GEXLON Limp.Ord. '!L155</f>
        <v>0</v>
      </c>
      <c r="I40" s="565">
        <v>0</v>
      </c>
      <c r="J40" s="157">
        <f>'GEXLON Limp.Ord. '!L161</f>
        <v>0</v>
      </c>
      <c r="K40" s="584">
        <v>10</v>
      </c>
      <c r="L40" s="592">
        <f>'GEXLON Limp.Ord. '!L167</f>
        <v>0</v>
      </c>
      <c r="M40" s="584">
        <v>0</v>
      </c>
      <c r="N40" s="157">
        <f>'GEXLON Limp.Ord. '!L173</f>
        <v>0</v>
      </c>
      <c r="O40" s="584">
        <v>0</v>
      </c>
      <c r="P40" s="157">
        <f>'GEXLON Limp.Ord. '!L176</f>
        <v>0</v>
      </c>
      <c r="Q40" s="584">
        <v>0</v>
      </c>
      <c r="R40" s="157">
        <f>'GEXLON Limp.Ord. '!L179</f>
        <v>0</v>
      </c>
      <c r="S40" s="584">
        <v>72</v>
      </c>
      <c r="T40" s="157">
        <f>'GEXLON Limp.Ord. '!L185</f>
        <v>0</v>
      </c>
      <c r="U40" s="584">
        <v>0</v>
      </c>
      <c r="V40" s="157">
        <f>'GEXLON Limp.Ord. '!L188</f>
        <v>0</v>
      </c>
      <c r="W40" s="584">
        <v>72</v>
      </c>
      <c r="X40" s="157">
        <f>'GEXLON Limp.Ord. '!L191</f>
        <v>0</v>
      </c>
      <c r="Y40" s="158">
        <f t="shared" si="1"/>
        <v>0</v>
      </c>
      <c r="Z40" s="431"/>
      <c r="AA40" s="159">
        <f>'Prod. GEXLON'!S18*'GEXLON Limp.Ord. '!C143</f>
        <v>0</v>
      </c>
      <c r="AB40" s="160">
        <f>'Prod. GEXLON'!T18*'GEXLON Covid '!C143</f>
        <v>0</v>
      </c>
      <c r="AC40" s="161"/>
      <c r="ALM40" s="162"/>
      <c r="ALN40" s="162"/>
      <c r="ALO40" s="162"/>
      <c r="ALP40" s="162"/>
      <c r="ALQ40" s="162"/>
      <c r="ALR40" s="162"/>
      <c r="ALS40" s="162"/>
      <c r="ALT40" s="162"/>
      <c r="ALU40" s="162"/>
      <c r="ALV40" s="162"/>
      <c r="ALW40" s="162"/>
      <c r="ALX40" s="162"/>
      <c r="ALY40" s="162"/>
    </row>
    <row r="41" spans="1:1013" s="145" customFormat="1" ht="12.75" x14ac:dyDescent="0.2">
      <c r="A41" s="984" t="s">
        <v>395</v>
      </c>
      <c r="B41" s="985"/>
      <c r="C41" s="985"/>
      <c r="D41" s="986"/>
      <c r="E41" s="594">
        <f>SUM(E26:E40)</f>
        <v>8709</v>
      </c>
      <c r="F41" s="166"/>
      <c r="G41" s="165">
        <f>SUM(G26:G40)</f>
        <v>8489</v>
      </c>
      <c r="H41" s="166"/>
      <c r="I41" s="165">
        <f>SUM(I26:I40)</f>
        <v>0</v>
      </c>
      <c r="J41" s="166"/>
      <c r="K41" s="558">
        <f>SUM(K26:K40)</f>
        <v>1014.1999999999999</v>
      </c>
      <c r="L41" s="559"/>
      <c r="M41" s="170">
        <f>SUM(M26:M40)</f>
        <v>8293</v>
      </c>
      <c r="N41" s="171"/>
      <c r="O41" s="170">
        <f>SUM(O26:O40)</f>
        <v>12013</v>
      </c>
      <c r="P41" s="166"/>
      <c r="Q41" s="165">
        <f>SUM(Q26:Q40)</f>
        <v>3052</v>
      </c>
      <c r="R41" s="166"/>
      <c r="S41" s="165">
        <f>SUM(S26:S40)</f>
        <v>1982</v>
      </c>
      <c r="T41" s="798"/>
      <c r="U41" s="170">
        <f>SUM(U26:U40)</f>
        <v>2082</v>
      </c>
      <c r="V41" s="166"/>
      <c r="W41" s="167">
        <f>SUM(W26:W40)</f>
        <v>4064</v>
      </c>
      <c r="X41" s="166"/>
      <c r="Y41" s="166">
        <f>SUM(Y26:Y40)</f>
        <v>0</v>
      </c>
      <c r="Z41" s="168">
        <f>SUM(Z26:Z40)</f>
        <v>0</v>
      </c>
      <c r="AA41" s="167">
        <f>SUM(AA26:AA40)</f>
        <v>0</v>
      </c>
      <c r="AB41" s="168">
        <f>SUM(AB26:AB40)</f>
        <v>0</v>
      </c>
      <c r="AC41" s="670">
        <f>SUM(AC26:AC40)</f>
        <v>0</v>
      </c>
      <c r="ALM41" s="162"/>
      <c r="ALN41" s="162"/>
      <c r="ALO41" s="162"/>
      <c r="ALP41" s="162"/>
      <c r="ALQ41" s="162"/>
      <c r="ALR41" s="162"/>
      <c r="ALS41" s="162"/>
      <c r="ALT41" s="162"/>
      <c r="ALU41" s="162"/>
      <c r="ALV41" s="162"/>
      <c r="ALW41" s="162"/>
      <c r="ALX41" s="162"/>
      <c r="ALY41" s="162"/>
    </row>
    <row r="42" spans="1:1013" s="145" customFormat="1" ht="12.75" x14ac:dyDescent="0.2">
      <c r="A42" s="148">
        <v>35</v>
      </c>
      <c r="B42" s="148" t="s">
        <v>114</v>
      </c>
      <c r="C42" s="148" t="s">
        <v>396</v>
      </c>
      <c r="D42" s="343">
        <f>MC!C91</f>
        <v>0</v>
      </c>
      <c r="E42" s="563">
        <v>2205.4899999999998</v>
      </c>
      <c r="F42" s="368">
        <f>'GEXMRG Limp.Ord. '!F149</f>
        <v>0</v>
      </c>
      <c r="G42" s="585">
        <v>782.2</v>
      </c>
      <c r="H42" s="368">
        <f>'GEXMRG Limp.Ord. '!H155</f>
        <v>0</v>
      </c>
      <c r="I42" s="563">
        <v>0</v>
      </c>
      <c r="J42" s="368">
        <f>'GEXMRG Limp.Ord. '!F161</f>
        <v>0</v>
      </c>
      <c r="K42" s="563">
        <v>144.51</v>
      </c>
      <c r="L42" s="368">
        <f>'GEXMRG Limp.Ord. '!F167</f>
        <v>0</v>
      </c>
      <c r="M42" s="563">
        <v>4.75</v>
      </c>
      <c r="N42" s="368">
        <f>'GEXMRG Limp.Ord. '!F173</f>
        <v>0</v>
      </c>
      <c r="O42" s="563">
        <v>0</v>
      </c>
      <c r="P42" s="368">
        <f>'GEXMRG Limp.Ord. '!F176</f>
        <v>0</v>
      </c>
      <c r="Q42" s="563">
        <v>571.12</v>
      </c>
      <c r="R42" s="368">
        <f>'GEXMRG Limp.Ord. '!F179</f>
        <v>0</v>
      </c>
      <c r="S42" s="563">
        <v>295.14</v>
      </c>
      <c r="T42" s="368">
        <f>'GEXMRG Limp.Ord. '!F185</f>
        <v>0</v>
      </c>
      <c r="U42" s="563">
        <v>243.21</v>
      </c>
      <c r="V42" s="368">
        <f>'GEXMRG Limp.Ord. '!F188</f>
        <v>0</v>
      </c>
      <c r="W42" s="563">
        <v>538.35</v>
      </c>
      <c r="X42" s="368">
        <f>'GEXMRG Limp.Ord. '!F191</f>
        <v>0</v>
      </c>
      <c r="Y42" s="151">
        <f t="shared" ref="Y42:Y55" si="2">(E42*F42)+(G42*H42)+(I42*J42)+(K42*L42)+(M42*N42)+(O42*P42)+(Q42*R42)+(S42*T42)+(U42*V42)+(W42*X42)</f>
        <v>0</v>
      </c>
      <c r="Z42" s="431">
        <f>('Prod. GEXMRG'!P4*'GEXMRG Covid '!D135)+('Prod. GEXMRG'!Q4*'GEXMRG Covid '!C135)</f>
        <v>0</v>
      </c>
      <c r="AA42" s="427">
        <f>'Prod. GEXMRG'!R4*'GEXMRG Limp.Ord. '!C140</f>
        <v>0</v>
      </c>
      <c r="AB42" s="668">
        <f>'Prod. GEXMRG'!S4*'GEXMRG Covid '!C140</f>
        <v>0</v>
      </c>
      <c r="AC42" s="666">
        <f>MC!I7*'Prod. GEXMRG'!T4</f>
        <v>0</v>
      </c>
      <c r="ALM42" s="162"/>
      <c r="ALN42" s="162"/>
      <c r="ALO42" s="162"/>
      <c r="ALP42" s="162"/>
      <c r="ALQ42" s="162"/>
      <c r="ALR42" s="162"/>
      <c r="ALS42" s="162"/>
      <c r="ALT42" s="162"/>
      <c r="ALU42" s="162"/>
      <c r="ALV42" s="162"/>
      <c r="ALW42" s="162"/>
      <c r="ALX42" s="162"/>
      <c r="ALY42" s="162"/>
    </row>
    <row r="43" spans="1:1013" s="145" customFormat="1" ht="12.75" x14ac:dyDescent="0.2">
      <c r="A43" s="155">
        <v>36</v>
      </c>
      <c r="B43" s="155" t="s">
        <v>115</v>
      </c>
      <c r="C43" s="155" t="s">
        <v>397</v>
      </c>
      <c r="D43" s="344">
        <f>MC!C92</f>
        <v>0</v>
      </c>
      <c r="E43" s="564">
        <v>2160.0700000000002</v>
      </c>
      <c r="F43" s="369">
        <f>'GEXMRG Limp.Ord. '!L149</f>
        <v>0</v>
      </c>
      <c r="G43" s="586">
        <v>341.41</v>
      </c>
      <c r="H43" s="369">
        <f>'GEXMRG Limp.Ord. '!L155</f>
        <v>0</v>
      </c>
      <c r="I43" s="564">
        <v>0</v>
      </c>
      <c r="J43" s="369">
        <f>'GEXMRG Limp.Ord. '!L161</f>
        <v>0</v>
      </c>
      <c r="K43" s="564">
        <v>73.11</v>
      </c>
      <c r="L43" s="369">
        <f>'GEXMRG Limp.Ord. '!L167</f>
        <v>0</v>
      </c>
      <c r="M43" s="564">
        <v>0</v>
      </c>
      <c r="N43" s="369">
        <f>'GEXMRG Limp.Ord. '!L173</f>
        <v>0</v>
      </c>
      <c r="O43" s="564">
        <v>780</v>
      </c>
      <c r="P43" s="369">
        <f>'GEXMRG Limp.Ord. '!L176</f>
        <v>0</v>
      </c>
      <c r="Q43" s="564">
        <v>1150</v>
      </c>
      <c r="R43" s="369">
        <f>'GEXMRG Limp.Ord. '!L179</f>
        <v>0</v>
      </c>
      <c r="S43" s="564">
        <v>271.55</v>
      </c>
      <c r="T43" s="369">
        <f>'GEXMRG Limp.Ord. '!L185</f>
        <v>0</v>
      </c>
      <c r="U43" s="564">
        <v>139.62</v>
      </c>
      <c r="V43" s="369">
        <f>'GEXMRG Limp.Ord. '!L188</f>
        <v>0</v>
      </c>
      <c r="W43" s="564">
        <v>411.17</v>
      </c>
      <c r="X43" s="369">
        <f>'GEXMRG Limp.Ord. '!L191</f>
        <v>0</v>
      </c>
      <c r="Y43" s="151">
        <f t="shared" si="2"/>
        <v>0</v>
      </c>
      <c r="Z43" s="431">
        <f>'Prod. GEXMRG'!Q5*'GEXMRG Covid '!C138</f>
        <v>0</v>
      </c>
      <c r="AA43" s="428">
        <f>'Prod. GEXMRG'!R5*'GEXMRG Limp.Ord. '!C143</f>
        <v>0</v>
      </c>
      <c r="AB43" s="669">
        <f>'Prod. GEXMRG'!S5*'GEXMRG Covid '!C143</f>
        <v>0</v>
      </c>
      <c r="AC43" s="525"/>
      <c r="ALM43" s="162"/>
      <c r="ALN43" s="162"/>
      <c r="ALO43" s="162"/>
      <c r="ALP43" s="162"/>
      <c r="ALQ43" s="162"/>
      <c r="ALR43" s="162"/>
      <c r="ALS43" s="162"/>
      <c r="ALT43" s="162"/>
      <c r="ALU43" s="162"/>
      <c r="ALV43" s="162"/>
      <c r="ALW43" s="162"/>
      <c r="ALX43" s="162"/>
      <c r="ALY43" s="162"/>
    </row>
    <row r="44" spans="1:1013" s="145" customFormat="1" ht="12.75" x14ac:dyDescent="0.2">
      <c r="A44" s="155">
        <v>37</v>
      </c>
      <c r="B44" s="155" t="s">
        <v>116</v>
      </c>
      <c r="C44" s="155" t="s">
        <v>398</v>
      </c>
      <c r="D44" s="344">
        <f>MC!C93</f>
        <v>0</v>
      </c>
      <c r="E44" s="564">
        <v>711.71</v>
      </c>
      <c r="F44" s="369">
        <f>'GEXMRG Limp.Ord. '!L149</f>
        <v>0</v>
      </c>
      <c r="G44" s="586">
        <v>300</v>
      </c>
      <c r="H44" s="369">
        <f>'GEXMRG Limp.Ord. '!L155</f>
        <v>0</v>
      </c>
      <c r="I44" s="564">
        <v>0</v>
      </c>
      <c r="J44" s="369">
        <f>'GEXMRG Limp.Ord. '!L161</f>
        <v>0</v>
      </c>
      <c r="K44" s="564">
        <v>69.25</v>
      </c>
      <c r="L44" s="369">
        <f>'GEXMRG Limp.Ord. '!L167</f>
        <v>0</v>
      </c>
      <c r="M44" s="564">
        <v>40.380000000000003</v>
      </c>
      <c r="N44" s="369">
        <f>'GEXMRG Limp.Ord. '!L173</f>
        <v>0</v>
      </c>
      <c r="O44" s="564">
        <v>910.34</v>
      </c>
      <c r="P44" s="369">
        <f>'GEXMRG Limp.Ord. '!L176</f>
        <v>0</v>
      </c>
      <c r="Q44" s="564">
        <v>1439.53</v>
      </c>
      <c r="R44" s="369">
        <f>'GEXMRG Limp.Ord. '!L179</f>
        <v>0</v>
      </c>
      <c r="S44" s="564">
        <v>0</v>
      </c>
      <c r="T44" s="369">
        <f>'GEXMRG Limp.Ord. '!L185</f>
        <v>0</v>
      </c>
      <c r="U44" s="564">
        <v>307.14999999999998</v>
      </c>
      <c r="V44" s="369">
        <f>'GEXMRG Limp.Ord. '!L188</f>
        <v>0</v>
      </c>
      <c r="W44" s="564">
        <v>307.14999999999998</v>
      </c>
      <c r="X44" s="369">
        <f>'GEXMRG Limp.Ord. '!L191</f>
        <v>0</v>
      </c>
      <c r="Y44" s="151">
        <f t="shared" si="2"/>
        <v>0</v>
      </c>
      <c r="Z44" s="431">
        <f>'Prod. GEXMRG'!Q6*'GEXMRG Covid '!C138</f>
        <v>0</v>
      </c>
      <c r="AA44" s="428">
        <f>'Prod. GEXMRG'!R6*'GEXMRG Limp.Ord. '!C143</f>
        <v>0</v>
      </c>
      <c r="AB44" s="669">
        <f>'Prod. GEXMRG'!S6*'GEXMRG Covid '!C143</f>
        <v>0</v>
      </c>
      <c r="AC44" s="525"/>
      <c r="ALM44" s="162"/>
      <c r="ALN44" s="162"/>
      <c r="ALO44" s="162"/>
      <c r="ALP44" s="162"/>
      <c r="ALQ44" s="162"/>
      <c r="ALR44" s="162"/>
      <c r="ALS44" s="162"/>
      <c r="ALT44" s="162"/>
      <c r="ALU44" s="162"/>
      <c r="ALV44" s="162"/>
      <c r="ALW44" s="162"/>
      <c r="ALX44" s="162"/>
      <c r="ALY44" s="162"/>
    </row>
    <row r="45" spans="1:1013" s="145" customFormat="1" ht="12.75" x14ac:dyDescent="0.2">
      <c r="A45" s="155">
        <v>38</v>
      </c>
      <c r="B45" s="155" t="s">
        <v>117</v>
      </c>
      <c r="C45" s="155" t="s">
        <v>399</v>
      </c>
      <c r="D45" s="344">
        <f>MC!C94</f>
        <v>0</v>
      </c>
      <c r="E45" s="564">
        <v>683.3</v>
      </c>
      <c r="F45" s="369">
        <f>'GEXMRG Limp.Ord. '!J149</f>
        <v>0</v>
      </c>
      <c r="G45" s="586">
        <v>150</v>
      </c>
      <c r="H45" s="369">
        <f>'GEXMRG Limp.Ord. '!J155</f>
        <v>0</v>
      </c>
      <c r="I45" s="564">
        <v>0</v>
      </c>
      <c r="J45" s="369">
        <f>'GEXMRG Limp.Ord. '!J161</f>
        <v>0</v>
      </c>
      <c r="K45" s="564">
        <v>43.18</v>
      </c>
      <c r="L45" s="369">
        <f>'GEXMRG Limp.Ord. '!J167</f>
        <v>0</v>
      </c>
      <c r="M45" s="564">
        <v>15</v>
      </c>
      <c r="N45" s="369">
        <f>'GEXMRG Limp.Ord. '!J173</f>
        <v>0</v>
      </c>
      <c r="O45" s="564">
        <v>777</v>
      </c>
      <c r="P45" s="369">
        <f>'GEXMRG Limp.Ord. '!J176</f>
        <v>0</v>
      </c>
      <c r="Q45" s="564">
        <v>1053</v>
      </c>
      <c r="R45" s="369">
        <f>'GEXMRG Limp.Ord. '!J179</f>
        <v>0</v>
      </c>
      <c r="S45" s="564">
        <v>92.17</v>
      </c>
      <c r="T45" s="369">
        <f>'GEXMRG Limp.Ord. '!J185</f>
        <v>0</v>
      </c>
      <c r="U45" s="564">
        <v>96.79</v>
      </c>
      <c r="V45" s="369">
        <f>'GEXMRG Limp.Ord. '!J188</f>
        <v>0</v>
      </c>
      <c r="W45" s="564">
        <v>188.96</v>
      </c>
      <c r="X45" s="369">
        <f>'GEXMRG Limp.Ord. '!J191</f>
        <v>0</v>
      </c>
      <c r="Y45" s="151">
        <f t="shared" si="2"/>
        <v>0</v>
      </c>
      <c r="Z45" s="431"/>
      <c r="AA45" s="428">
        <f>'Prod. GEXMRG'!R7*'GEXMRG Limp.Ord. '!C142</f>
        <v>0</v>
      </c>
      <c r="AB45" s="669">
        <f>'Prod. GEXMRG'!S7*'GEXMRG Covid '!C142</f>
        <v>0</v>
      </c>
      <c r="AC45" s="525"/>
      <c r="ALM45" s="162"/>
      <c r="ALN45" s="162"/>
      <c r="ALO45" s="162"/>
      <c r="ALP45" s="162"/>
      <c r="ALQ45" s="162"/>
      <c r="ALR45" s="162"/>
      <c r="ALS45" s="162"/>
      <c r="ALT45" s="162"/>
      <c r="ALU45" s="162"/>
      <c r="ALV45" s="162"/>
      <c r="ALW45" s="162"/>
      <c r="ALX45" s="162"/>
      <c r="ALY45" s="162"/>
    </row>
    <row r="46" spans="1:1013" s="145" customFormat="1" ht="12.75" x14ac:dyDescent="0.2">
      <c r="A46" s="155">
        <v>39</v>
      </c>
      <c r="B46" s="155" t="s">
        <v>118</v>
      </c>
      <c r="C46" s="155" t="s">
        <v>400</v>
      </c>
      <c r="D46" s="344">
        <f>MC!C95</f>
        <v>0</v>
      </c>
      <c r="E46" s="564">
        <v>800</v>
      </c>
      <c r="F46" s="369">
        <f>'GEXMRG Limp.Ord. '!F149</f>
        <v>0</v>
      </c>
      <c r="G46" s="586">
        <v>0</v>
      </c>
      <c r="H46" s="369">
        <f>'GEXMRG Limp.Ord. '!H155</f>
        <v>0</v>
      </c>
      <c r="I46" s="564">
        <v>0</v>
      </c>
      <c r="J46" s="369">
        <f>'GEXMRG Limp.Ord. '!F161</f>
        <v>0</v>
      </c>
      <c r="K46" s="564">
        <v>0</v>
      </c>
      <c r="L46" s="369">
        <f>'GEXMRG Limp.Ord. '!F167</f>
        <v>0</v>
      </c>
      <c r="M46" s="564">
        <v>0</v>
      </c>
      <c r="N46" s="369">
        <f>'GEXMRG Limp.Ord. '!F173</f>
        <v>0</v>
      </c>
      <c r="O46" s="564">
        <v>0</v>
      </c>
      <c r="P46" s="369">
        <f>'GEXMRG Limp.Ord. '!F176</f>
        <v>0</v>
      </c>
      <c r="Q46" s="564">
        <v>0</v>
      </c>
      <c r="R46" s="369">
        <f>'GEXMRG Limp.Ord. '!F179</f>
        <v>0</v>
      </c>
      <c r="S46" s="564">
        <v>0</v>
      </c>
      <c r="T46" s="369">
        <f>'GEXMRG Limp.Ord. '!F185</f>
        <v>0</v>
      </c>
      <c r="U46" s="564">
        <v>0</v>
      </c>
      <c r="V46" s="369">
        <f>'GEXMRG Limp.Ord. '!F188</f>
        <v>0</v>
      </c>
      <c r="W46" s="564">
        <v>0</v>
      </c>
      <c r="X46" s="369">
        <f>'GEXMRG Limp.Ord. '!F191</f>
        <v>0</v>
      </c>
      <c r="Y46" s="151">
        <f t="shared" si="2"/>
        <v>0</v>
      </c>
      <c r="Z46" s="431">
        <f>'Prod. GEXMRG'!Q8*'GEXMRG Covid '!C135</f>
        <v>0</v>
      </c>
      <c r="AA46" s="428">
        <f>'Prod. GEXMRG'!R8*'GEXMRG Limp.Ord. '!C140</f>
        <v>0</v>
      </c>
      <c r="AB46" s="669">
        <f>'Prod. GEXMRG'!S8*'GEXMRG Covid '!C140</f>
        <v>0</v>
      </c>
      <c r="AC46" s="525"/>
      <c r="ALM46" s="162"/>
      <c r="ALN46" s="162"/>
      <c r="ALO46" s="162"/>
      <c r="ALP46" s="162"/>
      <c r="ALQ46" s="162"/>
      <c r="ALR46" s="162"/>
      <c r="ALS46" s="162"/>
      <c r="ALT46" s="162"/>
      <c r="ALU46" s="162"/>
      <c r="ALV46" s="162"/>
      <c r="ALW46" s="162"/>
      <c r="ALX46" s="162"/>
      <c r="ALY46" s="162"/>
    </row>
    <row r="47" spans="1:1013" s="145" customFormat="1" ht="12.75" x14ac:dyDescent="0.2">
      <c r="A47" s="155">
        <v>40</v>
      </c>
      <c r="B47" s="155" t="s">
        <v>119</v>
      </c>
      <c r="C47" s="155" t="s">
        <v>401</v>
      </c>
      <c r="D47" s="344">
        <f>MC!C96</f>
        <v>0</v>
      </c>
      <c r="E47" s="564">
        <v>1910.9</v>
      </c>
      <c r="F47" s="369">
        <f>'GEXMRG Limp.Ord. '!J149</f>
        <v>0</v>
      </c>
      <c r="G47" s="586">
        <v>450</v>
      </c>
      <c r="H47" s="369">
        <f>'GEXMRG Limp.Ord. '!J155</f>
        <v>0</v>
      </c>
      <c r="I47" s="564">
        <v>500</v>
      </c>
      <c r="J47" s="369">
        <f>'GEXMRG Limp.Ord. '!J161</f>
        <v>0</v>
      </c>
      <c r="K47" s="564">
        <v>75.099999999999994</v>
      </c>
      <c r="L47" s="369">
        <f>'GEXMRG Limp.Ord. '!J167</f>
        <v>0</v>
      </c>
      <c r="M47" s="564">
        <v>32.799999999999997</v>
      </c>
      <c r="N47" s="369">
        <f>'GEXMRG Limp.Ord. '!J173</f>
        <v>0</v>
      </c>
      <c r="O47" s="564">
        <v>300</v>
      </c>
      <c r="P47" s="369">
        <f>'GEXMRG Limp.Ord. '!J176</f>
        <v>0</v>
      </c>
      <c r="Q47" s="564">
        <v>1160.5</v>
      </c>
      <c r="R47" s="369">
        <f>'GEXMRG Limp.Ord. '!J179</f>
        <v>0</v>
      </c>
      <c r="S47" s="564">
        <v>505.8</v>
      </c>
      <c r="T47" s="369">
        <f>'GEXMRG Limp.Ord. '!J185</f>
        <v>0</v>
      </c>
      <c r="U47" s="564">
        <v>156.74</v>
      </c>
      <c r="V47" s="369">
        <f>'GEXMRG Limp.Ord. '!J188</f>
        <v>0</v>
      </c>
      <c r="W47" s="564">
        <v>662.54</v>
      </c>
      <c r="X47" s="369">
        <f>'GEXMRG Limp.Ord. '!J191</f>
        <v>0</v>
      </c>
      <c r="Y47" s="151">
        <f t="shared" si="2"/>
        <v>0</v>
      </c>
      <c r="Z47" s="431">
        <f>'Prod. GEXMRG'!Q9*'GEXMRG Covid '!C137</f>
        <v>0</v>
      </c>
      <c r="AA47" s="428">
        <f>'Prod. GEXMRG'!R9*'GEXMRG Limp.Ord. '!C142</f>
        <v>0</v>
      </c>
      <c r="AB47" s="669">
        <f>'Prod. GEXMRG'!S9*'GEXMRG Covid '!C142</f>
        <v>0</v>
      </c>
      <c r="AC47" s="525"/>
      <c r="ALM47" s="162"/>
      <c r="ALN47" s="162"/>
      <c r="ALO47" s="162"/>
      <c r="ALP47" s="162"/>
      <c r="ALQ47" s="162"/>
      <c r="ALR47" s="162"/>
      <c r="ALS47" s="162"/>
      <c r="ALT47" s="162"/>
      <c r="ALU47" s="162"/>
      <c r="ALV47" s="162"/>
      <c r="ALW47" s="162"/>
      <c r="ALX47" s="162"/>
      <c r="ALY47" s="162"/>
    </row>
    <row r="48" spans="1:1013" s="145" customFormat="1" ht="12.75" x14ac:dyDescent="0.2">
      <c r="A48" s="155">
        <v>41</v>
      </c>
      <c r="B48" s="155" t="s">
        <v>120</v>
      </c>
      <c r="C48" s="155" t="s">
        <v>402</v>
      </c>
      <c r="D48" s="344">
        <f>MC!C97</f>
        <v>0</v>
      </c>
      <c r="E48" s="564">
        <v>2191.5300000000002</v>
      </c>
      <c r="F48" s="369">
        <f>'GEXMRG Limp.Ord. '!L149</f>
        <v>0</v>
      </c>
      <c r="G48" s="586">
        <v>1200</v>
      </c>
      <c r="H48" s="369">
        <f>'GEXMRG Limp.Ord. '!L155</f>
        <v>0</v>
      </c>
      <c r="I48" s="564">
        <v>0</v>
      </c>
      <c r="J48" s="369">
        <f>'GEXMRG Limp.Ord. '!L161</f>
        <v>0</v>
      </c>
      <c r="K48" s="564">
        <v>90.25</v>
      </c>
      <c r="L48" s="369">
        <f>'GEXMRG Limp.Ord. '!L167</f>
        <v>0</v>
      </c>
      <c r="M48" s="564">
        <v>0</v>
      </c>
      <c r="N48" s="369">
        <f>'GEXMRG Limp.Ord. '!L173</f>
        <v>0</v>
      </c>
      <c r="O48" s="564">
        <v>493.82</v>
      </c>
      <c r="P48" s="369">
        <f>'GEXMRG Limp.Ord. '!L176</f>
        <v>0</v>
      </c>
      <c r="Q48" s="564">
        <v>885.4</v>
      </c>
      <c r="R48" s="369">
        <f>'GEXMRG Limp.Ord. '!L179</f>
        <v>0</v>
      </c>
      <c r="S48" s="564">
        <v>463.96</v>
      </c>
      <c r="T48" s="369">
        <f>'GEXMRG Limp.Ord. '!L185</f>
        <v>0</v>
      </c>
      <c r="U48" s="564">
        <v>179.04</v>
      </c>
      <c r="V48" s="369">
        <f>'GEXMRG Limp.Ord. '!L188</f>
        <v>0</v>
      </c>
      <c r="W48" s="564">
        <v>643</v>
      </c>
      <c r="X48" s="369">
        <f>'GEXMRG Limp.Ord. '!L191</f>
        <v>0</v>
      </c>
      <c r="Y48" s="151">
        <f t="shared" si="2"/>
        <v>0</v>
      </c>
      <c r="Z48" s="431">
        <f>'Prod. GEXMRG'!P10*'GEXMRG Covid '!D138</f>
        <v>0</v>
      </c>
      <c r="AA48" s="428">
        <f>'Prod. GEXMRG'!R10*'GEXMRG Limp.Ord. '!C143</f>
        <v>0</v>
      </c>
      <c r="AB48" s="669">
        <f>'Prod. GEXMRG'!S10*'GEXMRG Covid '!C143</f>
        <v>0</v>
      </c>
      <c r="AC48" s="525"/>
      <c r="ALM48" s="162"/>
      <c r="ALN48" s="162"/>
      <c r="ALO48" s="162"/>
      <c r="ALP48" s="162"/>
      <c r="ALQ48" s="162"/>
      <c r="ALR48" s="162"/>
      <c r="ALS48" s="162"/>
      <c r="ALT48" s="162"/>
      <c r="ALU48" s="162"/>
      <c r="ALV48" s="162"/>
      <c r="ALW48" s="162"/>
      <c r="ALX48" s="162"/>
      <c r="ALY48" s="162"/>
    </row>
    <row r="49" spans="1:1013" s="145" customFormat="1" ht="12.75" x14ac:dyDescent="0.2">
      <c r="A49" s="155">
        <v>42</v>
      </c>
      <c r="B49" s="155" t="s">
        <v>403</v>
      </c>
      <c r="C49" s="155" t="s">
        <v>404</v>
      </c>
      <c r="D49" s="344">
        <f>MC!C98</f>
        <v>0</v>
      </c>
      <c r="E49" s="564">
        <v>800</v>
      </c>
      <c r="F49" s="369">
        <f>'GEXMRG Limp.Ord. '!J149</f>
        <v>0</v>
      </c>
      <c r="G49" s="586">
        <v>0</v>
      </c>
      <c r="H49" s="369">
        <f>'GEXMRG Limp.Ord. '!J155</f>
        <v>0</v>
      </c>
      <c r="I49" s="564">
        <v>0</v>
      </c>
      <c r="J49" s="369">
        <f>'GEXMRG Limp.Ord. '!J161</f>
        <v>0</v>
      </c>
      <c r="K49" s="564">
        <v>0</v>
      </c>
      <c r="L49" s="369">
        <f>'GEXMRG Limp.Ord. '!J167</f>
        <v>0</v>
      </c>
      <c r="M49" s="564">
        <v>0</v>
      </c>
      <c r="N49" s="369">
        <f>'GEXMRG Limp.Ord. '!J173</f>
        <v>0</v>
      </c>
      <c r="O49" s="564">
        <v>0</v>
      </c>
      <c r="P49" s="369">
        <f>'GEXMRG Limp.Ord. '!J176</f>
        <v>0</v>
      </c>
      <c r="Q49" s="564">
        <v>0</v>
      </c>
      <c r="R49" s="369">
        <f>'GEXMRG Limp.Ord. '!J179</f>
        <v>0</v>
      </c>
      <c r="S49" s="564">
        <v>0</v>
      </c>
      <c r="T49" s="369">
        <f>'GEXMRG Limp.Ord. '!J185</f>
        <v>0</v>
      </c>
      <c r="U49" s="564">
        <v>0</v>
      </c>
      <c r="V49" s="369">
        <f>'GEXMRG Limp.Ord. '!J188</f>
        <v>0</v>
      </c>
      <c r="W49" s="564">
        <v>0</v>
      </c>
      <c r="X49" s="369">
        <f>'GEXMRG Limp.Ord. '!J191</f>
        <v>0</v>
      </c>
      <c r="Y49" s="151">
        <f t="shared" si="2"/>
        <v>0</v>
      </c>
      <c r="Z49" s="431"/>
      <c r="AA49" s="428">
        <f>'Prod. GEXMRG'!R11*'GEXMRG Limp.Ord. '!C142</f>
        <v>0</v>
      </c>
      <c r="AB49" s="669">
        <f>'Prod. GEXMRG'!S11*'GEXMRG Covid '!C142</f>
        <v>0</v>
      </c>
      <c r="AC49" s="525"/>
      <c r="ALM49" s="162"/>
      <c r="ALN49" s="162"/>
      <c r="ALO49" s="162"/>
      <c r="ALP49" s="162"/>
      <c r="ALQ49" s="162"/>
      <c r="ALR49" s="162"/>
      <c r="ALS49" s="162"/>
      <c r="ALT49" s="162"/>
      <c r="ALU49" s="162"/>
      <c r="ALV49" s="162"/>
      <c r="ALW49" s="162"/>
      <c r="ALX49" s="162"/>
      <c r="ALY49" s="162"/>
    </row>
    <row r="50" spans="1:1013" s="145" customFormat="1" ht="12.75" x14ac:dyDescent="0.2">
      <c r="A50" s="155">
        <v>43</v>
      </c>
      <c r="B50" s="155" t="s">
        <v>122</v>
      </c>
      <c r="C50" s="155" t="s">
        <v>405</v>
      </c>
      <c r="D50" s="344">
        <f>MC!C99</f>
        <v>0</v>
      </c>
      <c r="E50" s="564">
        <v>800</v>
      </c>
      <c r="F50" s="369">
        <f>'GEXMRG Limp.Ord. '!H149</f>
        <v>0</v>
      </c>
      <c r="G50" s="586">
        <v>0</v>
      </c>
      <c r="H50" s="369">
        <f>'GEXMRG Limp.Ord. '!H155</f>
        <v>0</v>
      </c>
      <c r="I50" s="564">
        <v>0</v>
      </c>
      <c r="J50" s="369">
        <f>'GEXMRG Limp.Ord. '!H161</f>
        <v>0</v>
      </c>
      <c r="K50" s="564">
        <v>0</v>
      </c>
      <c r="L50" s="369">
        <f>'GEXMRG Limp.Ord. '!H167</f>
        <v>0</v>
      </c>
      <c r="M50" s="564">
        <v>0</v>
      </c>
      <c r="N50" s="369">
        <f>'GEXMRG Limp.Ord. '!H173</f>
        <v>0</v>
      </c>
      <c r="O50" s="564">
        <v>0</v>
      </c>
      <c r="P50" s="369">
        <f>'GEXMRG Limp.Ord. '!H176</f>
        <v>0</v>
      </c>
      <c r="Q50" s="564">
        <v>0</v>
      </c>
      <c r="R50" s="369">
        <f>'GEXMRG Limp.Ord. '!H179</f>
        <v>0</v>
      </c>
      <c r="S50" s="564">
        <v>0</v>
      </c>
      <c r="T50" s="369">
        <f>'GEXMRG Limp.Ord. '!H185</f>
        <v>0</v>
      </c>
      <c r="U50" s="564">
        <v>0</v>
      </c>
      <c r="V50" s="369">
        <f>'GEXMRG Limp.Ord. '!H188</f>
        <v>0</v>
      </c>
      <c r="W50" s="564">
        <v>0</v>
      </c>
      <c r="X50" s="369">
        <f>'GEXMRG Limp.Ord. '!H191</f>
        <v>0</v>
      </c>
      <c r="Y50" s="151">
        <f t="shared" si="2"/>
        <v>0</v>
      </c>
      <c r="Z50" s="431"/>
      <c r="AA50" s="428">
        <f>'Prod. GEXMRG'!R12*'GEXMRG Limp.Ord. '!C141</f>
        <v>0</v>
      </c>
      <c r="AB50" s="669">
        <f>'Prod. GEXMRG'!S12*'GEXMRG Covid '!C141</f>
        <v>0</v>
      </c>
      <c r="AC50" s="525"/>
      <c r="ALM50" s="162"/>
      <c r="ALN50" s="162"/>
      <c r="ALO50" s="162"/>
      <c r="ALP50" s="162"/>
      <c r="ALQ50" s="162"/>
      <c r="ALR50" s="162"/>
      <c r="ALS50" s="162"/>
      <c r="ALT50" s="162"/>
      <c r="ALU50" s="162"/>
      <c r="ALV50" s="162"/>
      <c r="ALW50" s="162"/>
      <c r="ALX50" s="162"/>
      <c r="ALY50" s="162"/>
    </row>
    <row r="51" spans="1:1013" s="145" customFormat="1" ht="12.75" x14ac:dyDescent="0.2">
      <c r="A51" s="155">
        <v>44</v>
      </c>
      <c r="B51" s="155" t="s">
        <v>123</v>
      </c>
      <c r="C51" s="155" t="s">
        <v>406</v>
      </c>
      <c r="D51" s="344">
        <f>MC!C100</f>
        <v>0</v>
      </c>
      <c r="E51" s="564">
        <v>800</v>
      </c>
      <c r="F51" s="369">
        <f>'GEXMRG Limp.Ord. '!F149</f>
        <v>0</v>
      </c>
      <c r="G51" s="586">
        <v>0</v>
      </c>
      <c r="H51" s="369">
        <f>'GEXMRG Limp.Ord. '!H155</f>
        <v>0</v>
      </c>
      <c r="I51" s="564">
        <v>0</v>
      </c>
      <c r="J51" s="369">
        <f>'GEXMRG Limp.Ord. '!F161</f>
        <v>0</v>
      </c>
      <c r="K51" s="564">
        <v>0</v>
      </c>
      <c r="L51" s="369">
        <f>'GEXMRG Limp.Ord. '!F167</f>
        <v>0</v>
      </c>
      <c r="M51" s="564">
        <v>0</v>
      </c>
      <c r="N51" s="369">
        <f>'GEXMRG Limp.Ord. '!F173</f>
        <v>0</v>
      </c>
      <c r="O51" s="564">
        <v>0</v>
      </c>
      <c r="P51" s="369">
        <f>'GEXMRG Limp.Ord. '!F176</f>
        <v>0</v>
      </c>
      <c r="Q51" s="564">
        <v>0</v>
      </c>
      <c r="R51" s="369">
        <f>'GEXMRG Limp.Ord. '!F179</f>
        <v>0</v>
      </c>
      <c r="S51" s="564">
        <v>0</v>
      </c>
      <c r="T51" s="369">
        <f>'GEXMRG Limp.Ord. '!F185</f>
        <v>0</v>
      </c>
      <c r="U51" s="564">
        <v>0</v>
      </c>
      <c r="V51" s="369">
        <f>'GEXMRG Limp.Ord. '!F188</f>
        <v>0</v>
      </c>
      <c r="W51" s="564">
        <v>0</v>
      </c>
      <c r="X51" s="369">
        <f>'GEXMRG Limp.Ord. '!F191</f>
        <v>0</v>
      </c>
      <c r="Y51" s="151">
        <f t="shared" si="2"/>
        <v>0</v>
      </c>
      <c r="Z51" s="431"/>
      <c r="AA51" s="428">
        <f>'Prod. GEXMRG'!R13*'GEXMRG Limp.Ord. '!C140</f>
        <v>0</v>
      </c>
      <c r="AB51" s="669">
        <f>'Prod. GEXMRG'!S13*'GEXMRG Covid '!C140</f>
        <v>0</v>
      </c>
      <c r="AC51" s="525"/>
      <c r="ALM51" s="162"/>
      <c r="ALN51" s="162"/>
      <c r="ALO51" s="162"/>
      <c r="ALP51" s="162"/>
      <c r="ALQ51" s="162"/>
      <c r="ALR51" s="162"/>
      <c r="ALS51" s="162"/>
      <c r="ALT51" s="162"/>
      <c r="ALU51" s="162"/>
      <c r="ALV51" s="162"/>
      <c r="ALW51" s="162"/>
      <c r="ALX51" s="162"/>
      <c r="ALY51" s="162"/>
    </row>
    <row r="52" spans="1:1013" s="145" customFormat="1" ht="12.75" x14ac:dyDescent="0.2">
      <c r="A52" s="155">
        <v>45</v>
      </c>
      <c r="B52" s="155" t="s">
        <v>124</v>
      </c>
      <c r="C52" s="155" t="s">
        <v>407</v>
      </c>
      <c r="D52" s="344">
        <f>MC!C101</f>
        <v>0</v>
      </c>
      <c r="E52" s="564">
        <v>800</v>
      </c>
      <c r="F52" s="369">
        <f>'GEXMRG Limp.Ord. '!J149</f>
        <v>0</v>
      </c>
      <c r="G52" s="586">
        <v>0</v>
      </c>
      <c r="H52" s="369">
        <f>'GEXMRG Limp.Ord. '!J155</f>
        <v>0</v>
      </c>
      <c r="I52" s="564">
        <v>0</v>
      </c>
      <c r="J52" s="369">
        <f>'GEXMRG Limp.Ord. '!J161</f>
        <v>0</v>
      </c>
      <c r="K52" s="564">
        <v>0</v>
      </c>
      <c r="L52" s="369">
        <f>'GEXMRG Limp.Ord. '!J167</f>
        <v>0</v>
      </c>
      <c r="M52" s="564">
        <v>0</v>
      </c>
      <c r="N52" s="369">
        <f>'GEXMRG Limp.Ord. '!J173</f>
        <v>0</v>
      </c>
      <c r="O52" s="564">
        <v>0</v>
      </c>
      <c r="P52" s="369">
        <f>'GEXMRG Limp.Ord. '!J176</f>
        <v>0</v>
      </c>
      <c r="Q52" s="564">
        <v>0</v>
      </c>
      <c r="R52" s="369">
        <f>'GEXMRG Limp.Ord. '!J179</f>
        <v>0</v>
      </c>
      <c r="S52" s="564">
        <v>0</v>
      </c>
      <c r="T52" s="369">
        <f>'GEXMRG Limp.Ord. '!J185</f>
        <v>0</v>
      </c>
      <c r="U52" s="564">
        <v>0</v>
      </c>
      <c r="V52" s="369">
        <f>'GEXMRG Limp.Ord. '!J188</f>
        <v>0</v>
      </c>
      <c r="W52" s="564">
        <v>0</v>
      </c>
      <c r="X52" s="369">
        <f>'GEXMRG Limp.Ord. '!J191</f>
        <v>0</v>
      </c>
      <c r="Y52" s="151">
        <f t="shared" si="2"/>
        <v>0</v>
      </c>
      <c r="Z52" s="431"/>
      <c r="AA52" s="428">
        <f>'Prod. GEXMRG'!R14*'GEXMRG Limp.Ord. '!C142</f>
        <v>0</v>
      </c>
      <c r="AB52" s="669">
        <f>'Prod. GEXMRG'!S14*'GEXMRG Covid '!C142</f>
        <v>0</v>
      </c>
      <c r="AC52" s="525"/>
      <c r="ALM52" s="162"/>
      <c r="ALN52" s="162"/>
      <c r="ALO52" s="162"/>
      <c r="ALP52" s="162"/>
      <c r="ALQ52" s="162"/>
      <c r="ALR52" s="162"/>
      <c r="ALS52" s="162"/>
      <c r="ALT52" s="162"/>
      <c r="ALU52" s="162"/>
      <c r="ALV52" s="162"/>
      <c r="ALW52" s="162"/>
      <c r="ALX52" s="162"/>
      <c r="ALY52" s="162"/>
    </row>
    <row r="53" spans="1:1013" s="145" customFormat="1" ht="12.75" x14ac:dyDescent="0.2">
      <c r="A53" s="155">
        <v>46</v>
      </c>
      <c r="B53" s="155" t="s">
        <v>125</v>
      </c>
      <c r="C53" s="155" t="s">
        <v>408</v>
      </c>
      <c r="D53" s="344">
        <f>MC!C102</f>
        <v>0</v>
      </c>
      <c r="E53" s="564">
        <v>800</v>
      </c>
      <c r="F53" s="369">
        <f>'GEXMRG Limp.Ord. '!L149</f>
        <v>0</v>
      </c>
      <c r="G53" s="586">
        <v>0</v>
      </c>
      <c r="H53" s="369">
        <f>'GEXMRG Limp.Ord. '!L155</f>
        <v>0</v>
      </c>
      <c r="I53" s="564">
        <v>0</v>
      </c>
      <c r="J53" s="369">
        <f>'GEXMRG Limp.Ord. '!L161</f>
        <v>0</v>
      </c>
      <c r="K53" s="564">
        <v>0</v>
      </c>
      <c r="L53" s="369">
        <f>'GEXMRG Limp.Ord. '!L167</f>
        <v>0</v>
      </c>
      <c r="M53" s="564">
        <v>0</v>
      </c>
      <c r="N53" s="369">
        <f>'GEXMRG Limp.Ord. '!L173</f>
        <v>0</v>
      </c>
      <c r="O53" s="564">
        <v>0</v>
      </c>
      <c r="P53" s="369">
        <f>'GEXMRG Limp.Ord. '!L176</f>
        <v>0</v>
      </c>
      <c r="Q53" s="564">
        <v>0</v>
      </c>
      <c r="R53" s="369">
        <f>'GEXMRG Limp.Ord. '!L179</f>
        <v>0</v>
      </c>
      <c r="S53" s="564">
        <v>0</v>
      </c>
      <c r="T53" s="369">
        <f>'GEXMRG Limp.Ord. '!L185</f>
        <v>0</v>
      </c>
      <c r="U53" s="564">
        <v>0</v>
      </c>
      <c r="V53" s="369">
        <f>'GEXMRG Limp.Ord. '!L188</f>
        <v>0</v>
      </c>
      <c r="W53" s="564">
        <v>0</v>
      </c>
      <c r="X53" s="369">
        <f>'GEXMRG Limp.Ord. '!L191</f>
        <v>0</v>
      </c>
      <c r="Y53" s="151">
        <f t="shared" si="2"/>
        <v>0</v>
      </c>
      <c r="Z53" s="431"/>
      <c r="AA53" s="428">
        <f>'Prod. GEXMRG'!R15*'GEXMRG Limp.Ord. '!C143</f>
        <v>0</v>
      </c>
      <c r="AB53" s="669">
        <f>'Prod. GEXMRG'!S15*'GEXMRG Covid '!C143</f>
        <v>0</v>
      </c>
      <c r="AC53" s="525"/>
      <c r="ALM53" s="162"/>
      <c r="ALN53" s="162"/>
      <c r="ALO53" s="162"/>
      <c r="ALP53" s="162"/>
      <c r="ALQ53" s="162"/>
      <c r="ALR53" s="162"/>
      <c r="ALS53" s="162"/>
      <c r="ALT53" s="162"/>
      <c r="ALU53" s="162"/>
      <c r="ALV53" s="162"/>
      <c r="ALW53" s="162"/>
      <c r="ALX53" s="162"/>
      <c r="ALY53" s="162"/>
    </row>
    <row r="54" spans="1:1013" s="145" customFormat="1" ht="12.75" x14ac:dyDescent="0.2">
      <c r="A54" s="155">
        <v>47</v>
      </c>
      <c r="B54" s="155" t="s">
        <v>126</v>
      </c>
      <c r="C54" s="155" t="s">
        <v>409</v>
      </c>
      <c r="D54" s="344">
        <f>MC!C103</f>
        <v>0</v>
      </c>
      <c r="E54" s="564">
        <v>800</v>
      </c>
      <c r="F54" s="369">
        <f>'GEXMRG Limp.Ord. '!F149</f>
        <v>0</v>
      </c>
      <c r="G54" s="586">
        <v>0</v>
      </c>
      <c r="H54" s="369">
        <f>'GEXMRG Limp.Ord. '!H155</f>
        <v>0</v>
      </c>
      <c r="I54" s="564">
        <v>0</v>
      </c>
      <c r="J54" s="369">
        <f>'GEXMRG Limp.Ord. '!F161</f>
        <v>0</v>
      </c>
      <c r="K54" s="564">
        <v>0</v>
      </c>
      <c r="L54" s="369">
        <f>'GEXMRG Limp.Ord. '!F167</f>
        <v>0</v>
      </c>
      <c r="M54" s="564">
        <v>0</v>
      </c>
      <c r="N54" s="369">
        <f>'GEXMRG Limp.Ord. '!F173</f>
        <v>0</v>
      </c>
      <c r="O54" s="564">
        <v>0</v>
      </c>
      <c r="P54" s="369">
        <f>'GEXMRG Limp.Ord. '!F176</f>
        <v>0</v>
      </c>
      <c r="Q54" s="564">
        <v>0</v>
      </c>
      <c r="R54" s="369">
        <f>'GEXMRG Limp.Ord. '!F179</f>
        <v>0</v>
      </c>
      <c r="S54" s="564">
        <v>0</v>
      </c>
      <c r="T54" s="369">
        <f>'GEXMRG Limp.Ord. '!F185</f>
        <v>0</v>
      </c>
      <c r="U54" s="564">
        <v>0</v>
      </c>
      <c r="V54" s="369">
        <f>'GEXMRG Limp.Ord. '!F188</f>
        <v>0</v>
      </c>
      <c r="W54" s="564">
        <v>0</v>
      </c>
      <c r="X54" s="369">
        <f>'GEXMRG Limp.Ord. '!F191</f>
        <v>0</v>
      </c>
      <c r="Y54" s="151">
        <f t="shared" si="2"/>
        <v>0</v>
      </c>
      <c r="Z54" s="431"/>
      <c r="AA54" s="428">
        <f>'Prod. GEXMRG'!R16*'GEXMRG Limp.Ord. '!C140</f>
        <v>0</v>
      </c>
      <c r="AB54" s="669">
        <f>'Prod. GEXMRG'!S16*'GEXMRG Covid '!C140</f>
        <v>0</v>
      </c>
      <c r="AC54" s="525"/>
      <c r="ALM54" s="162"/>
      <c r="ALN54" s="162"/>
      <c r="ALO54" s="162"/>
      <c r="ALP54" s="162"/>
      <c r="ALQ54" s="162"/>
      <c r="ALR54" s="162"/>
      <c r="ALS54" s="162"/>
      <c r="ALT54" s="162"/>
      <c r="ALU54" s="162"/>
      <c r="ALV54" s="162"/>
      <c r="ALW54" s="162"/>
      <c r="ALX54" s="162"/>
      <c r="ALY54" s="162"/>
    </row>
    <row r="55" spans="1:1013" s="145" customFormat="1" ht="12.75" x14ac:dyDescent="0.2">
      <c r="A55" s="155">
        <v>48</v>
      </c>
      <c r="B55" s="155" t="s">
        <v>127</v>
      </c>
      <c r="C55" s="155" t="s">
        <v>410</v>
      </c>
      <c r="D55" s="344">
        <f>MC!C104</f>
        <v>0</v>
      </c>
      <c r="E55" s="584">
        <v>165.39</v>
      </c>
      <c r="F55" s="369">
        <f>'GEXMRG Limp.Ord. '!F149</f>
        <v>0</v>
      </c>
      <c r="G55" s="586">
        <v>943.86</v>
      </c>
      <c r="H55" s="369">
        <f>'GEXMRG Limp.Ord. '!H155</f>
        <v>0</v>
      </c>
      <c r="I55" s="564">
        <v>0</v>
      </c>
      <c r="J55" s="369">
        <f>'GEXMRG Limp.Ord. '!F161</f>
        <v>0</v>
      </c>
      <c r="K55" s="584">
        <v>9.49</v>
      </c>
      <c r="L55" s="369">
        <f>'GEXMRG Limp.Ord. '!F167</f>
        <v>0</v>
      </c>
      <c r="M55" s="564">
        <v>0</v>
      </c>
      <c r="N55" s="369">
        <f>'GEXMRG Limp.Ord. '!F173</f>
        <v>0</v>
      </c>
      <c r="O55" s="564">
        <v>0</v>
      </c>
      <c r="P55" s="369">
        <f>'GEXMRG Limp.Ord. '!F176</f>
        <v>0</v>
      </c>
      <c r="Q55" s="564">
        <v>120</v>
      </c>
      <c r="R55" s="369">
        <f>'GEXMRG Limp.Ord. '!F179</f>
        <v>0</v>
      </c>
      <c r="S55" s="564">
        <v>12.12</v>
      </c>
      <c r="T55" s="369">
        <f>'GEXMRG Limp.Ord. '!F185</f>
        <v>0</v>
      </c>
      <c r="U55" s="564">
        <v>19.68</v>
      </c>
      <c r="V55" s="369">
        <f>'GEXMRG Limp.Ord. '!F188</f>
        <v>0</v>
      </c>
      <c r="W55" s="564">
        <v>31.8</v>
      </c>
      <c r="X55" s="369">
        <f>'GEXMRG Limp.Ord. '!F191</f>
        <v>0</v>
      </c>
      <c r="Y55" s="151">
        <f t="shared" si="2"/>
        <v>0</v>
      </c>
      <c r="Z55" s="431"/>
      <c r="AA55" s="428">
        <f>'Prod. GEXMRG'!R17*'GEXMRG Limp.Ord. '!C140</f>
        <v>0</v>
      </c>
      <c r="AB55" s="669">
        <f>'Prod. GEXMRG'!S17*'GEXMRG Covid '!C140</f>
        <v>0</v>
      </c>
      <c r="AC55" s="667"/>
      <c r="ALM55" s="162"/>
      <c r="ALN55" s="162"/>
      <c r="ALO55" s="162"/>
      <c r="ALP55" s="162"/>
      <c r="ALQ55" s="162"/>
      <c r="ALR55" s="162"/>
      <c r="ALS55" s="162"/>
      <c r="ALT55" s="162"/>
      <c r="ALU55" s="162"/>
      <c r="ALV55" s="162"/>
      <c r="ALW55" s="162"/>
      <c r="ALX55" s="162"/>
      <c r="ALY55" s="162"/>
    </row>
    <row r="56" spans="1:1013" s="145" customFormat="1" ht="12.75" x14ac:dyDescent="0.2">
      <c r="A56" s="984" t="s">
        <v>411</v>
      </c>
      <c r="B56" s="985"/>
      <c r="C56" s="985"/>
      <c r="D56" s="986"/>
      <c r="E56" s="374">
        <f>SUM(E42:E55)</f>
        <v>15628.39</v>
      </c>
      <c r="F56" s="375"/>
      <c r="G56" s="165">
        <f>SUM(G42:G55)</f>
        <v>4167.47</v>
      </c>
      <c r="H56" s="166"/>
      <c r="I56" s="165">
        <f>SUM(I42:I55)</f>
        <v>500</v>
      </c>
      <c r="J56" s="166"/>
      <c r="K56" s="165">
        <f>SUM(K42:K55)</f>
        <v>504.89</v>
      </c>
      <c r="L56" s="166"/>
      <c r="M56" s="165">
        <f>SUM(M42:M55)</f>
        <v>92.93</v>
      </c>
      <c r="N56" s="166"/>
      <c r="O56" s="165">
        <f>SUM(O42:O55)</f>
        <v>3261.1600000000003</v>
      </c>
      <c r="P56" s="166"/>
      <c r="Q56" s="165">
        <f>SUM(Q42:Q55)</f>
        <v>6379.5499999999993</v>
      </c>
      <c r="R56" s="166"/>
      <c r="S56" s="165">
        <f>SUM(S42:S55)</f>
        <v>1640.74</v>
      </c>
      <c r="T56" s="798"/>
      <c r="U56" s="165">
        <f>SUM(U42:U55)</f>
        <v>1142.23</v>
      </c>
      <c r="V56" s="166"/>
      <c r="W56" s="167">
        <f>SUM(W42:W55)</f>
        <v>2782.9700000000003</v>
      </c>
      <c r="X56" s="166"/>
      <c r="Y56" s="166">
        <f>SUM(Y42:Y55)</f>
        <v>0</v>
      </c>
      <c r="Z56" s="430">
        <f>SUM(Z42:Z55)</f>
        <v>0</v>
      </c>
      <c r="AA56" s="167">
        <f>SUM(AA42:AA55)</f>
        <v>0</v>
      </c>
      <c r="AB56" s="168">
        <f>SUM(AB42:AB55)</f>
        <v>0</v>
      </c>
      <c r="AC56" s="559">
        <f>SUM(AC42:AC55)</f>
        <v>0</v>
      </c>
      <c r="ALM56" s="162"/>
      <c r="ALN56" s="162"/>
      <c r="ALO56" s="162"/>
      <c r="ALP56" s="162"/>
      <c r="ALQ56" s="162"/>
      <c r="ALR56" s="162"/>
      <c r="ALS56" s="162"/>
      <c r="ALT56" s="162"/>
      <c r="ALU56" s="162"/>
      <c r="ALV56" s="162"/>
      <c r="ALW56" s="162"/>
      <c r="ALX56" s="162"/>
      <c r="ALY56" s="162"/>
    </row>
    <row r="57" spans="1:1013" s="145" customFormat="1" ht="15" x14ac:dyDescent="0.25">
      <c r="A57"/>
      <c r="B57" s="172"/>
      <c r="C57" s="172"/>
      <c r="D57" s="172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4"/>
      <c r="Z57" s="174"/>
      <c r="AA57" s="174"/>
      <c r="AB57" s="174"/>
      <c r="AC57" s="175"/>
      <c r="ALP57" s="175"/>
      <c r="ALQ57" s="175"/>
      <c r="ALR57" s="175"/>
      <c r="ALS57" s="175"/>
      <c r="ALT57" s="175"/>
      <c r="ALU57" s="175"/>
      <c r="ALV57" s="175"/>
      <c r="ALW57" s="175"/>
      <c r="ALX57" s="175"/>
      <c r="ALY57" s="175"/>
    </row>
    <row r="58" spans="1:1013" ht="15" x14ac:dyDescent="0.2">
      <c r="A58" s="176"/>
      <c r="B58" s="963" t="s">
        <v>412</v>
      </c>
      <c r="C58" s="963"/>
      <c r="D58" s="963"/>
      <c r="E58" s="963"/>
      <c r="F58" s="963"/>
      <c r="G58" s="963"/>
      <c r="H58" s="963"/>
      <c r="I58" s="963"/>
      <c r="J58" s="963"/>
      <c r="K58" s="963"/>
      <c r="L58" s="963"/>
      <c r="M58" s="963"/>
      <c r="N58" s="963"/>
      <c r="O58" s="963"/>
      <c r="P58" s="963"/>
      <c r="Q58" s="963"/>
      <c r="R58" s="963"/>
      <c r="S58" s="963"/>
      <c r="T58" s="963"/>
      <c r="U58" s="963"/>
      <c r="V58" s="963"/>
      <c r="W58" s="963"/>
      <c r="X58" s="963"/>
      <c r="Y58" s="177">
        <f>ROUND(SUM(Y25,Y41,Y56),2)</f>
        <v>0</v>
      </c>
      <c r="Z58" s="177">
        <f>ROUND(SUM(Z25,Z41,Z56),2)</f>
        <v>0</v>
      </c>
      <c r="AA58" s="177">
        <f>ROUND(SUM(AA25,AA41,AA56),2)</f>
        <v>0</v>
      </c>
      <c r="AB58" s="177">
        <f>ROUND(SUM(AB25,AB41,AB56),2)</f>
        <v>0</v>
      </c>
      <c r="AC58" s="177">
        <f>ROUND(SUM(AC25,AC41,AC56),2)</f>
        <v>0</v>
      </c>
    </row>
    <row r="59" spans="1:1013" ht="15" x14ac:dyDescent="0.2">
      <c r="A59" s="176"/>
      <c r="B59" s="178"/>
      <c r="C59" s="178"/>
      <c r="D59" s="178"/>
      <c r="E59" s="179"/>
      <c r="F59" s="180"/>
      <c r="G59" s="179"/>
      <c r="H59" s="179"/>
      <c r="I59" s="177"/>
      <c r="J59" s="177"/>
      <c r="K59" s="177"/>
      <c r="L59" s="177"/>
      <c r="M59" s="177"/>
      <c r="N59" s="177"/>
      <c r="O59" s="177"/>
      <c r="P59" s="181"/>
      <c r="Q59" s="182"/>
      <c r="R59" s="179"/>
      <c r="S59" s="180"/>
      <c r="T59" s="179"/>
      <c r="U59" s="179"/>
      <c r="V59" s="177"/>
      <c r="W59" s="177"/>
      <c r="X59" s="177"/>
      <c r="Y59" s="177"/>
      <c r="Z59" s="177"/>
      <c r="AA59" s="179"/>
      <c r="AB59" s="177"/>
      <c r="AC59" s="177"/>
    </row>
    <row r="60" spans="1:1013" x14ac:dyDescent="0.2">
      <c r="A60" s="183"/>
      <c r="B60" s="184"/>
      <c r="C60" s="184"/>
      <c r="D60" s="184"/>
      <c r="E60" s="185"/>
      <c r="F60" s="185"/>
      <c r="G60" s="185"/>
      <c r="H60" s="185"/>
      <c r="I60" s="186"/>
      <c r="J60" s="186"/>
      <c r="K60" s="186"/>
      <c r="L60" s="186"/>
      <c r="M60" s="186"/>
      <c r="N60" s="185"/>
      <c r="O60" s="185"/>
      <c r="P60" s="185"/>
      <c r="Q60" s="186"/>
      <c r="R60" s="186"/>
      <c r="S60" s="185"/>
      <c r="T60" s="185"/>
      <c r="U60" s="185"/>
      <c r="V60" s="186"/>
      <c r="W60" s="186"/>
      <c r="X60" s="186"/>
      <c r="Y60" s="186"/>
      <c r="Z60" s="186"/>
      <c r="AA60" s="185"/>
      <c r="AB60" s="987" t="s">
        <v>53</v>
      </c>
      <c r="AC60" s="181">
        <f>SUM(Y58:AC58)</f>
        <v>0</v>
      </c>
    </row>
    <row r="61" spans="1:1013" x14ac:dyDescent="0.2">
      <c r="A61" s="187"/>
      <c r="B61" s="188"/>
      <c r="C61" s="188"/>
      <c r="D61" s="188"/>
      <c r="E61" s="189"/>
      <c r="F61" s="189"/>
      <c r="G61" s="189"/>
      <c r="H61" s="189"/>
      <c r="I61" s="190"/>
      <c r="J61" s="190"/>
      <c r="K61" s="190"/>
      <c r="L61" s="190"/>
      <c r="M61" s="190"/>
      <c r="N61" s="189"/>
      <c r="O61" s="189"/>
      <c r="P61" s="189"/>
      <c r="Q61" s="190"/>
      <c r="R61" s="190"/>
      <c r="S61" s="189"/>
      <c r="T61" s="189"/>
      <c r="U61" s="189"/>
      <c r="V61" s="190"/>
      <c r="W61" s="190"/>
      <c r="X61" s="190"/>
      <c r="Y61" s="190"/>
      <c r="Z61" s="190"/>
      <c r="AA61" s="595"/>
      <c r="AB61" s="987"/>
      <c r="AC61" s="181">
        <f>AC60*12</f>
        <v>0</v>
      </c>
    </row>
    <row r="62" spans="1:1013" x14ac:dyDescent="0.2">
      <c r="E62" s="191" t="s">
        <v>413</v>
      </c>
      <c r="AB62" s="514"/>
      <c r="AC62" s="514"/>
    </row>
  </sheetData>
  <mergeCells count="28">
    <mergeCell ref="Z3:Z4"/>
    <mergeCell ref="A25:D25"/>
    <mergeCell ref="A41:D41"/>
    <mergeCell ref="AB60:AB61"/>
    <mergeCell ref="AB3:AB4"/>
    <mergeCell ref="A3:A5"/>
    <mergeCell ref="A56:D56"/>
    <mergeCell ref="AC3:AC4"/>
    <mergeCell ref="B58:X58"/>
    <mergeCell ref="U3:V4"/>
    <mergeCell ref="W3:X4"/>
    <mergeCell ref="Y3:Y4"/>
    <mergeCell ref="AA3:AA4"/>
    <mergeCell ref="K3:L4"/>
    <mergeCell ref="M3:N4"/>
    <mergeCell ref="O3:P4"/>
    <mergeCell ref="Q3:R4"/>
    <mergeCell ref="S3:T4"/>
    <mergeCell ref="B3:B5"/>
    <mergeCell ref="E3:F4"/>
    <mergeCell ref="G3:H4"/>
    <mergeCell ref="I3:J4"/>
    <mergeCell ref="D3:D5"/>
    <mergeCell ref="A1:AC1"/>
    <mergeCell ref="A2:B2"/>
    <mergeCell ref="E2:L2"/>
    <mergeCell ref="M2:R2"/>
    <mergeCell ref="S2:X2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724"/>
  </sheetPr>
  <dimension ref="A1:AMD43"/>
  <sheetViews>
    <sheetView zoomScale="80" zoomScaleNormal="80" workbookViewId="0">
      <pane xSplit="2" ySplit="3" topLeftCell="H4" activePane="bottomRight" state="frozen"/>
      <selection pane="topRight"/>
      <selection pane="bottomLeft"/>
      <selection pane="bottomRight" activeCell="I25" sqref="I25"/>
    </sheetView>
  </sheetViews>
  <sheetFormatPr defaultRowHeight="14.25" x14ac:dyDescent="0.2"/>
  <cols>
    <col min="1" max="1" width="34.5"/>
    <col min="4" max="4" width="13.625"/>
    <col min="5" max="5" width="9.625"/>
    <col min="6" max="6" width="11.625"/>
    <col min="8" max="8" width="13.5"/>
    <col min="9" max="9" width="11.125"/>
    <col min="10" max="10" width="9.875"/>
    <col min="11" max="11" width="12.25"/>
    <col min="12" max="12" width="12.5"/>
    <col min="13" max="17" width="9.25"/>
    <col min="18" max="18" width="10.875" customWidth="1"/>
    <col min="19" max="19" width="10.625" customWidth="1"/>
    <col min="20" max="20" width="12.25" customWidth="1"/>
    <col min="21" max="21" width="11.625"/>
    <col min="22" max="22" width="9.25"/>
    <col min="23" max="1019" width="10.625"/>
  </cols>
  <sheetData>
    <row r="1" spans="1:22" ht="15" customHeight="1" x14ac:dyDescent="0.2">
      <c r="A1" s="172"/>
      <c r="B1" s="172"/>
      <c r="C1" s="993" t="s">
        <v>331</v>
      </c>
      <c r="D1" s="993"/>
      <c r="E1" s="993"/>
      <c r="F1" s="993"/>
      <c r="G1" s="994" t="s">
        <v>332</v>
      </c>
      <c r="H1" s="994"/>
      <c r="I1" s="994"/>
      <c r="J1" s="995" t="s">
        <v>333</v>
      </c>
      <c r="K1" s="995"/>
      <c r="L1" s="995"/>
      <c r="M1" s="172"/>
      <c r="N1" s="172"/>
      <c r="O1" s="172"/>
      <c r="P1" s="172"/>
      <c r="Q1" s="172"/>
      <c r="R1" s="1007"/>
      <c r="S1" s="1007"/>
      <c r="T1" s="1007"/>
      <c r="U1" s="172"/>
      <c r="V1" s="145"/>
    </row>
    <row r="2" spans="1:22" ht="60" customHeight="1" x14ac:dyDescent="0.2">
      <c r="A2" s="1000" t="s">
        <v>340</v>
      </c>
      <c r="B2" s="1002" t="s">
        <v>414</v>
      </c>
      <c r="C2" s="1001" t="s">
        <v>342</v>
      </c>
      <c r="D2" s="969" t="s">
        <v>343</v>
      </c>
      <c r="E2" s="975" t="s">
        <v>344</v>
      </c>
      <c r="F2" s="1001" t="s">
        <v>415</v>
      </c>
      <c r="G2" s="996" t="s">
        <v>346</v>
      </c>
      <c r="H2" s="997" t="s">
        <v>416</v>
      </c>
      <c r="I2" s="999" t="s">
        <v>348</v>
      </c>
      <c r="J2" s="1004" t="s">
        <v>349</v>
      </c>
      <c r="K2" s="964" t="s">
        <v>350</v>
      </c>
      <c r="L2" s="1005" t="s">
        <v>351</v>
      </c>
      <c r="M2" s="1006" t="s">
        <v>417</v>
      </c>
      <c r="N2" s="1008" t="s">
        <v>418</v>
      </c>
      <c r="O2" s="1008"/>
      <c r="P2" s="1009" t="s">
        <v>419</v>
      </c>
      <c r="Q2" s="1009"/>
      <c r="R2" s="503" t="s">
        <v>420</v>
      </c>
      <c r="S2" s="504" t="s">
        <v>421</v>
      </c>
      <c r="T2" s="836" t="s">
        <v>422</v>
      </c>
      <c r="U2" s="193" t="s">
        <v>423</v>
      </c>
      <c r="V2" s="146"/>
    </row>
    <row r="3" spans="1:22" x14ac:dyDescent="0.2">
      <c r="A3" s="1000"/>
      <c r="B3" s="1003"/>
      <c r="C3" s="1001"/>
      <c r="D3" s="969"/>
      <c r="E3" s="975"/>
      <c r="F3" s="1001"/>
      <c r="G3" s="996"/>
      <c r="H3" s="998"/>
      <c r="I3" s="999"/>
      <c r="J3" s="1004"/>
      <c r="K3" s="964"/>
      <c r="L3" s="1005"/>
      <c r="M3" s="1006"/>
      <c r="N3" s="192" t="s">
        <v>424</v>
      </c>
      <c r="O3" s="194" t="s">
        <v>425</v>
      </c>
      <c r="P3" s="195" t="s">
        <v>424</v>
      </c>
      <c r="Q3" s="501" t="s">
        <v>425</v>
      </c>
      <c r="R3" s="523" t="s">
        <v>426</v>
      </c>
      <c r="S3" s="505" t="s">
        <v>426</v>
      </c>
      <c r="T3" s="837" t="s">
        <v>427</v>
      </c>
      <c r="U3" s="193" t="s">
        <v>425</v>
      </c>
      <c r="V3" s="146"/>
    </row>
    <row r="4" spans="1:22" x14ac:dyDescent="0.2">
      <c r="A4" s="596" t="s">
        <v>76</v>
      </c>
      <c r="B4" s="676">
        <f>MC!C68</f>
        <v>0</v>
      </c>
      <c r="C4" s="801">
        <v>2054.1999999999998</v>
      </c>
      <c r="D4" s="804">
        <v>819.31</v>
      </c>
      <c r="E4" s="804">
        <v>201.39</v>
      </c>
      <c r="F4" s="601">
        <v>60.56</v>
      </c>
      <c r="G4" s="804">
        <v>92.89</v>
      </c>
      <c r="H4" s="601">
        <v>17.11</v>
      </c>
      <c r="I4" s="601">
        <v>58.39</v>
      </c>
      <c r="J4" s="602">
        <v>203.15</v>
      </c>
      <c r="K4" s="806">
        <v>137.85</v>
      </c>
      <c r="L4" s="812">
        <v>341</v>
      </c>
      <c r="M4" s="196">
        <f>C4/$C$24+D4/$D$24+E4/$E$24+F4/$F$24+G4/$G$24+H4/$H$24+I4/$I$24+K4/$K$24*16*1/188.76+L4/$L$24*16*1/188.76</f>
        <v>3.811708126206117</v>
      </c>
      <c r="N4" s="747" t="s">
        <v>429</v>
      </c>
      <c r="O4" s="748">
        <v>3</v>
      </c>
      <c r="P4" s="749">
        <v>0</v>
      </c>
      <c r="Q4" s="750">
        <v>0</v>
      </c>
      <c r="R4" s="518">
        <v>6</v>
      </c>
      <c r="S4" s="530">
        <v>6</v>
      </c>
      <c r="T4" s="838">
        <v>22</v>
      </c>
      <c r="U4" s="845">
        <v>1</v>
      </c>
      <c r="V4" s="145"/>
    </row>
    <row r="5" spans="1:22" x14ac:dyDescent="0.2">
      <c r="A5" s="596" t="s">
        <v>78</v>
      </c>
      <c r="B5" s="676">
        <f>MC!C69</f>
        <v>0</v>
      </c>
      <c r="C5" s="800">
        <v>136.41</v>
      </c>
      <c r="D5" s="804">
        <v>160.57</v>
      </c>
      <c r="E5" s="804">
        <v>136.59</v>
      </c>
      <c r="F5" s="601">
        <v>32</v>
      </c>
      <c r="G5" s="804">
        <v>114.18</v>
      </c>
      <c r="H5" s="601">
        <v>1212.3599999999999</v>
      </c>
      <c r="I5" s="601">
        <v>373</v>
      </c>
      <c r="J5" s="602" t="s">
        <v>429</v>
      </c>
      <c r="K5" s="806">
        <v>77.81</v>
      </c>
      <c r="L5" s="813">
        <v>77.81</v>
      </c>
      <c r="M5" s="196">
        <f t="shared" ref="M5:M22" si="0">C5/$C$24+D5/$D$24+E5/$E$24+F5/$F$24+G5/$G$24+H5/$H$24+I5/$I$24+K5/$K$24*16*1/188.76+L5/$L$24*16*1/188.76</f>
        <v>0.73512031205057571</v>
      </c>
      <c r="N5" s="751" t="s">
        <v>429</v>
      </c>
      <c r="O5" s="752">
        <v>1</v>
      </c>
      <c r="P5" s="749" t="s">
        <v>429</v>
      </c>
      <c r="Q5" s="750" t="s">
        <v>429</v>
      </c>
      <c r="R5" s="519">
        <v>6</v>
      </c>
      <c r="S5" s="526">
        <v>6</v>
      </c>
      <c r="T5" s="839"/>
      <c r="U5" s="846"/>
      <c r="V5" s="145"/>
    </row>
    <row r="6" spans="1:22" x14ac:dyDescent="0.2">
      <c r="A6" s="596" t="s">
        <v>80</v>
      </c>
      <c r="B6" s="676">
        <f>MC!C70</f>
        <v>0</v>
      </c>
      <c r="C6" s="801">
        <v>1570.02</v>
      </c>
      <c r="D6" s="805">
        <v>1341.31</v>
      </c>
      <c r="E6" s="804">
        <v>751.5</v>
      </c>
      <c r="F6" s="601">
        <v>125.26</v>
      </c>
      <c r="G6" s="804">
        <v>323.77</v>
      </c>
      <c r="H6" s="601">
        <v>137</v>
      </c>
      <c r="I6" s="601">
        <v>353</v>
      </c>
      <c r="J6" s="602">
        <v>302</v>
      </c>
      <c r="K6" s="806">
        <v>364</v>
      </c>
      <c r="L6" s="813">
        <v>666</v>
      </c>
      <c r="M6" s="196">
        <f t="shared" si="0"/>
        <v>4.7460182203150394</v>
      </c>
      <c r="N6" s="751" t="s">
        <v>429</v>
      </c>
      <c r="O6" s="752">
        <v>4</v>
      </c>
      <c r="P6" s="749" t="s">
        <v>429</v>
      </c>
      <c r="Q6" s="750">
        <v>2</v>
      </c>
      <c r="R6" s="519">
        <v>6</v>
      </c>
      <c r="S6" s="526">
        <v>6</v>
      </c>
      <c r="T6" s="840"/>
      <c r="U6" s="846"/>
      <c r="V6" s="145"/>
    </row>
    <row r="7" spans="1:22" x14ac:dyDescent="0.2">
      <c r="A7" s="596" t="s">
        <v>82</v>
      </c>
      <c r="B7" s="676">
        <f>MC!C71</f>
        <v>0</v>
      </c>
      <c r="C7" s="800">
        <v>973</v>
      </c>
      <c r="D7" s="807">
        <v>1111.5</v>
      </c>
      <c r="E7" s="806">
        <v>770</v>
      </c>
      <c r="F7" s="603">
        <v>100.85</v>
      </c>
      <c r="G7" s="805">
        <v>1293</v>
      </c>
      <c r="H7" s="601">
        <v>5607</v>
      </c>
      <c r="I7" s="601">
        <v>81</v>
      </c>
      <c r="J7" s="602">
        <v>421.84</v>
      </c>
      <c r="K7" s="806">
        <v>256.16000000000003</v>
      </c>
      <c r="L7" s="813">
        <v>678</v>
      </c>
      <c r="M7" s="196">
        <f t="shared" si="0"/>
        <v>4.2788462590944416</v>
      </c>
      <c r="N7" s="751" t="s">
        <v>429</v>
      </c>
      <c r="O7" s="752">
        <v>4</v>
      </c>
      <c r="P7" s="749" t="s">
        <v>429</v>
      </c>
      <c r="Q7" s="750">
        <v>1</v>
      </c>
      <c r="R7" s="519">
        <v>6</v>
      </c>
      <c r="S7" s="526">
        <v>6</v>
      </c>
      <c r="T7" s="840"/>
      <c r="U7" s="846"/>
      <c r="V7" s="145"/>
    </row>
    <row r="8" spans="1:22" x14ac:dyDescent="0.2">
      <c r="A8" s="596" t="s">
        <v>84</v>
      </c>
      <c r="B8" s="676">
        <f>MC!C72</f>
        <v>0</v>
      </c>
      <c r="C8" s="801">
        <v>1301.03</v>
      </c>
      <c r="D8" s="804">
        <v>983.92</v>
      </c>
      <c r="E8" s="804">
        <v>131.74</v>
      </c>
      <c r="F8" s="601">
        <v>106.07</v>
      </c>
      <c r="G8" s="804">
        <v>210</v>
      </c>
      <c r="H8" s="601">
        <v>381</v>
      </c>
      <c r="I8" s="601">
        <v>126</v>
      </c>
      <c r="J8" s="602">
        <v>256.05</v>
      </c>
      <c r="K8" s="806">
        <v>149.84</v>
      </c>
      <c r="L8" s="813">
        <v>405.89</v>
      </c>
      <c r="M8" s="196">
        <f t="shared" si="0"/>
        <v>3.2358199758070212</v>
      </c>
      <c r="N8" s="751" t="s">
        <v>429</v>
      </c>
      <c r="O8" s="752">
        <v>3</v>
      </c>
      <c r="P8" s="749" t="s">
        <v>429</v>
      </c>
      <c r="Q8" s="750">
        <v>1</v>
      </c>
      <c r="R8" s="519">
        <v>6</v>
      </c>
      <c r="S8" s="526">
        <v>6</v>
      </c>
      <c r="T8" s="840"/>
      <c r="U8" s="846"/>
      <c r="V8" s="145"/>
    </row>
    <row r="9" spans="1:22" x14ac:dyDescent="0.2">
      <c r="A9" s="596" t="s">
        <v>87</v>
      </c>
      <c r="B9" s="676">
        <f>MC!C73</f>
        <v>0</v>
      </c>
      <c r="C9" s="800">
        <v>243.96</v>
      </c>
      <c r="D9" s="804">
        <v>524</v>
      </c>
      <c r="E9" s="804">
        <v>466.81</v>
      </c>
      <c r="F9" s="601">
        <v>21.28</v>
      </c>
      <c r="G9" s="809">
        <v>24.85</v>
      </c>
      <c r="H9" s="604">
        <v>0</v>
      </c>
      <c r="I9" s="604">
        <v>160</v>
      </c>
      <c r="J9" s="602" t="s">
        <v>429</v>
      </c>
      <c r="K9" s="806">
        <v>95.75</v>
      </c>
      <c r="L9" s="812">
        <v>95.75</v>
      </c>
      <c r="M9" s="196">
        <f t="shared" si="0"/>
        <v>1.3131841753196296</v>
      </c>
      <c r="N9" s="751" t="s">
        <v>429</v>
      </c>
      <c r="O9" s="752">
        <v>1</v>
      </c>
      <c r="P9" s="749">
        <v>1</v>
      </c>
      <c r="Q9" s="750" t="s">
        <v>429</v>
      </c>
      <c r="R9" s="519">
        <v>6</v>
      </c>
      <c r="S9" s="526">
        <v>6</v>
      </c>
      <c r="T9" s="840"/>
      <c r="U9" s="846"/>
      <c r="V9" s="145"/>
    </row>
    <row r="10" spans="1:22" x14ac:dyDescent="0.2">
      <c r="A10" s="596" t="s">
        <v>89</v>
      </c>
      <c r="B10" s="676">
        <f>MC!C74</f>
        <v>0</v>
      </c>
      <c r="C10" s="801">
        <v>1187.0999999999999</v>
      </c>
      <c r="D10" s="804">
        <v>857.82</v>
      </c>
      <c r="E10" s="804">
        <v>144.71</v>
      </c>
      <c r="F10" s="601">
        <v>104.8</v>
      </c>
      <c r="G10" s="809">
        <v>612.47</v>
      </c>
      <c r="H10" s="604">
        <v>2104.5</v>
      </c>
      <c r="I10" s="604">
        <v>205</v>
      </c>
      <c r="J10" s="602">
        <v>263</v>
      </c>
      <c r="K10" s="806">
        <v>137</v>
      </c>
      <c r="L10" s="813">
        <v>400</v>
      </c>
      <c r="M10" s="196">
        <f t="shared" si="0"/>
        <v>3.2602759497068585</v>
      </c>
      <c r="N10" s="751" t="s">
        <v>429</v>
      </c>
      <c r="O10" s="752">
        <v>3</v>
      </c>
      <c r="P10" s="749">
        <v>1</v>
      </c>
      <c r="Q10" s="750">
        <v>1</v>
      </c>
      <c r="R10" s="519">
        <v>6</v>
      </c>
      <c r="S10" s="526">
        <v>6</v>
      </c>
      <c r="T10" s="840"/>
      <c r="U10" s="846"/>
      <c r="V10" s="145"/>
    </row>
    <row r="11" spans="1:22" x14ac:dyDescent="0.2">
      <c r="A11" s="596" t="s">
        <v>91</v>
      </c>
      <c r="B11" s="676">
        <f>MC!C75</f>
        <v>0</v>
      </c>
      <c r="C11" s="802">
        <v>263.98</v>
      </c>
      <c r="D11" s="804">
        <v>102.61</v>
      </c>
      <c r="E11" s="804">
        <v>192.03</v>
      </c>
      <c r="F11" s="601">
        <v>13.84</v>
      </c>
      <c r="G11" s="809">
        <v>0</v>
      </c>
      <c r="H11" s="604">
        <v>0</v>
      </c>
      <c r="I11" s="604">
        <v>38</v>
      </c>
      <c r="J11" s="602" t="s">
        <v>429</v>
      </c>
      <c r="K11" s="806">
        <v>35.93</v>
      </c>
      <c r="L11" s="812">
        <v>35.93</v>
      </c>
      <c r="M11" s="196">
        <f t="shared" si="0"/>
        <v>0.68413762555626201</v>
      </c>
      <c r="N11" s="751" t="s">
        <v>429</v>
      </c>
      <c r="O11" s="752">
        <v>1</v>
      </c>
      <c r="P11" s="749" t="s">
        <v>429</v>
      </c>
      <c r="Q11" s="750" t="s">
        <v>429</v>
      </c>
      <c r="R11" s="519">
        <v>6</v>
      </c>
      <c r="S11" s="526">
        <v>6</v>
      </c>
      <c r="T11" s="840"/>
      <c r="U11" s="846"/>
      <c r="V11" s="145"/>
    </row>
    <row r="12" spans="1:22" x14ac:dyDescent="0.2">
      <c r="A12" s="596" t="s">
        <v>93</v>
      </c>
      <c r="B12" s="676">
        <f>MC!C76</f>
        <v>0</v>
      </c>
      <c r="C12" s="801">
        <v>1130.76</v>
      </c>
      <c r="D12" s="804">
        <v>571.33000000000004</v>
      </c>
      <c r="E12" s="804">
        <v>542.57000000000005</v>
      </c>
      <c r="F12" s="601">
        <v>80.760000000000005</v>
      </c>
      <c r="G12" s="809">
        <v>826</v>
      </c>
      <c r="H12" s="603">
        <v>397</v>
      </c>
      <c r="I12" s="604">
        <v>158.38999999999999</v>
      </c>
      <c r="J12" s="602">
        <v>209.15</v>
      </c>
      <c r="K12" s="806">
        <v>265.85000000000002</v>
      </c>
      <c r="L12" s="813">
        <v>475</v>
      </c>
      <c r="M12" s="196">
        <f t="shared" si="0"/>
        <v>3.4304884537684539</v>
      </c>
      <c r="N12" s="751" t="s">
        <v>429</v>
      </c>
      <c r="O12" s="752">
        <v>3</v>
      </c>
      <c r="P12" s="749" t="s">
        <v>429</v>
      </c>
      <c r="Q12" s="750">
        <v>1</v>
      </c>
      <c r="R12" s="519">
        <v>6</v>
      </c>
      <c r="S12" s="526">
        <v>6</v>
      </c>
      <c r="T12" s="840"/>
      <c r="U12" s="846"/>
      <c r="V12" s="145"/>
    </row>
    <row r="13" spans="1:22" x14ac:dyDescent="0.2">
      <c r="A13" s="596" t="s">
        <v>95</v>
      </c>
      <c r="B13" s="676">
        <f>MC!C77</f>
        <v>0</v>
      </c>
      <c r="C13" s="800">
        <v>159.47999999999999</v>
      </c>
      <c r="D13" s="804">
        <v>168.26</v>
      </c>
      <c r="E13" s="804">
        <v>206.27</v>
      </c>
      <c r="F13" s="601">
        <v>34.35</v>
      </c>
      <c r="G13" s="809">
        <v>163.52000000000001</v>
      </c>
      <c r="H13" s="604">
        <v>694.07</v>
      </c>
      <c r="I13" s="604">
        <v>365</v>
      </c>
      <c r="J13" s="602" t="s">
        <v>429</v>
      </c>
      <c r="K13" s="806">
        <v>89.98</v>
      </c>
      <c r="L13" s="812">
        <v>89.98</v>
      </c>
      <c r="M13" s="196">
        <f t="shared" si="0"/>
        <v>0.87873096418026431</v>
      </c>
      <c r="N13" s="751" t="s">
        <v>429</v>
      </c>
      <c r="O13" s="752">
        <v>1</v>
      </c>
      <c r="P13" s="749">
        <v>1</v>
      </c>
      <c r="Q13" s="750" t="s">
        <v>429</v>
      </c>
      <c r="R13" s="519">
        <v>6</v>
      </c>
      <c r="S13" s="526">
        <v>6</v>
      </c>
      <c r="T13" s="840"/>
      <c r="U13" s="846"/>
      <c r="V13" s="145"/>
    </row>
    <row r="14" spans="1:22" x14ac:dyDescent="0.2">
      <c r="A14" s="596" t="s">
        <v>97</v>
      </c>
      <c r="B14" s="676">
        <f>MC!C78</f>
        <v>0</v>
      </c>
      <c r="C14" s="800">
        <v>74.900000000000006</v>
      </c>
      <c r="D14" s="804">
        <v>21.16</v>
      </c>
      <c r="E14" s="804">
        <v>60.5</v>
      </c>
      <c r="F14" s="601">
        <v>14.99</v>
      </c>
      <c r="G14" s="809">
        <v>0</v>
      </c>
      <c r="H14" s="604">
        <v>0</v>
      </c>
      <c r="I14" s="604">
        <v>46.51</v>
      </c>
      <c r="J14" s="602" t="s">
        <v>429</v>
      </c>
      <c r="K14" s="806">
        <v>34.06</v>
      </c>
      <c r="L14" s="813">
        <v>34.06</v>
      </c>
      <c r="M14" s="196">
        <f t="shared" si="0"/>
        <v>0.26759646005509646</v>
      </c>
      <c r="N14" s="751">
        <v>1</v>
      </c>
      <c r="O14" s="752"/>
      <c r="P14" s="749" t="s">
        <v>429</v>
      </c>
      <c r="Q14" s="750" t="s">
        <v>429</v>
      </c>
      <c r="R14" s="519">
        <v>6</v>
      </c>
      <c r="S14" s="526">
        <v>6</v>
      </c>
      <c r="T14" s="840"/>
      <c r="U14" s="846"/>
      <c r="V14" s="145"/>
    </row>
    <row r="15" spans="1:22" x14ac:dyDescent="0.2">
      <c r="A15" s="596" t="s">
        <v>99</v>
      </c>
      <c r="B15" s="676">
        <f>MC!C79</f>
        <v>0</v>
      </c>
      <c r="C15" s="800">
        <v>541.91999999999996</v>
      </c>
      <c r="D15" s="804">
        <v>186.3</v>
      </c>
      <c r="E15" s="804">
        <v>236.46</v>
      </c>
      <c r="F15" s="601">
        <v>22.76</v>
      </c>
      <c r="G15" s="809">
        <v>82.75</v>
      </c>
      <c r="H15" s="604">
        <v>371.82</v>
      </c>
      <c r="I15" s="604">
        <v>154</v>
      </c>
      <c r="J15" s="602">
        <v>6.52</v>
      </c>
      <c r="K15" s="806">
        <v>70.72</v>
      </c>
      <c r="L15" s="812">
        <v>77.239999999999995</v>
      </c>
      <c r="M15" s="196">
        <f t="shared" si="0"/>
        <v>1.2604670005933463</v>
      </c>
      <c r="N15" s="751" t="s">
        <v>429</v>
      </c>
      <c r="O15" s="752">
        <v>1</v>
      </c>
      <c r="P15" s="749">
        <v>1</v>
      </c>
      <c r="Q15" s="750" t="s">
        <v>429</v>
      </c>
      <c r="R15" s="519">
        <v>6</v>
      </c>
      <c r="S15" s="526">
        <v>6</v>
      </c>
      <c r="T15" s="840"/>
      <c r="U15" s="846"/>
      <c r="V15" s="145"/>
    </row>
    <row r="16" spans="1:22" x14ac:dyDescent="0.2">
      <c r="A16" s="596" t="s">
        <v>101</v>
      </c>
      <c r="B16" s="676">
        <f>MC!C80</f>
        <v>0</v>
      </c>
      <c r="C16" s="800">
        <v>56.37</v>
      </c>
      <c r="D16" s="806">
        <v>70.95</v>
      </c>
      <c r="E16" s="804">
        <v>106.69</v>
      </c>
      <c r="F16" s="601">
        <v>20.32</v>
      </c>
      <c r="G16" s="809">
        <v>277</v>
      </c>
      <c r="H16" s="604">
        <v>455</v>
      </c>
      <c r="I16" s="604">
        <v>635</v>
      </c>
      <c r="J16" s="602" t="s">
        <v>429</v>
      </c>
      <c r="K16" s="806">
        <v>22.3</v>
      </c>
      <c r="L16" s="813">
        <v>22.3</v>
      </c>
      <c r="M16" s="196">
        <f t="shared" si="0"/>
        <v>0.56764848431871151</v>
      </c>
      <c r="N16" s="751" t="s">
        <v>429</v>
      </c>
      <c r="O16" s="752">
        <v>1</v>
      </c>
      <c r="P16" s="749">
        <v>1</v>
      </c>
      <c r="Q16" s="750" t="s">
        <v>429</v>
      </c>
      <c r="R16" s="519">
        <v>6</v>
      </c>
      <c r="S16" s="526">
        <v>6</v>
      </c>
      <c r="T16" s="840"/>
      <c r="U16" s="846"/>
      <c r="V16" s="145"/>
    </row>
    <row r="17" spans="1:1018" x14ac:dyDescent="0.2">
      <c r="A17" s="596" t="s">
        <v>103</v>
      </c>
      <c r="B17" s="676">
        <f>MC!C81</f>
        <v>0</v>
      </c>
      <c r="C17" s="800">
        <v>121.24</v>
      </c>
      <c r="D17" s="804">
        <v>85.67</v>
      </c>
      <c r="E17" s="804">
        <v>129.88999999999999</v>
      </c>
      <c r="F17" s="601">
        <v>16.649999999999999</v>
      </c>
      <c r="G17" s="809">
        <v>12</v>
      </c>
      <c r="H17" s="604">
        <v>0</v>
      </c>
      <c r="I17" s="604">
        <v>335</v>
      </c>
      <c r="J17" s="602" t="s">
        <v>429</v>
      </c>
      <c r="K17" s="806">
        <v>54.25</v>
      </c>
      <c r="L17" s="812">
        <v>54.25</v>
      </c>
      <c r="M17" s="196">
        <f t="shared" si="0"/>
        <v>0.49634843469661644</v>
      </c>
      <c r="N17" s="751">
        <v>1</v>
      </c>
      <c r="O17" s="752"/>
      <c r="P17" s="749" t="s">
        <v>429</v>
      </c>
      <c r="Q17" s="750" t="s">
        <v>429</v>
      </c>
      <c r="R17" s="520">
        <v>6</v>
      </c>
      <c r="S17" s="527">
        <v>6</v>
      </c>
      <c r="T17" s="841"/>
      <c r="U17" s="846"/>
      <c r="V17" s="145"/>
    </row>
    <row r="18" spans="1:1018" x14ac:dyDescent="0.2">
      <c r="A18" s="596" t="s">
        <v>105</v>
      </c>
      <c r="B18" s="676">
        <f>MC!C82</f>
        <v>0</v>
      </c>
      <c r="C18" s="800">
        <v>81.66</v>
      </c>
      <c r="D18" s="804">
        <v>34.479999999999997</v>
      </c>
      <c r="E18" s="804">
        <v>41.84</v>
      </c>
      <c r="F18" s="601">
        <v>7.05</v>
      </c>
      <c r="G18" s="804">
        <v>35</v>
      </c>
      <c r="H18" s="604">
        <v>0</v>
      </c>
      <c r="I18" s="601">
        <v>61</v>
      </c>
      <c r="J18" s="602" t="s">
        <v>429</v>
      </c>
      <c r="K18" s="806">
        <v>10.34</v>
      </c>
      <c r="L18" s="813">
        <v>10.34</v>
      </c>
      <c r="M18" s="196">
        <f t="shared" si="0"/>
        <v>0.23421693473193472</v>
      </c>
      <c r="N18" s="751">
        <v>1</v>
      </c>
      <c r="O18" s="752"/>
      <c r="P18" s="749" t="s">
        <v>429</v>
      </c>
      <c r="Q18" s="750" t="s">
        <v>429</v>
      </c>
      <c r="R18" s="520">
        <v>6</v>
      </c>
      <c r="S18" s="527">
        <v>6</v>
      </c>
      <c r="T18" s="841"/>
      <c r="U18" s="846"/>
      <c r="V18" s="145"/>
    </row>
    <row r="19" spans="1:1018" x14ac:dyDescent="0.2">
      <c r="A19" s="596" t="s">
        <v>107</v>
      </c>
      <c r="B19" s="676">
        <f>MC!C83</f>
        <v>0</v>
      </c>
      <c r="C19" s="800">
        <v>110.89</v>
      </c>
      <c r="D19" s="804">
        <v>26.86</v>
      </c>
      <c r="E19" s="806">
        <v>140.72999999999999</v>
      </c>
      <c r="F19" s="603">
        <v>24.27</v>
      </c>
      <c r="G19" s="809">
        <v>119.85</v>
      </c>
      <c r="H19" s="604">
        <v>1080</v>
      </c>
      <c r="I19" s="604">
        <v>739.76</v>
      </c>
      <c r="J19" s="602" t="s">
        <v>429</v>
      </c>
      <c r="K19" s="806">
        <v>116.27</v>
      </c>
      <c r="L19" s="813">
        <v>116.27</v>
      </c>
      <c r="M19" s="196">
        <f t="shared" si="0"/>
        <v>0.64388124125874135</v>
      </c>
      <c r="N19" s="751">
        <v>1</v>
      </c>
      <c r="O19" s="752"/>
      <c r="P19" s="749" t="s">
        <v>429</v>
      </c>
      <c r="Q19" s="750" t="s">
        <v>429</v>
      </c>
      <c r="R19" s="520">
        <v>6</v>
      </c>
      <c r="S19" s="527">
        <v>6</v>
      </c>
      <c r="T19" s="841"/>
      <c r="U19" s="846"/>
      <c r="V19" s="145"/>
    </row>
    <row r="20" spans="1:1018" s="145" customFormat="1" ht="12.75" x14ac:dyDescent="0.2">
      <c r="A20" s="596" t="s">
        <v>109</v>
      </c>
      <c r="B20" s="676">
        <f>MC!C84</f>
        <v>0</v>
      </c>
      <c r="C20" s="800">
        <v>110.89</v>
      </c>
      <c r="D20" s="804">
        <v>26.86</v>
      </c>
      <c r="E20" s="806">
        <v>140.72999999999999</v>
      </c>
      <c r="F20" s="603">
        <v>24.27</v>
      </c>
      <c r="G20" s="804">
        <v>498.5</v>
      </c>
      <c r="H20" s="601">
        <v>341.5</v>
      </c>
      <c r="I20" s="601">
        <v>207.92</v>
      </c>
      <c r="J20" s="602" t="s">
        <v>429</v>
      </c>
      <c r="K20" s="806">
        <v>116.27</v>
      </c>
      <c r="L20" s="813">
        <v>116.27</v>
      </c>
      <c r="M20" s="196">
        <f t="shared" si="0"/>
        <v>0.78776401903651905</v>
      </c>
      <c r="N20" s="751">
        <v>1</v>
      </c>
      <c r="O20" s="752"/>
      <c r="P20" s="749" t="s">
        <v>429</v>
      </c>
      <c r="Q20" s="750" t="s">
        <v>429</v>
      </c>
      <c r="R20" s="520">
        <v>6</v>
      </c>
      <c r="S20" s="527">
        <v>6</v>
      </c>
      <c r="T20" s="841"/>
      <c r="U20" s="846"/>
      <c r="ALR20" s="162"/>
      <c r="ALS20" s="162"/>
      <c r="ALT20" s="162"/>
      <c r="ALU20" s="162"/>
      <c r="ALV20" s="162"/>
      <c r="ALW20" s="162"/>
      <c r="ALX20" s="162"/>
      <c r="ALY20" s="162"/>
      <c r="ALZ20" s="162"/>
      <c r="AMA20" s="162"/>
      <c r="AMB20" s="162"/>
      <c r="AMC20" s="162"/>
      <c r="AMD20" s="162"/>
    </row>
    <row r="21" spans="1:1018" s="145" customFormat="1" ht="12.75" x14ac:dyDescent="0.2">
      <c r="A21" s="596" t="s">
        <v>111</v>
      </c>
      <c r="B21" s="676">
        <f>MC!C85</f>
        <v>0</v>
      </c>
      <c r="C21" s="800">
        <v>110.16</v>
      </c>
      <c r="D21" s="804">
        <v>26.86</v>
      </c>
      <c r="E21" s="804">
        <v>140.72999999999999</v>
      </c>
      <c r="F21" s="601">
        <v>24.27</v>
      </c>
      <c r="G21" s="809">
        <v>119.37</v>
      </c>
      <c r="H21" s="604">
        <v>201.51</v>
      </c>
      <c r="I21" s="604">
        <v>570.84</v>
      </c>
      <c r="J21" s="602" t="s">
        <v>429</v>
      </c>
      <c r="K21" s="806">
        <v>116.27</v>
      </c>
      <c r="L21" s="813">
        <v>116.27</v>
      </c>
      <c r="M21" s="196">
        <f t="shared" si="0"/>
        <v>0.6151482857031858</v>
      </c>
      <c r="N21" s="751">
        <v>1</v>
      </c>
      <c r="O21" s="752"/>
      <c r="P21" s="749" t="s">
        <v>429</v>
      </c>
      <c r="Q21" s="750" t="s">
        <v>429</v>
      </c>
      <c r="R21" s="521">
        <v>6</v>
      </c>
      <c r="S21" s="528">
        <v>6</v>
      </c>
      <c r="T21" s="842"/>
      <c r="U21" s="846"/>
      <c r="ALR21" s="162"/>
      <c r="ALS21" s="162"/>
      <c r="ALT21" s="162"/>
      <c r="ALU21" s="162"/>
      <c r="ALV21" s="162"/>
      <c r="ALW21" s="162"/>
      <c r="ALX21" s="162"/>
      <c r="ALY21" s="162"/>
      <c r="ALZ21" s="162"/>
      <c r="AMA21" s="162"/>
      <c r="AMB21" s="162"/>
      <c r="AMC21" s="162"/>
      <c r="AMD21" s="162"/>
    </row>
    <row r="22" spans="1:1018" s="145" customFormat="1" ht="12.75" x14ac:dyDescent="0.2">
      <c r="A22" s="597" t="s">
        <v>112</v>
      </c>
      <c r="B22" s="676">
        <f>MC!C86</f>
        <v>0</v>
      </c>
      <c r="C22" s="803">
        <v>110.16</v>
      </c>
      <c r="D22" s="808">
        <v>26.86</v>
      </c>
      <c r="E22" s="808">
        <v>140.72999999999999</v>
      </c>
      <c r="F22" s="605">
        <v>24.27</v>
      </c>
      <c r="G22" s="810">
        <v>186.47</v>
      </c>
      <c r="H22" s="606">
        <v>1345</v>
      </c>
      <c r="I22" s="606">
        <v>1041</v>
      </c>
      <c r="J22" s="607" t="s">
        <v>429</v>
      </c>
      <c r="K22" s="811">
        <v>116.27</v>
      </c>
      <c r="L22" s="814">
        <v>116.27</v>
      </c>
      <c r="M22" s="196">
        <f t="shared" si="0"/>
        <v>0.71610096348096364</v>
      </c>
      <c r="N22" s="753">
        <v>1</v>
      </c>
      <c r="O22" s="754"/>
      <c r="P22" s="755" t="s">
        <v>429</v>
      </c>
      <c r="Q22" s="750" t="s">
        <v>429</v>
      </c>
      <c r="R22" s="522">
        <v>6</v>
      </c>
      <c r="S22" s="529">
        <v>6</v>
      </c>
      <c r="T22" s="843"/>
      <c r="U22" s="847"/>
      <c r="ALR22" s="162"/>
      <c r="ALS22" s="162"/>
      <c r="ALT22" s="162"/>
      <c r="ALU22" s="162"/>
      <c r="ALV22" s="162"/>
      <c r="ALW22" s="162"/>
      <c r="ALX22" s="162"/>
      <c r="ALY22" s="162"/>
      <c r="ALZ22" s="162"/>
      <c r="AMA22" s="162"/>
      <c r="AMB22" s="162"/>
      <c r="AMC22" s="162"/>
      <c r="AMD22" s="162"/>
    </row>
    <row r="23" spans="1:1018" s="145" customFormat="1" ht="12.75" x14ac:dyDescent="0.2">
      <c r="A23" s="197" t="s">
        <v>430</v>
      </c>
      <c r="B23" s="197"/>
      <c r="C23" s="198">
        <f t="shared" ref="C23:U23" si="1">SUM(C4:C22)</f>
        <v>10338.129999999997</v>
      </c>
      <c r="D23" s="199">
        <f t="shared" si="1"/>
        <v>7146.6299999999974</v>
      </c>
      <c r="E23" s="199">
        <f t="shared" si="1"/>
        <v>4681.9099999999989</v>
      </c>
      <c r="F23" s="199">
        <f t="shared" si="1"/>
        <v>858.61999999999989</v>
      </c>
      <c r="G23" s="199">
        <f t="shared" si="1"/>
        <v>4991.62</v>
      </c>
      <c r="H23" s="199">
        <f t="shared" si="1"/>
        <v>14344.869999999999</v>
      </c>
      <c r="I23" s="199">
        <f t="shared" si="1"/>
        <v>5708.81</v>
      </c>
      <c r="J23" s="199">
        <f t="shared" si="1"/>
        <v>1661.71</v>
      </c>
      <c r="K23" s="199">
        <f t="shared" si="1"/>
        <v>2266.92</v>
      </c>
      <c r="L23" s="200">
        <f t="shared" si="1"/>
        <v>3928.6299999999997</v>
      </c>
      <c r="M23" s="201">
        <f t="shared" si="1"/>
        <v>31.963501885879779</v>
      </c>
      <c r="N23" s="202">
        <f t="shared" si="1"/>
        <v>7</v>
      </c>
      <c r="O23" s="202">
        <f t="shared" si="1"/>
        <v>26</v>
      </c>
      <c r="P23" s="608">
        <f t="shared" si="1"/>
        <v>5</v>
      </c>
      <c r="Q23" s="609">
        <f t="shared" si="1"/>
        <v>6</v>
      </c>
      <c r="R23" s="524">
        <f t="shared" si="1"/>
        <v>114</v>
      </c>
      <c r="S23" s="502">
        <f t="shared" si="1"/>
        <v>114</v>
      </c>
      <c r="T23" s="844">
        <f t="shared" si="1"/>
        <v>22</v>
      </c>
      <c r="U23" s="848">
        <f t="shared" si="1"/>
        <v>1</v>
      </c>
      <c r="ALR23" s="162"/>
      <c r="ALS23" s="162"/>
      <c r="ALT23" s="162"/>
      <c r="ALU23" s="162"/>
      <c r="ALV23" s="162"/>
      <c r="ALW23" s="162"/>
      <c r="ALX23" s="162"/>
      <c r="ALY23" s="162"/>
      <c r="ALZ23" s="162"/>
      <c r="AMA23" s="162"/>
      <c r="AMB23" s="162"/>
      <c r="AMC23" s="162"/>
      <c r="AMD23" s="162"/>
    </row>
    <row r="24" spans="1:1018" s="145" customFormat="1" ht="15" x14ac:dyDescent="0.25">
      <c r="A24" s="203" t="s">
        <v>431</v>
      </c>
      <c r="B24" s="172"/>
      <c r="C24" s="598">
        <v>800</v>
      </c>
      <c r="D24" s="599">
        <v>1500</v>
      </c>
      <c r="E24" s="599">
        <v>1000</v>
      </c>
      <c r="F24" s="599">
        <v>200</v>
      </c>
      <c r="G24" s="599">
        <v>1800</v>
      </c>
      <c r="H24" s="599">
        <v>100000</v>
      </c>
      <c r="I24" s="599">
        <v>9000</v>
      </c>
      <c r="J24" s="599">
        <v>160</v>
      </c>
      <c r="K24" s="599">
        <v>300</v>
      </c>
      <c r="L24" s="600">
        <v>300</v>
      </c>
      <c r="M24" s="204"/>
      <c r="N24" s="415" t="s">
        <v>432</v>
      </c>
      <c r="O24" s="413">
        <f>N23+O23</f>
        <v>33</v>
      </c>
      <c r="P24" s="610" t="s">
        <v>432</v>
      </c>
      <c r="Q24" s="414">
        <f>P23+Q23</f>
        <v>11</v>
      </c>
      <c r="R24" s="500"/>
      <c r="S24" s="500"/>
      <c r="T24" s="500"/>
      <c r="U24" s="174"/>
      <c r="V24" s="175"/>
      <c r="ALU24" s="175"/>
      <c r="ALV24" s="175"/>
      <c r="ALW24" s="175"/>
      <c r="ALX24" s="175"/>
      <c r="ALY24" s="175"/>
      <c r="ALZ24" s="175"/>
      <c r="AMA24" s="175"/>
      <c r="AMB24" s="175"/>
      <c r="AMC24" s="175"/>
      <c r="AMD24" s="175"/>
    </row>
    <row r="25" spans="1:1018" s="145" customFormat="1" ht="15" x14ac:dyDescent="0.25">
      <c r="A25" s="206" t="s">
        <v>433</v>
      </c>
      <c r="B25" s="206"/>
      <c r="C25" s="207">
        <f t="shared" ref="C25:I25" si="2">C23/C24</f>
        <v>12.922662499999996</v>
      </c>
      <c r="D25" s="208">
        <f t="shared" si="2"/>
        <v>4.7644199999999985</v>
      </c>
      <c r="E25" s="208">
        <f t="shared" si="2"/>
        <v>4.6819099999999993</v>
      </c>
      <c r="F25" s="208">
        <f t="shared" si="2"/>
        <v>4.293099999999999</v>
      </c>
      <c r="G25" s="208">
        <f t="shared" si="2"/>
        <v>2.7731222222222223</v>
      </c>
      <c r="H25" s="208">
        <f t="shared" si="2"/>
        <v>0.14344869999999998</v>
      </c>
      <c r="I25" s="208">
        <f t="shared" si="2"/>
        <v>0.63431222222222228</v>
      </c>
      <c r="J25" s="208">
        <f>1/J24*8*1/(30/7*44*6)*J23</f>
        <v>7.3434154040404057E-2</v>
      </c>
      <c r="K25" s="208">
        <f>1/K24*16*1/188.76*K23</f>
        <v>0.64050858232676422</v>
      </c>
      <c r="L25" s="209">
        <f>1/L24*16*1/188.76*L23</f>
        <v>1.1100176591085682</v>
      </c>
      <c r="M25" s="329">
        <f>SUM(C25:L25)-J25</f>
        <v>31.963501885879769</v>
      </c>
      <c r="N25" s="416" t="s">
        <v>434</v>
      </c>
      <c r="O25" s="414">
        <f>O23+(N23*0.85)</f>
        <v>31.95</v>
      </c>
      <c r="P25" s="205"/>
      <c r="Q25" s="174"/>
      <c r="R25" s="174"/>
      <c r="S25" s="174"/>
      <c r="T25" s="174"/>
      <c r="U25" s="174"/>
      <c r="V25" s="175"/>
      <c r="ALU25" s="175"/>
      <c r="ALV25" s="175"/>
      <c r="ALW25" s="175"/>
      <c r="ALX25" s="175"/>
      <c r="ALY25" s="175"/>
      <c r="ALZ25" s="175"/>
      <c r="AMA25" s="175"/>
      <c r="AMB25" s="175"/>
      <c r="AMC25" s="175"/>
      <c r="AMD25" s="175"/>
    </row>
    <row r="26" spans="1:1018" s="145" customFormat="1" ht="15" x14ac:dyDescent="0.25">
      <c r="A26" s="211" t="s">
        <v>435</v>
      </c>
      <c r="B26" s="211"/>
      <c r="C26" s="212">
        <f>C23/(M25*C24)</f>
        <v>0.40429432751574462</v>
      </c>
      <c r="D26" s="213">
        <f>D23/(M25*D24)</f>
        <v>0.14905813565142351</v>
      </c>
      <c r="E26" s="213">
        <f>E23/(M25*E24)</f>
        <v>0.14647675391501094</v>
      </c>
      <c r="F26" s="213">
        <f>F23/(M25*F24)</f>
        <v>0.1343125673565988</v>
      </c>
      <c r="G26" s="213">
        <f>G23/(M25*G24)</f>
        <v>8.6759023842981342E-2</v>
      </c>
      <c r="H26" s="213">
        <f>H23/(M25*H24)</f>
        <v>4.4878906107396832E-3</v>
      </c>
      <c r="I26" s="213">
        <f>I23/(M25*I24)</f>
        <v>1.9844891354111507E-2</v>
      </c>
      <c r="J26" s="213">
        <f>1/4*1/J24*8*1/1132.6*J23</f>
        <v>1.8339550591559249E-2</v>
      </c>
      <c r="K26" s="213">
        <f>1/M25*1/K24*16*1/188.76*K23</f>
        <v>2.0038748714505401E-2</v>
      </c>
      <c r="L26" s="214">
        <f>1/M25*1/L24*16*1/188.76*L23</f>
        <v>3.4727661038884187E-2</v>
      </c>
      <c r="M26" s="215">
        <f>SUM(C26:L26)-J26</f>
        <v>0.99999999999999989</v>
      </c>
      <c r="N26" s="174"/>
      <c r="O26" s="174"/>
      <c r="P26" s="174"/>
      <c r="Q26" s="174"/>
      <c r="R26" s="174"/>
      <c r="S26" s="174"/>
      <c r="T26" s="174"/>
      <c r="U26" s="175"/>
      <c r="V26" s="175"/>
      <c r="ALU26" s="175"/>
      <c r="ALV26" s="175"/>
      <c r="ALW26" s="175"/>
      <c r="ALX26" s="175"/>
      <c r="ALY26" s="175"/>
      <c r="ALZ26" s="175"/>
      <c r="AMA26" s="175"/>
      <c r="AMB26" s="175"/>
      <c r="AMC26" s="175"/>
      <c r="AMD26" s="175"/>
    </row>
    <row r="27" spans="1:1018" s="145" customFormat="1" ht="15" hidden="1" x14ac:dyDescent="0.25">
      <c r="A27" s="216" t="s">
        <v>436</v>
      </c>
      <c r="B27" s="216"/>
      <c r="C27" s="217">
        <f t="shared" ref="C27:I27" si="3">ROUND(1/C24,9)</f>
        <v>1.25E-3</v>
      </c>
      <c r="D27" s="218">
        <f t="shared" si="3"/>
        <v>6.6666700000000002E-4</v>
      </c>
      <c r="E27" s="218">
        <f t="shared" si="3"/>
        <v>1E-3</v>
      </c>
      <c r="F27" s="218">
        <f t="shared" si="3"/>
        <v>5.0000000000000001E-3</v>
      </c>
      <c r="G27" s="218">
        <f t="shared" si="3"/>
        <v>5.5555600000000002E-4</v>
      </c>
      <c r="H27" s="218">
        <f t="shared" si="3"/>
        <v>1.0000000000000001E-5</v>
      </c>
      <c r="I27" s="218">
        <f t="shared" si="3"/>
        <v>1.11111E-4</v>
      </c>
      <c r="J27" s="219">
        <f>(1/J24)*(1/L35)*8</f>
        <v>4.8611111111111115E-5</v>
      </c>
      <c r="K27" s="219">
        <f>(1/K24)*(1/L34)*16</f>
        <v>3.1111111111111113E-4</v>
      </c>
      <c r="L27" s="220">
        <f>(1/L24)*(1/L34)*16</f>
        <v>3.1111111111111113E-4</v>
      </c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ALU27" s="175"/>
      <c r="ALV27" s="175"/>
      <c r="ALW27" s="175"/>
      <c r="ALX27" s="175"/>
      <c r="ALY27" s="175"/>
      <c r="ALZ27" s="175"/>
      <c r="AMA27" s="175"/>
      <c r="AMB27" s="175"/>
      <c r="AMC27" s="175"/>
      <c r="AMD27" s="175"/>
    </row>
    <row r="28" spans="1:1018" s="145" customFormat="1" ht="15" hidden="1" x14ac:dyDescent="0.25">
      <c r="A28" s="221" t="s">
        <v>437</v>
      </c>
      <c r="B28" s="221"/>
      <c r="C28" s="222">
        <f t="shared" ref="C28:L28" si="4">C27/$U$23</f>
        <v>1.25E-3</v>
      </c>
      <c r="D28" s="223">
        <f t="shared" si="4"/>
        <v>6.6666700000000002E-4</v>
      </c>
      <c r="E28" s="223">
        <f t="shared" si="4"/>
        <v>1E-3</v>
      </c>
      <c r="F28" s="223">
        <f t="shared" si="4"/>
        <v>5.0000000000000001E-3</v>
      </c>
      <c r="G28" s="223">
        <f t="shared" si="4"/>
        <v>5.5555600000000002E-4</v>
      </c>
      <c r="H28" s="223">
        <f t="shared" si="4"/>
        <v>1.0000000000000001E-5</v>
      </c>
      <c r="I28" s="223">
        <f t="shared" si="4"/>
        <v>1.11111E-4</v>
      </c>
      <c r="J28" s="224">
        <f t="shared" si="4"/>
        <v>4.8611111111111115E-5</v>
      </c>
      <c r="K28" s="224">
        <f t="shared" si="4"/>
        <v>3.1111111111111113E-4</v>
      </c>
      <c r="L28" s="225">
        <f t="shared" si="4"/>
        <v>3.1111111111111113E-4</v>
      </c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ALU28" s="175"/>
      <c r="ALV28" s="175"/>
      <c r="ALW28" s="175"/>
      <c r="ALX28" s="175"/>
      <c r="ALY28" s="175"/>
      <c r="ALZ28" s="175"/>
      <c r="AMA28" s="175"/>
      <c r="AMB28" s="175"/>
      <c r="AMC28" s="175"/>
      <c r="AMD28" s="175"/>
    </row>
    <row r="29" spans="1:1018" s="145" customFormat="1" ht="15" hidden="1" x14ac:dyDescent="0.25">
      <c r="A29" s="226" t="s">
        <v>438</v>
      </c>
      <c r="B29" s="226"/>
      <c r="C29" s="227" t="s">
        <v>439</v>
      </c>
      <c r="D29" s="228" t="s">
        <v>440</v>
      </c>
      <c r="E29" s="228" t="s">
        <v>441</v>
      </c>
      <c r="F29" s="228" t="s">
        <v>442</v>
      </c>
      <c r="G29" s="229" t="s">
        <v>443</v>
      </c>
      <c r="H29" s="229" t="s">
        <v>443</v>
      </c>
      <c r="I29" s="229" t="s">
        <v>444</v>
      </c>
      <c r="J29" s="230" t="s">
        <v>445</v>
      </c>
      <c r="K29" s="230" t="s">
        <v>446</v>
      </c>
      <c r="L29" s="231" t="s">
        <v>446</v>
      </c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ALU29" s="175"/>
      <c r="ALV29" s="175"/>
      <c r="ALW29" s="175"/>
      <c r="ALX29" s="175"/>
      <c r="ALY29" s="175"/>
      <c r="ALZ29" s="175"/>
      <c r="AMA29" s="175"/>
      <c r="AMB29" s="175"/>
      <c r="AMC29" s="175"/>
      <c r="AMD29" s="175"/>
    </row>
    <row r="30" spans="1:1018" s="145" customFormat="1" ht="15" hidden="1" x14ac:dyDescent="0.25">
      <c r="A30" s="232"/>
      <c r="B30" s="232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ALR30" s="162"/>
      <c r="ALS30" s="162"/>
      <c r="ALT30" s="162"/>
      <c r="ALU30" s="162"/>
      <c r="ALV30" s="162"/>
      <c r="ALW30" s="162"/>
      <c r="ALX30" s="162"/>
      <c r="ALY30" s="162"/>
      <c r="ALZ30" s="162"/>
      <c r="AMA30" s="162"/>
      <c r="AMB30" s="162"/>
      <c r="AMC30" s="162"/>
      <c r="AMD30" s="162"/>
    </row>
    <row r="31" spans="1:1018" s="145" customFormat="1" ht="15" x14ac:dyDescent="0.25">
      <c r="A31" s="233" t="s">
        <v>438</v>
      </c>
      <c r="B31" s="675"/>
      <c r="C31" s="228" t="s">
        <v>439</v>
      </c>
      <c r="D31" s="228" t="s">
        <v>440</v>
      </c>
      <c r="E31" s="228" t="s">
        <v>441</v>
      </c>
      <c r="F31" s="228" t="s">
        <v>442</v>
      </c>
      <c r="G31" s="229" t="s">
        <v>443</v>
      </c>
      <c r="H31" s="234">
        <v>100000</v>
      </c>
      <c r="I31" s="229" t="s">
        <v>444</v>
      </c>
      <c r="J31" s="229" t="s">
        <v>445</v>
      </c>
      <c r="K31" s="230" t="s">
        <v>446</v>
      </c>
      <c r="L31" s="231" t="s">
        <v>446</v>
      </c>
      <c r="M31" s="175"/>
      <c r="N31" s="175"/>
      <c r="O31" s="175"/>
      <c r="P31" s="175"/>
      <c r="Q31" s="175"/>
      <c r="R31" s="175"/>
      <c r="S31" s="175"/>
      <c r="T31" s="175"/>
      <c r="U31" s="175"/>
      <c r="ALR31" s="162"/>
      <c r="ALS31" s="162"/>
      <c r="ALT31" s="162"/>
      <c r="ALU31" s="162"/>
      <c r="ALV31" s="162"/>
      <c r="ALW31" s="162"/>
      <c r="ALX31" s="162"/>
      <c r="ALY31" s="162"/>
      <c r="ALZ31" s="162"/>
      <c r="AMA31" s="162"/>
      <c r="AMB31" s="162"/>
      <c r="AMC31" s="162"/>
      <c r="AMD31" s="162"/>
    </row>
    <row r="32" spans="1:1018" s="145" customFormat="1" ht="15" hidden="1" x14ac:dyDescent="0.25">
      <c r="A32" s="235"/>
      <c r="B32" s="23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ALR32" s="162"/>
      <c r="ALS32" s="162"/>
      <c r="ALT32" s="162"/>
      <c r="ALU32" s="162"/>
      <c r="ALV32" s="162"/>
      <c r="ALW32" s="162"/>
      <c r="ALX32" s="162"/>
      <c r="ALY32" s="162"/>
      <c r="ALZ32" s="162"/>
      <c r="AMA32" s="162"/>
      <c r="AMB32" s="162"/>
      <c r="AMC32" s="162"/>
      <c r="AMD32" s="162"/>
    </row>
    <row r="33" spans="1:1018" s="145" customFormat="1" ht="15" hidden="1" x14ac:dyDescent="0.2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ALR33" s="162"/>
      <c r="ALS33" s="162"/>
      <c r="ALT33" s="162"/>
      <c r="ALU33" s="162"/>
      <c r="ALV33" s="162"/>
      <c r="ALW33" s="162"/>
      <c r="ALX33" s="162"/>
      <c r="ALY33" s="162"/>
      <c r="ALZ33" s="162"/>
      <c r="AMA33" s="162"/>
      <c r="AMB33" s="162"/>
      <c r="AMC33" s="162"/>
      <c r="AMD33" s="162"/>
    </row>
    <row r="34" spans="1:1018" s="145" customFormat="1" ht="15" hidden="1" x14ac:dyDescent="0.25">
      <c r="A34" s="175"/>
      <c r="B34" s="175"/>
      <c r="C34" s="175"/>
      <c r="D34" s="175"/>
      <c r="E34" s="175"/>
      <c r="F34" s="175"/>
      <c r="G34" s="175"/>
      <c r="H34" s="175"/>
      <c r="I34" s="175"/>
      <c r="J34" s="84">
        <f>30/7</f>
        <v>4.2857142857142856</v>
      </c>
      <c r="K34" s="84">
        <v>40</v>
      </c>
      <c r="L34" s="84">
        <f>J34*K34</f>
        <v>171.42857142857142</v>
      </c>
      <c r="M34" s="84"/>
      <c r="N34" s="84"/>
      <c r="O34" s="84"/>
      <c r="P34" s="84"/>
      <c r="Q34" s="84"/>
      <c r="R34" s="84"/>
      <c r="S34" s="84"/>
      <c r="T34" s="84"/>
      <c r="U34" s="84"/>
      <c r="ALR34" s="162"/>
      <c r="ALS34" s="162"/>
      <c r="ALT34" s="162"/>
      <c r="ALU34" s="162"/>
      <c r="ALV34" s="162"/>
      <c r="ALW34" s="162"/>
      <c r="ALX34" s="162"/>
      <c r="ALY34" s="162"/>
      <c r="ALZ34" s="162"/>
      <c r="AMA34" s="162"/>
      <c r="AMB34" s="162"/>
      <c r="AMC34" s="162"/>
      <c r="AMD34" s="162"/>
    </row>
    <row r="35" spans="1:1018" s="145" customFormat="1" ht="15" hidden="1" x14ac:dyDescent="0.25">
      <c r="A35" s="175"/>
      <c r="B35" s="175"/>
      <c r="C35" s="175"/>
      <c r="D35" s="175"/>
      <c r="E35" s="175"/>
      <c r="F35" s="175"/>
      <c r="G35" s="175"/>
      <c r="H35" s="175"/>
      <c r="I35" s="175"/>
      <c r="J35" s="84"/>
      <c r="K35" s="84"/>
      <c r="L35" s="84">
        <f>L34*6</f>
        <v>1028.5714285714284</v>
      </c>
      <c r="M35" s="84" t="s">
        <v>447</v>
      </c>
      <c r="N35" s="84"/>
      <c r="O35" s="84"/>
      <c r="P35" s="84"/>
      <c r="Q35" s="84"/>
      <c r="R35" s="84"/>
      <c r="S35" s="84"/>
      <c r="T35" s="84"/>
      <c r="U35" s="84"/>
      <c r="ALR35" s="162"/>
      <c r="ALS35" s="162"/>
      <c r="ALT35" s="162"/>
      <c r="ALU35" s="162"/>
      <c r="ALV35" s="162"/>
      <c r="ALW35" s="162"/>
      <c r="ALX35" s="162"/>
      <c r="ALY35" s="162"/>
      <c r="ALZ35" s="162"/>
      <c r="AMA35" s="162"/>
      <c r="AMB35" s="162"/>
      <c r="AMC35" s="162"/>
      <c r="AMD35" s="162"/>
    </row>
    <row r="36" spans="1:1018" hidden="1" x14ac:dyDescent="0.2"/>
    <row r="42" spans="1:1018" hidden="1" x14ac:dyDescent="0.2"/>
    <row r="43" spans="1:1018" hidden="1" x14ac:dyDescent="0.2"/>
  </sheetData>
  <mergeCells count="19">
    <mergeCell ref="M2:M3"/>
    <mergeCell ref="R1:T1"/>
    <mergeCell ref="N2:O2"/>
    <mergeCell ref="P2:Q2"/>
    <mergeCell ref="A2:A3"/>
    <mergeCell ref="C2:C3"/>
    <mergeCell ref="D2:D3"/>
    <mergeCell ref="E2:E3"/>
    <mergeCell ref="F2:F3"/>
    <mergeCell ref="B2:B3"/>
    <mergeCell ref="C1:F1"/>
    <mergeCell ref="G1:I1"/>
    <mergeCell ref="J1:L1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G192"/>
  <sheetViews>
    <sheetView zoomScale="80" zoomScaleNormal="80" workbookViewId="0">
      <pane xSplit="2" ySplit="10" topLeftCell="C62" activePane="bottomRight" state="frozen"/>
      <selection pane="topRight"/>
      <selection pane="bottomLeft"/>
      <selection pane="bottomRight" activeCell="F90" sqref="F90"/>
    </sheetView>
  </sheetViews>
  <sheetFormatPr defaultRowHeight="14.25" x14ac:dyDescent="0.2"/>
  <cols>
    <col min="1" max="1" width="58.125" style="84"/>
    <col min="2" max="2" width="15.375" style="84"/>
    <col min="3" max="5" width="14.5" style="84"/>
    <col min="6" max="6" width="15.75" style="84"/>
    <col min="7" max="7" width="13" style="84"/>
    <col min="8" max="8" width="15.625" style="84"/>
    <col min="9" max="9" width="10.5" style="84"/>
    <col min="10" max="10" width="15.125" style="84"/>
    <col min="11" max="11" width="10.5" style="84"/>
    <col min="12" max="12" width="14.25" style="84"/>
    <col min="13" max="1021" width="10.5" style="84"/>
    <col min="1022" max="1025" width="10.5"/>
  </cols>
  <sheetData>
    <row r="1" spans="1:6" ht="15.75" x14ac:dyDescent="0.2">
      <c r="A1" s="1010" t="s">
        <v>449</v>
      </c>
      <c r="B1" s="1010"/>
      <c r="C1" s="1010"/>
      <c r="D1" s="1010"/>
      <c r="E1" s="1010"/>
      <c r="F1" s="1010"/>
    </row>
    <row r="2" spans="1:6" ht="15.75" x14ac:dyDescent="0.2">
      <c r="A2" s="1011" t="s">
        <v>450</v>
      </c>
      <c r="B2" s="1011"/>
      <c r="C2" s="1011"/>
      <c r="D2" s="1011"/>
      <c r="E2" s="1011"/>
      <c r="F2" s="1011"/>
    </row>
    <row r="3" spans="1:6" ht="15.75" customHeight="1" x14ac:dyDescent="0.2">
      <c r="A3" s="1011" t="s">
        <v>451</v>
      </c>
      <c r="B3" s="1011"/>
      <c r="C3" s="1011"/>
      <c r="D3" s="1011"/>
      <c r="E3" s="1011"/>
      <c r="F3" s="1011"/>
    </row>
    <row r="4" spans="1:6" ht="15.75" x14ac:dyDescent="0.2">
      <c r="A4" s="85"/>
      <c r="B4" s="86"/>
      <c r="C4" s="87" t="s">
        <v>452</v>
      </c>
      <c r="D4" s="236" t="s">
        <v>453</v>
      </c>
      <c r="E4" s="237" t="s">
        <v>454</v>
      </c>
      <c r="F4" s="237" t="s">
        <v>455</v>
      </c>
    </row>
    <row r="5" spans="1:6" x14ac:dyDescent="0.2">
      <c r="A5" s="88"/>
      <c r="B5" s="89" t="s">
        <v>456</v>
      </c>
      <c r="C5" s="90">
        <f>MC!D11</f>
        <v>0</v>
      </c>
      <c r="D5" s="238">
        <f>MC!E11</f>
        <v>0</v>
      </c>
      <c r="E5" s="239">
        <f>MC!C11</f>
        <v>0</v>
      </c>
      <c r="F5" s="239">
        <f>MC!D12</f>
        <v>0</v>
      </c>
    </row>
    <row r="6" spans="1:6" x14ac:dyDescent="0.2">
      <c r="A6" s="88"/>
      <c r="B6" s="89" t="s">
        <v>457</v>
      </c>
      <c r="C6" s="91">
        <f>MC!D8</f>
        <v>0</v>
      </c>
      <c r="D6" s="240">
        <f>MC!D8</f>
        <v>0</v>
      </c>
      <c r="E6" s="241">
        <f>MC!D8</f>
        <v>0</v>
      </c>
      <c r="F6" s="241">
        <f>MC!D8</f>
        <v>0</v>
      </c>
    </row>
    <row r="7" spans="1:6" x14ac:dyDescent="0.2">
      <c r="A7" s="88"/>
      <c r="B7" s="89" t="s">
        <v>458</v>
      </c>
      <c r="C7" s="91">
        <f>MC!C8</f>
        <v>0</v>
      </c>
      <c r="D7" s="240">
        <f>MC!C8</f>
        <v>0</v>
      </c>
      <c r="E7" s="241">
        <f>MC!C8</f>
        <v>0</v>
      </c>
      <c r="F7" s="241">
        <f>MC!C8</f>
        <v>0</v>
      </c>
    </row>
    <row r="8" spans="1:6" x14ac:dyDescent="0.2">
      <c r="A8" s="88"/>
      <c r="B8" s="89" t="s">
        <v>459</v>
      </c>
      <c r="C8" s="92">
        <f>MC!E8</f>
        <v>0</v>
      </c>
      <c r="D8" s="242">
        <f>MC!E8</f>
        <v>0</v>
      </c>
      <c r="E8" s="243">
        <f>MC!E8</f>
        <v>0</v>
      </c>
      <c r="F8" s="243">
        <f>MC!E8</f>
        <v>0</v>
      </c>
    </row>
    <row r="9" spans="1:6" x14ac:dyDescent="0.2">
      <c r="A9" s="1012"/>
      <c r="B9" s="1012"/>
      <c r="C9" s="1012"/>
      <c r="D9" s="1012"/>
      <c r="E9" s="1012"/>
      <c r="F9" s="1012"/>
    </row>
    <row r="10" spans="1:6" ht="66.75" customHeight="1" x14ac:dyDescent="0.2">
      <c r="A10" s="244" t="s">
        <v>460</v>
      </c>
      <c r="B10" s="245" t="s">
        <v>461</v>
      </c>
      <c r="C10" s="245" t="s">
        <v>462</v>
      </c>
      <c r="D10" s="322" t="s">
        <v>463</v>
      </c>
      <c r="E10" s="245" t="s">
        <v>464</v>
      </c>
      <c r="F10" s="245" t="s">
        <v>465</v>
      </c>
    </row>
    <row r="11" spans="1:6" ht="14.25" customHeight="1" x14ac:dyDescent="0.2">
      <c r="A11" s="395" t="s">
        <v>466</v>
      </c>
      <c r="B11" s="395"/>
      <c r="C11" s="395"/>
      <c r="D11" s="395"/>
      <c r="E11" s="395"/>
      <c r="F11" s="395"/>
    </row>
    <row r="12" spans="1:6" ht="15.75" customHeight="1" x14ac:dyDescent="0.2">
      <c r="A12" s="93" t="s">
        <v>467</v>
      </c>
      <c r="B12" s="94" t="s">
        <v>468</v>
      </c>
      <c r="C12" s="94" t="s">
        <v>469</v>
      </c>
      <c r="D12" s="94" t="s">
        <v>469</v>
      </c>
      <c r="E12" s="246"/>
      <c r="F12" s="95" t="s">
        <v>469</v>
      </c>
    </row>
    <row r="13" spans="1:6" ht="15.75" customHeight="1" x14ac:dyDescent="0.2">
      <c r="A13" s="96" t="s">
        <v>470</v>
      </c>
      <c r="B13" s="97"/>
      <c r="C13" s="98">
        <f>C5</f>
        <v>0</v>
      </c>
      <c r="D13" s="247">
        <f>D5</f>
        <v>0</v>
      </c>
      <c r="E13" s="247">
        <f>E5</f>
        <v>0</v>
      </c>
      <c r="F13" s="99">
        <f>F5</f>
        <v>0</v>
      </c>
    </row>
    <row r="14" spans="1:6" ht="15.75" customHeight="1" x14ac:dyDescent="0.2">
      <c r="A14" s="96" t="s">
        <v>471</v>
      </c>
      <c r="B14" s="100">
        <v>0</v>
      </c>
      <c r="C14" s="98">
        <f>C13*$B$14</f>
        <v>0</v>
      </c>
      <c r="D14" s="98">
        <f>D13*$B$14</f>
        <v>0</v>
      </c>
      <c r="E14" s="98">
        <f>E13*$B$14</f>
        <v>0</v>
      </c>
      <c r="F14" s="99">
        <f>F13*$B$14</f>
        <v>0</v>
      </c>
    </row>
    <row r="15" spans="1:6" ht="15.75" customHeight="1" x14ac:dyDescent="0.2">
      <c r="A15" s="96" t="s">
        <v>472</v>
      </c>
      <c r="B15" s="101"/>
      <c r="C15" s="98"/>
      <c r="D15" s="247"/>
      <c r="E15" s="247"/>
      <c r="F15" s="99"/>
    </row>
    <row r="16" spans="1:6" ht="15.75" customHeight="1" x14ac:dyDescent="0.2">
      <c r="A16" s="96" t="s">
        <v>473</v>
      </c>
      <c r="B16" s="101"/>
      <c r="C16" s="98"/>
      <c r="D16" s="247"/>
      <c r="E16" s="247"/>
      <c r="F16" s="99"/>
    </row>
    <row r="17" spans="1:6" ht="15.75" customHeight="1" x14ac:dyDescent="0.2">
      <c r="A17" s="96" t="s">
        <v>474</v>
      </c>
      <c r="B17" s="101"/>
      <c r="C17" s="98"/>
      <c r="D17" s="247"/>
      <c r="E17" s="247"/>
      <c r="F17" s="99"/>
    </row>
    <row r="18" spans="1:6" ht="15.75" customHeight="1" x14ac:dyDescent="0.2">
      <c r="A18" s="96" t="s">
        <v>475</v>
      </c>
      <c r="B18" s="102"/>
      <c r="C18" s="98"/>
      <c r="D18" s="98"/>
      <c r="E18" s="247">
        <f>MC!C13</f>
        <v>0</v>
      </c>
      <c r="F18" s="99"/>
    </row>
    <row r="19" spans="1:6" ht="15.75" customHeight="1" x14ac:dyDescent="0.2">
      <c r="A19" s="103" t="s">
        <v>476</v>
      </c>
      <c r="B19" s="104"/>
      <c r="C19" s="113">
        <f>SUM(C13:C18)</f>
        <v>0</v>
      </c>
      <c r="D19" s="248">
        <f>SUM(D13:D18)</f>
        <v>0</v>
      </c>
      <c r="E19" s="248">
        <f>SUM(E13:E18)</f>
        <v>0</v>
      </c>
      <c r="F19" s="114">
        <f>SUM(F13:F18)</f>
        <v>0</v>
      </c>
    </row>
    <row r="20" spans="1:6" ht="15.75" customHeight="1" x14ac:dyDescent="0.2">
      <c r="A20" s="1013"/>
      <c r="B20" s="1013"/>
      <c r="C20" s="106"/>
      <c r="D20" s="249"/>
      <c r="E20" s="249"/>
      <c r="F20" s="107"/>
    </row>
    <row r="21" spans="1:6" ht="14.25" customHeight="1" x14ac:dyDescent="0.2">
      <c r="A21" s="1014" t="s">
        <v>477</v>
      </c>
      <c r="B21" s="1014"/>
      <c r="C21" s="1014"/>
      <c r="D21" s="1014"/>
      <c r="E21" s="1014"/>
      <c r="F21" s="1014"/>
    </row>
    <row r="22" spans="1:6" ht="28.35" customHeight="1" x14ac:dyDescent="0.2">
      <c r="A22" s="108" t="s">
        <v>478</v>
      </c>
      <c r="B22" s="109" t="s">
        <v>468</v>
      </c>
      <c r="C22" s="109" t="s">
        <v>469</v>
      </c>
      <c r="D22" s="109" t="s">
        <v>469</v>
      </c>
      <c r="E22" s="109" t="s">
        <v>469</v>
      </c>
      <c r="F22" s="110" t="s">
        <v>469</v>
      </c>
    </row>
    <row r="23" spans="1:6" ht="15.75" customHeight="1" x14ac:dyDescent="0.2">
      <c r="A23" s="111" t="s">
        <v>479</v>
      </c>
      <c r="B23" s="100">
        <f>1/12</f>
        <v>8.3333333333333329E-2</v>
      </c>
      <c r="C23" s="98">
        <f>ROUND($B23*C$19,2)</f>
        <v>0</v>
      </c>
      <c r="D23" s="98">
        <f>ROUND($B23*D$19,2)</f>
        <v>0</v>
      </c>
      <c r="E23" s="98">
        <f>ROUND($B23*E$19,2)</f>
        <v>0</v>
      </c>
      <c r="F23" s="99">
        <f>ROUND($B23*F$19,2)</f>
        <v>0</v>
      </c>
    </row>
    <row r="24" spans="1:6" x14ac:dyDescent="0.2">
      <c r="A24" s="111" t="s">
        <v>480</v>
      </c>
      <c r="B24" s="100">
        <f>1/3*1/12</f>
        <v>2.7777777777777776E-2</v>
      </c>
      <c r="C24" s="98">
        <f>C$19*$B$24</f>
        <v>0</v>
      </c>
      <c r="D24" s="98">
        <f>D$19*$B$24</f>
        <v>0</v>
      </c>
      <c r="E24" s="98">
        <f>E$19*$B$24</f>
        <v>0</v>
      </c>
      <c r="F24" s="99">
        <f>F$19*$B$24</f>
        <v>0</v>
      </c>
    </row>
    <row r="25" spans="1:6" ht="14.25" customHeight="1" x14ac:dyDescent="0.2">
      <c r="A25" s="103" t="s">
        <v>476</v>
      </c>
      <c r="B25" s="112">
        <f>SUM(B23:B24)</f>
        <v>0.1111111111111111</v>
      </c>
      <c r="C25" s="113">
        <f>SUM(C23:C24)</f>
        <v>0</v>
      </c>
      <c r="D25" s="113">
        <f>SUM(D23:D24)</f>
        <v>0</v>
      </c>
      <c r="E25" s="113">
        <f>SUM(E23:E24)</f>
        <v>0</v>
      </c>
      <c r="F25" s="114">
        <f>SUM(F23:F24)</f>
        <v>0</v>
      </c>
    </row>
    <row r="26" spans="1:6" x14ac:dyDescent="0.2">
      <c r="A26" s="108" t="s">
        <v>481</v>
      </c>
      <c r="B26" s="109" t="s">
        <v>468</v>
      </c>
      <c r="C26" s="109" t="s">
        <v>469</v>
      </c>
      <c r="D26" s="109" t="s">
        <v>469</v>
      </c>
      <c r="E26" s="109" t="s">
        <v>469</v>
      </c>
      <c r="F26" s="110" t="s">
        <v>469</v>
      </c>
    </row>
    <row r="27" spans="1:6" ht="15.75" customHeight="1" x14ac:dyDescent="0.2">
      <c r="A27" s="108" t="s">
        <v>482</v>
      </c>
      <c r="B27" s="115"/>
      <c r="C27" s="115"/>
      <c r="D27" s="115"/>
      <c r="E27" s="250"/>
      <c r="F27" s="116"/>
    </row>
    <row r="28" spans="1:6" ht="14.25" customHeight="1" x14ac:dyDescent="0.2">
      <c r="A28" s="111" t="s">
        <v>483</v>
      </c>
      <c r="B28" s="100">
        <v>0.2</v>
      </c>
      <c r="C28" s="117">
        <f t="shared" ref="C28:C35" si="0">ROUND(($C$19+$C$25)*B28,2)</f>
        <v>0</v>
      </c>
      <c r="D28" s="117">
        <f t="shared" ref="D28:D35" si="1">ROUND(($D$19+$D$25)*B28,2)</f>
        <v>0</v>
      </c>
      <c r="E28" s="117">
        <f t="shared" ref="E28:E35" si="2">ROUND(($E$19+$E$25)*B28,2)</f>
        <v>0</v>
      </c>
      <c r="F28" s="118">
        <f t="shared" ref="F28:F35" si="3">ROUND(($F$19+$F$25)*B28,2)</f>
        <v>0</v>
      </c>
    </row>
    <row r="29" spans="1:6" ht="15.75" customHeight="1" x14ac:dyDescent="0.2">
      <c r="A29" s="111" t="s">
        <v>484</v>
      </c>
      <c r="B29" s="100">
        <v>2.5000000000000001E-2</v>
      </c>
      <c r="C29" s="117">
        <f t="shared" si="0"/>
        <v>0</v>
      </c>
      <c r="D29" s="117">
        <f t="shared" si="1"/>
        <v>0</v>
      </c>
      <c r="E29" s="117">
        <f t="shared" si="2"/>
        <v>0</v>
      </c>
      <c r="F29" s="118">
        <f t="shared" si="3"/>
        <v>0</v>
      </c>
    </row>
    <row r="30" spans="1:6" ht="15.75" customHeight="1" x14ac:dyDescent="0.2">
      <c r="A30" s="111" t="s">
        <v>485</v>
      </c>
      <c r="B30" s="100">
        <v>0.03</v>
      </c>
      <c r="C30" s="117">
        <f t="shared" si="0"/>
        <v>0</v>
      </c>
      <c r="D30" s="117">
        <f t="shared" si="1"/>
        <v>0</v>
      </c>
      <c r="E30" s="117">
        <f t="shared" si="2"/>
        <v>0</v>
      </c>
      <c r="F30" s="118">
        <f t="shared" si="3"/>
        <v>0</v>
      </c>
    </row>
    <row r="31" spans="1:6" ht="15.75" customHeight="1" x14ac:dyDescent="0.2">
      <c r="A31" s="111" t="s">
        <v>486</v>
      </c>
      <c r="B31" s="100">
        <v>1.4999999999999999E-2</v>
      </c>
      <c r="C31" s="117">
        <f t="shared" si="0"/>
        <v>0</v>
      </c>
      <c r="D31" s="117">
        <f t="shared" si="1"/>
        <v>0</v>
      </c>
      <c r="E31" s="117">
        <f t="shared" si="2"/>
        <v>0</v>
      </c>
      <c r="F31" s="118">
        <f t="shared" si="3"/>
        <v>0</v>
      </c>
    </row>
    <row r="32" spans="1:6" ht="15.75" customHeight="1" x14ac:dyDescent="0.2">
      <c r="A32" s="111" t="s">
        <v>487</v>
      </c>
      <c r="B32" s="100">
        <v>0.01</v>
      </c>
      <c r="C32" s="117">
        <f t="shared" si="0"/>
        <v>0</v>
      </c>
      <c r="D32" s="117">
        <f t="shared" si="1"/>
        <v>0</v>
      </c>
      <c r="E32" s="117">
        <f t="shared" si="2"/>
        <v>0</v>
      </c>
      <c r="F32" s="118">
        <f t="shared" si="3"/>
        <v>0</v>
      </c>
    </row>
    <row r="33" spans="1:6" ht="15.75" customHeight="1" x14ac:dyDescent="0.2">
      <c r="A33" s="111" t="s">
        <v>488</v>
      </c>
      <c r="B33" s="100">
        <v>6.0000000000000001E-3</v>
      </c>
      <c r="C33" s="117">
        <f t="shared" si="0"/>
        <v>0</v>
      </c>
      <c r="D33" s="117">
        <f t="shared" si="1"/>
        <v>0</v>
      </c>
      <c r="E33" s="117">
        <f t="shared" si="2"/>
        <v>0</v>
      </c>
      <c r="F33" s="118">
        <f t="shared" si="3"/>
        <v>0</v>
      </c>
    </row>
    <row r="34" spans="1:6" ht="15.75" customHeight="1" x14ac:dyDescent="0.2">
      <c r="A34" s="111" t="s">
        <v>489</v>
      </c>
      <c r="B34" s="100">
        <v>2E-3</v>
      </c>
      <c r="C34" s="117">
        <f t="shared" si="0"/>
        <v>0</v>
      </c>
      <c r="D34" s="117">
        <f t="shared" si="1"/>
        <v>0</v>
      </c>
      <c r="E34" s="117">
        <f t="shared" si="2"/>
        <v>0</v>
      </c>
      <c r="F34" s="118">
        <f t="shared" si="3"/>
        <v>0</v>
      </c>
    </row>
    <row r="35" spans="1:6" ht="15.75" customHeight="1" x14ac:dyDescent="0.2">
      <c r="A35" s="111" t="s">
        <v>490</v>
      </c>
      <c r="B35" s="100">
        <v>0.08</v>
      </c>
      <c r="C35" s="117">
        <f t="shared" si="0"/>
        <v>0</v>
      </c>
      <c r="D35" s="117">
        <f t="shared" si="1"/>
        <v>0</v>
      </c>
      <c r="E35" s="117">
        <f t="shared" si="2"/>
        <v>0</v>
      </c>
      <c r="F35" s="118">
        <f t="shared" si="3"/>
        <v>0</v>
      </c>
    </row>
    <row r="36" spans="1:6" ht="15.75" customHeight="1" x14ac:dyDescent="0.2">
      <c r="A36" s="103" t="s">
        <v>476</v>
      </c>
      <c r="B36" s="112">
        <f>SUM(B28:B35)</f>
        <v>0.36800000000000005</v>
      </c>
      <c r="C36" s="113">
        <f>SUM(C27:C35)</f>
        <v>0</v>
      </c>
      <c r="D36" s="113">
        <f>SUM(D27:D35)</f>
        <v>0</v>
      </c>
      <c r="E36" s="248">
        <f>SUM(E28:E35)</f>
        <v>0</v>
      </c>
      <c r="F36" s="114">
        <f>SUM(F27:F35)</f>
        <v>0</v>
      </c>
    </row>
    <row r="37" spans="1:6" ht="15.75" customHeight="1" x14ac:dyDescent="0.2">
      <c r="A37" s="108" t="s">
        <v>491</v>
      </c>
      <c r="B37" s="109" t="s">
        <v>492</v>
      </c>
      <c r="C37" s="109" t="s">
        <v>469</v>
      </c>
      <c r="D37" s="109" t="s">
        <v>469</v>
      </c>
      <c r="E37" s="109" t="s">
        <v>469</v>
      </c>
      <c r="F37" s="110" t="s">
        <v>469</v>
      </c>
    </row>
    <row r="38" spans="1:6" ht="15.75" customHeight="1" x14ac:dyDescent="0.2">
      <c r="A38" s="111" t="s">
        <v>493</v>
      </c>
      <c r="B38" s="119">
        <f>MC!D88</f>
        <v>0</v>
      </c>
      <c r="C38" s="98">
        <f>ROUND(((2*22*$B$38)-0.06*C$13),2)</f>
        <v>0</v>
      </c>
      <c r="D38" s="98">
        <f>ROUND(((2*22*$B$38)-0.06*D$13),2)</f>
        <v>0</v>
      </c>
      <c r="E38" s="98">
        <f>ROUND(((2*22*$B$38)-0.06*E$13),2)</f>
        <v>0</v>
      </c>
      <c r="F38" s="98">
        <f>ROUND(((2*22*$B$38)-0.06*F$13),2)</f>
        <v>0</v>
      </c>
    </row>
    <row r="39" spans="1:6" ht="15.75" customHeight="1" x14ac:dyDescent="0.2">
      <c r="A39" s="111" t="s">
        <v>494</v>
      </c>
      <c r="B39" s="120"/>
      <c r="C39" s="117">
        <f>MC!E16</f>
        <v>0</v>
      </c>
      <c r="D39" s="117">
        <f>MC!E17</f>
        <v>0</v>
      </c>
      <c r="E39" s="117">
        <f>MC!E16</f>
        <v>0</v>
      </c>
      <c r="F39" s="117">
        <f>MC!E16</f>
        <v>0</v>
      </c>
    </row>
    <row r="40" spans="1:6" ht="15.75" customHeight="1" x14ac:dyDescent="0.2">
      <c r="A40" s="111" t="s">
        <v>495</v>
      </c>
      <c r="B40" s="100">
        <f>MC!C21</f>
        <v>0</v>
      </c>
      <c r="C40" s="117"/>
      <c r="D40" s="117"/>
      <c r="E40" s="117">
        <f>MC!E21</f>
        <v>0</v>
      </c>
      <c r="F40" s="117"/>
    </row>
    <row r="41" spans="1:6" ht="15.75" customHeight="1" x14ac:dyDescent="0.2">
      <c r="A41" s="111" t="s">
        <v>496</v>
      </c>
      <c r="B41" s="121">
        <f>MC!E23</f>
        <v>0</v>
      </c>
      <c r="C41" s="117">
        <f>B41</f>
        <v>0</v>
      </c>
      <c r="D41" s="117">
        <f>B41</f>
        <v>0</v>
      </c>
      <c r="E41" s="251">
        <f>B41</f>
        <v>0</v>
      </c>
      <c r="F41" s="118">
        <f>B41</f>
        <v>0</v>
      </c>
    </row>
    <row r="42" spans="1:6" ht="15.75" customHeight="1" x14ac:dyDescent="0.2">
      <c r="A42" s="111" t="s">
        <v>497</v>
      </c>
      <c r="B42" s="121">
        <f>MC!E24</f>
        <v>0</v>
      </c>
      <c r="C42" s="117">
        <f>B42</f>
        <v>0</v>
      </c>
      <c r="D42" s="117">
        <f>B42</f>
        <v>0</v>
      </c>
      <c r="E42" s="251">
        <f>B42</f>
        <v>0</v>
      </c>
      <c r="F42" s="118">
        <f>B42</f>
        <v>0</v>
      </c>
    </row>
    <row r="43" spans="1:6" ht="15.75" customHeight="1" x14ac:dyDescent="0.2">
      <c r="A43" s="111" t="s">
        <v>498</v>
      </c>
      <c r="B43" s="100"/>
      <c r="C43" s="117"/>
      <c r="D43" s="117"/>
      <c r="E43" s="251"/>
      <c r="F43" s="118"/>
    </row>
    <row r="44" spans="1:6" ht="15.75" customHeight="1" x14ac:dyDescent="0.2">
      <c r="A44" s="103" t="s">
        <v>476</v>
      </c>
      <c r="B44" s="104"/>
      <c r="C44" s="113">
        <f>SUM(C38:C43)</f>
        <v>0</v>
      </c>
      <c r="D44" s="113">
        <f>SUM(D38:D43)</f>
        <v>0</v>
      </c>
      <c r="E44" s="248">
        <f>SUM(E38:E43)</f>
        <v>0</v>
      </c>
      <c r="F44" s="114">
        <f>SUM(F38:F43)</f>
        <v>0</v>
      </c>
    </row>
    <row r="45" spans="1:6" x14ac:dyDescent="0.2">
      <c r="A45" s="93" t="s">
        <v>499</v>
      </c>
      <c r="B45" s="94" t="s">
        <v>468</v>
      </c>
      <c r="C45" s="94" t="s">
        <v>469</v>
      </c>
      <c r="D45" s="94" t="s">
        <v>469</v>
      </c>
      <c r="E45" s="94" t="s">
        <v>469</v>
      </c>
      <c r="F45" s="95" t="s">
        <v>469</v>
      </c>
    </row>
    <row r="46" spans="1:6" ht="15.75" customHeight="1" x14ac:dyDescent="0.2">
      <c r="A46" s="111" t="s">
        <v>478</v>
      </c>
      <c r="B46" s="122">
        <f>B25</f>
        <v>0.1111111111111111</v>
      </c>
      <c r="C46" s="123">
        <f>C25</f>
        <v>0</v>
      </c>
      <c r="D46" s="123">
        <f>D25</f>
        <v>0</v>
      </c>
      <c r="E46" s="123">
        <f>E25</f>
        <v>0</v>
      </c>
      <c r="F46" s="124">
        <f>F25</f>
        <v>0</v>
      </c>
    </row>
    <row r="47" spans="1:6" ht="15.75" customHeight="1" x14ac:dyDescent="0.2">
      <c r="A47" s="111" t="s">
        <v>500</v>
      </c>
      <c r="B47" s="122">
        <f>B36</f>
        <v>0.36800000000000005</v>
      </c>
      <c r="C47" s="123">
        <f>C36</f>
        <v>0</v>
      </c>
      <c r="D47" s="123">
        <f>D36</f>
        <v>0</v>
      </c>
      <c r="E47" s="123">
        <f>E36</f>
        <v>0</v>
      </c>
      <c r="F47" s="124">
        <f>F36</f>
        <v>0</v>
      </c>
    </row>
    <row r="48" spans="1:6" ht="15.75" customHeight="1" x14ac:dyDescent="0.2">
      <c r="A48" s="111" t="s">
        <v>491</v>
      </c>
      <c r="B48" s="122"/>
      <c r="C48" s="123">
        <f>C44</f>
        <v>0</v>
      </c>
      <c r="D48" s="123">
        <f>D44</f>
        <v>0</v>
      </c>
      <c r="E48" s="123">
        <f>E44</f>
        <v>0</v>
      </c>
      <c r="F48" s="124">
        <f>F44</f>
        <v>0</v>
      </c>
    </row>
    <row r="49" spans="1:6" ht="15.75" customHeight="1" x14ac:dyDescent="0.2">
      <c r="A49" s="103" t="s">
        <v>476</v>
      </c>
      <c r="B49" s="104"/>
      <c r="C49" s="113">
        <f>SUM(C46:C48)</f>
        <v>0</v>
      </c>
      <c r="D49" s="113">
        <f>SUM(D46:D48)</f>
        <v>0</v>
      </c>
      <c r="E49" s="248">
        <f>SUM(E46:E48)</f>
        <v>0</v>
      </c>
      <c r="F49" s="114">
        <f>SUM(F46:F48)</f>
        <v>0</v>
      </c>
    </row>
    <row r="50" spans="1:6" ht="14.25" customHeight="1" x14ac:dyDescent="0.2">
      <c r="A50" s="1013"/>
      <c r="B50" s="1013"/>
      <c r="C50" s="106"/>
      <c r="D50" s="107"/>
      <c r="E50" s="107"/>
      <c r="F50" s="107"/>
    </row>
    <row r="51" spans="1:6" s="125" customFormat="1" ht="12.75" customHeight="1" x14ac:dyDescent="0.2">
      <c r="A51" s="1014" t="s">
        <v>501</v>
      </c>
      <c r="B51" s="1014"/>
      <c r="C51" s="1014"/>
      <c r="D51" s="1014"/>
      <c r="E51" s="1014"/>
      <c r="F51" s="1014"/>
    </row>
    <row r="52" spans="1:6" ht="15.75" customHeight="1" x14ac:dyDescent="0.2">
      <c r="A52" s="93" t="s">
        <v>502</v>
      </c>
      <c r="B52" s="94" t="s">
        <v>468</v>
      </c>
      <c r="C52" s="94" t="s">
        <v>469</v>
      </c>
      <c r="D52" s="94" t="s">
        <v>469</v>
      </c>
      <c r="E52" s="94" t="s">
        <v>469</v>
      </c>
      <c r="F52" s="95" t="s">
        <v>469</v>
      </c>
    </row>
    <row r="53" spans="1:6" ht="15.75" customHeight="1" x14ac:dyDescent="0.2">
      <c r="A53" s="108" t="s">
        <v>503</v>
      </c>
      <c r="B53" s="126"/>
      <c r="C53" s="126"/>
      <c r="D53" s="126"/>
      <c r="E53" s="252"/>
      <c r="F53" s="127"/>
    </row>
    <row r="54" spans="1:6" ht="15.75" customHeight="1" x14ac:dyDescent="0.2">
      <c r="A54" s="111" t="s">
        <v>504</v>
      </c>
      <c r="B54" s="122">
        <f>1/12*0.05</f>
        <v>4.1666666666666666E-3</v>
      </c>
      <c r="C54" s="128">
        <f>C19*$B54</f>
        <v>0</v>
      </c>
      <c r="D54" s="128">
        <f t="shared" ref="D54:F54" si="4">D19*$B54</f>
        <v>0</v>
      </c>
      <c r="E54" s="128">
        <f t="shared" si="4"/>
        <v>0</v>
      </c>
      <c r="F54" s="128">
        <f t="shared" si="4"/>
        <v>0</v>
      </c>
    </row>
    <row r="55" spans="1:6" x14ac:dyDescent="0.2">
      <c r="A55" s="111" t="s">
        <v>505</v>
      </c>
      <c r="B55" s="122">
        <f>B35*B54</f>
        <v>3.3333333333333332E-4</v>
      </c>
      <c r="C55" s="128">
        <f>$B$55*C19</f>
        <v>0</v>
      </c>
      <c r="D55" s="128">
        <f t="shared" ref="D55:F55" si="5">$B$55*D19</f>
        <v>0</v>
      </c>
      <c r="E55" s="128">
        <f t="shared" si="5"/>
        <v>0</v>
      </c>
      <c r="F55" s="128">
        <f t="shared" si="5"/>
        <v>0</v>
      </c>
    </row>
    <row r="56" spans="1:6" x14ac:dyDescent="0.2">
      <c r="A56" s="111" t="s">
        <v>506</v>
      </c>
      <c r="B56" s="122">
        <v>0</v>
      </c>
      <c r="C56" s="128">
        <f>C35*$B56</f>
        <v>0</v>
      </c>
      <c r="D56" s="128">
        <f t="shared" ref="D56:F56" si="6">D35*$B56</f>
        <v>0</v>
      </c>
      <c r="E56" s="128">
        <f t="shared" si="6"/>
        <v>0</v>
      </c>
      <c r="F56" s="128">
        <f t="shared" si="6"/>
        <v>0</v>
      </c>
    </row>
    <row r="57" spans="1:6" x14ac:dyDescent="0.2">
      <c r="A57" s="111" t="s">
        <v>507</v>
      </c>
      <c r="B57" s="122">
        <f>1/12*1/30*7</f>
        <v>1.9444444444444441E-2</v>
      </c>
      <c r="C57" s="123">
        <f>C19*$B57</f>
        <v>0</v>
      </c>
      <c r="D57" s="123">
        <f t="shared" ref="D57:F57" si="7">D19*$B57</f>
        <v>0</v>
      </c>
      <c r="E57" s="123">
        <f t="shared" si="7"/>
        <v>0</v>
      </c>
      <c r="F57" s="123">
        <f t="shared" si="7"/>
        <v>0</v>
      </c>
    </row>
    <row r="58" spans="1:6" x14ac:dyDescent="0.2">
      <c r="A58" s="111" t="s">
        <v>508</v>
      </c>
      <c r="B58" s="122">
        <f>B36*B57</f>
        <v>7.1555555555555556E-3</v>
      </c>
      <c r="C58" s="123">
        <f>$B58*C19</f>
        <v>0</v>
      </c>
      <c r="D58" s="123">
        <f t="shared" ref="D58:F58" si="8">$B58*D19</f>
        <v>0</v>
      </c>
      <c r="E58" s="123">
        <f t="shared" si="8"/>
        <v>0</v>
      </c>
      <c r="F58" s="123">
        <f t="shared" si="8"/>
        <v>0</v>
      </c>
    </row>
    <row r="59" spans="1:6" x14ac:dyDescent="0.2">
      <c r="A59" s="111" t="s">
        <v>509</v>
      </c>
      <c r="B59" s="122">
        <f>B35*40/100*90/100*(1+1/12+1/12+1/3*1/12)</f>
        <v>3.4399999999999993E-2</v>
      </c>
      <c r="C59" s="123">
        <f>C19*$B59</f>
        <v>0</v>
      </c>
      <c r="D59" s="123">
        <f t="shared" ref="D59:F59" si="9">D19*$B59</f>
        <v>0</v>
      </c>
      <c r="E59" s="123">
        <f t="shared" si="9"/>
        <v>0</v>
      </c>
      <c r="F59" s="123">
        <f t="shared" si="9"/>
        <v>0</v>
      </c>
    </row>
    <row r="60" spans="1:6" ht="14.25" customHeight="1" x14ac:dyDescent="0.2">
      <c r="A60" s="103" t="s">
        <v>476</v>
      </c>
      <c r="B60" s="112">
        <f>SUM(B54:B59)</f>
        <v>6.5499999999999989E-2</v>
      </c>
      <c r="C60" s="129">
        <f>SUM(C54:C59)</f>
        <v>0</v>
      </c>
      <c r="D60" s="129">
        <f>SUM(D54:D59)</f>
        <v>0</v>
      </c>
      <c r="E60" s="253">
        <f>SUM(E54:E59)</f>
        <v>0</v>
      </c>
      <c r="F60" s="130">
        <f>SUM(F54:F59)</f>
        <v>0</v>
      </c>
    </row>
    <row r="61" spans="1:6" ht="14.25" customHeight="1" x14ac:dyDescent="0.2">
      <c r="A61" s="1013"/>
      <c r="B61" s="1013"/>
      <c r="C61" s="396"/>
      <c r="D61" s="396"/>
      <c r="E61" s="397"/>
      <c r="F61" s="398"/>
    </row>
    <row r="62" spans="1:6" ht="15.75" customHeight="1" x14ac:dyDescent="0.2">
      <c r="A62" s="1014" t="s">
        <v>510</v>
      </c>
      <c r="B62" s="1014"/>
      <c r="C62" s="1014"/>
      <c r="D62" s="1014"/>
      <c r="E62" s="1014"/>
      <c r="F62" s="1014"/>
    </row>
    <row r="63" spans="1:6" ht="14.25" customHeight="1" x14ac:dyDescent="0.2">
      <c r="A63" s="108" t="s">
        <v>39</v>
      </c>
      <c r="B63" s="109"/>
      <c r="C63" s="109"/>
      <c r="D63" s="109"/>
      <c r="E63" s="254"/>
      <c r="F63" s="110"/>
    </row>
    <row r="64" spans="1:6" ht="14.25" customHeight="1" x14ac:dyDescent="0.2">
      <c r="A64" s="111" t="s">
        <v>40</v>
      </c>
      <c r="B64" s="100">
        <f>1/12</f>
        <v>8.3333333333333329E-2</v>
      </c>
      <c r="C64" s="117">
        <f>B64*($C$19+$C$49+$C$60)</f>
        <v>0</v>
      </c>
      <c r="D64" s="117">
        <f>B64*($D$19+$D$49+$D$60)</f>
        <v>0</v>
      </c>
      <c r="E64" s="251">
        <f>B64*($E$19+$E$49+$E$60)</f>
        <v>0</v>
      </c>
      <c r="F64" s="118">
        <f>B64*($F$19+$F$49+$F$60)</f>
        <v>0</v>
      </c>
    </row>
    <row r="65" spans="1:6" x14ac:dyDescent="0.2">
      <c r="A65" s="111" t="s">
        <v>511</v>
      </c>
      <c r="B65" s="100">
        <f>MC!E51/30/12</f>
        <v>1.3538888888888885E-2</v>
      </c>
      <c r="C65" s="117">
        <f>B65*($C$19+$C$49+$C$60)</f>
        <v>0</v>
      </c>
      <c r="D65" s="117">
        <f>B65*($D$19+$D$49+$D$60)</f>
        <v>0</v>
      </c>
      <c r="E65" s="251">
        <f>B65*($E$19+$E$49+$E$60)</f>
        <v>0</v>
      </c>
      <c r="F65" s="118">
        <f>B65*($F$19+$F$49+$F$60)</f>
        <v>0</v>
      </c>
    </row>
    <row r="66" spans="1:6" x14ac:dyDescent="0.2">
      <c r="A66" s="111" t="s">
        <v>512</v>
      </c>
      <c r="B66" s="131">
        <f>(5/30)/12*MC!F53*MC!C54</f>
        <v>1.0764583333333333E-4</v>
      </c>
      <c r="C66" s="117">
        <f>B66*($C$19+$C$49+$C$60)</f>
        <v>0</v>
      </c>
      <c r="D66" s="117">
        <f>B66*($D$19+$D$49+$D$60)</f>
        <v>0</v>
      </c>
      <c r="E66" s="251">
        <f>B66*($E$19+$E$49+$E$60)</f>
        <v>0</v>
      </c>
      <c r="F66" s="118">
        <f>B66*($F$19+$F$49+$F$60)</f>
        <v>0</v>
      </c>
    </row>
    <row r="67" spans="1:6" ht="14.25" customHeight="1" x14ac:dyDescent="0.2">
      <c r="A67" s="111" t="s">
        <v>513</v>
      </c>
      <c r="B67" s="131">
        <f>MC!C56/30/12</f>
        <v>2.6830555555555553E-3</v>
      </c>
      <c r="C67" s="117">
        <f>B67*($C$19+$C$49+$C$60)</f>
        <v>0</v>
      </c>
      <c r="D67" s="117">
        <f>B67*($D$19+$D$49+$D$60)</f>
        <v>0</v>
      </c>
      <c r="E67" s="251">
        <f>B67*($E$19+$E$49+$E$60)</f>
        <v>0</v>
      </c>
      <c r="F67" s="118">
        <f>B67*($F$19+$F$49+$F$60)</f>
        <v>0</v>
      </c>
    </row>
    <row r="68" spans="1:6" ht="14.25" customHeight="1" x14ac:dyDescent="0.2">
      <c r="A68" s="111" t="s">
        <v>514</v>
      </c>
      <c r="B68" s="100"/>
      <c r="C68" s="117"/>
      <c r="D68" s="117"/>
      <c r="E68" s="251">
        <f>B68*($E$19+$E$49+$E$60)</f>
        <v>0</v>
      </c>
      <c r="F68" s="118"/>
    </row>
    <row r="69" spans="1:6" ht="14.25" customHeight="1" x14ac:dyDescent="0.2">
      <c r="A69" s="132" t="s">
        <v>515</v>
      </c>
      <c r="B69" s="133">
        <f>SUM(B64:B68)</f>
        <v>9.9662923611111107E-2</v>
      </c>
      <c r="C69" s="134">
        <f>SUM(C64:C68)</f>
        <v>0</v>
      </c>
      <c r="D69" s="134">
        <f>SUM(D64:D68)</f>
        <v>0</v>
      </c>
      <c r="E69" s="255">
        <f>SUM(E64:E68)</f>
        <v>0</v>
      </c>
      <c r="F69" s="135">
        <f>SUM(F64:F68)</f>
        <v>0</v>
      </c>
    </row>
    <row r="70" spans="1:6" ht="14.25" customHeight="1" x14ac:dyDescent="0.2">
      <c r="A70" s="108" t="s">
        <v>516</v>
      </c>
      <c r="B70" s="109"/>
      <c r="C70" s="109"/>
      <c r="D70" s="109"/>
      <c r="E70" s="254"/>
      <c r="F70" s="110"/>
    </row>
    <row r="71" spans="1:6" ht="14.25" customHeight="1" x14ac:dyDescent="0.2">
      <c r="A71" s="111" t="s">
        <v>517</v>
      </c>
      <c r="B71" s="100"/>
      <c r="C71" s="117"/>
      <c r="D71" s="117"/>
      <c r="E71" s="251"/>
      <c r="F71" s="118"/>
    </row>
    <row r="72" spans="1:6" ht="14.25" customHeight="1" x14ac:dyDescent="0.2">
      <c r="A72" s="132" t="s">
        <v>515</v>
      </c>
      <c r="B72" s="133"/>
      <c r="C72" s="134">
        <f>C71</f>
        <v>0</v>
      </c>
      <c r="D72" s="134"/>
      <c r="E72" s="255"/>
      <c r="F72" s="135"/>
    </row>
    <row r="73" spans="1:6" ht="14.25" customHeight="1" x14ac:dyDescent="0.2">
      <c r="A73" s="108" t="s">
        <v>61</v>
      </c>
      <c r="B73" s="109"/>
      <c r="C73" s="109"/>
      <c r="D73" s="109"/>
      <c r="E73" s="254"/>
      <c r="F73" s="110"/>
    </row>
    <row r="74" spans="1:6" ht="14.25" customHeight="1" x14ac:dyDescent="0.2">
      <c r="A74" s="111" t="s">
        <v>62</v>
      </c>
      <c r="B74" s="100">
        <f>120/30*MC!C59*MC!C60</f>
        <v>6.18624E-3</v>
      </c>
      <c r="C74" s="117">
        <f>(((C19*2)+ (C19*1/3))+(C36)+(C44-C38-C39))*$B$74</f>
        <v>0</v>
      </c>
      <c r="D74" s="117">
        <f>(((D19*2)+ (D19*1/3))+(D36)+(D44-D38-D39))*$B$74</f>
        <v>0</v>
      </c>
      <c r="E74" s="117">
        <f>(((E19*2)+ (E19*1/3))+(E36)+(E44-E38-E39))*$B$74</f>
        <v>0</v>
      </c>
      <c r="F74" s="118">
        <f>(((F19*2)+ (F19*1/3))+(F36)+(F44-F38-F39))*$B$74</f>
        <v>0</v>
      </c>
    </row>
    <row r="75" spans="1:6" ht="15.75" customHeight="1" x14ac:dyDescent="0.2">
      <c r="A75" s="132" t="s">
        <v>476</v>
      </c>
      <c r="B75" s="133"/>
      <c r="C75" s="134"/>
      <c r="D75" s="134"/>
      <c r="E75" s="255"/>
      <c r="F75" s="135"/>
    </row>
    <row r="76" spans="1:6" x14ac:dyDescent="0.2">
      <c r="A76" s="93" t="s">
        <v>518</v>
      </c>
      <c r="B76" s="94"/>
      <c r="C76" s="94"/>
      <c r="D76" s="94"/>
      <c r="E76" s="246"/>
      <c r="F76" s="95"/>
    </row>
    <row r="77" spans="1:6" x14ac:dyDescent="0.2">
      <c r="A77" s="111" t="s">
        <v>39</v>
      </c>
      <c r="B77" s="122">
        <f>B69</f>
        <v>9.9662923611111107E-2</v>
      </c>
      <c r="C77" s="123">
        <f>C69</f>
        <v>0</v>
      </c>
      <c r="D77" s="123">
        <f>D69</f>
        <v>0</v>
      </c>
      <c r="E77" s="123">
        <f>E69</f>
        <v>0</v>
      </c>
      <c r="F77" s="124">
        <f>F69</f>
        <v>0</v>
      </c>
    </row>
    <row r="78" spans="1:6" ht="15.75" customHeight="1" x14ac:dyDescent="0.2">
      <c r="A78" s="111" t="s">
        <v>516</v>
      </c>
      <c r="B78" s="122">
        <f>B72</f>
        <v>0</v>
      </c>
      <c r="C78" s="123">
        <f>C72</f>
        <v>0</v>
      </c>
      <c r="D78" s="123">
        <f>D72</f>
        <v>0</v>
      </c>
      <c r="E78" s="123">
        <f>E72</f>
        <v>0</v>
      </c>
      <c r="F78" s="124">
        <f>F72</f>
        <v>0</v>
      </c>
    </row>
    <row r="79" spans="1:6" ht="15.75" customHeight="1" x14ac:dyDescent="0.2">
      <c r="A79" s="111" t="s">
        <v>61</v>
      </c>
      <c r="B79" s="122">
        <f>B74</f>
        <v>6.18624E-3</v>
      </c>
      <c r="C79" s="123">
        <f>C74</f>
        <v>0</v>
      </c>
      <c r="D79" s="123">
        <f>D74</f>
        <v>0</v>
      </c>
      <c r="E79" s="123">
        <f>E74</f>
        <v>0</v>
      </c>
      <c r="F79" s="124">
        <f>F74</f>
        <v>0</v>
      </c>
    </row>
    <row r="80" spans="1:6" ht="15.75" customHeight="1" x14ac:dyDescent="0.2">
      <c r="A80" s="103" t="s">
        <v>476</v>
      </c>
      <c r="B80" s="104"/>
      <c r="C80" s="113">
        <f>SUM(C77:C79)</f>
        <v>0</v>
      </c>
      <c r="D80" s="113">
        <f>SUM(D77:D79)</f>
        <v>0</v>
      </c>
      <c r="E80" s="248">
        <f>SUM(E77:E79)</f>
        <v>0</v>
      </c>
      <c r="F80" s="114">
        <f>SUM(F77:F79)</f>
        <v>0</v>
      </c>
    </row>
    <row r="81" spans="1:6" ht="15.75" customHeight="1" x14ac:dyDescent="0.2">
      <c r="A81" s="105"/>
      <c r="B81" s="106"/>
      <c r="C81" s="106"/>
      <c r="D81" s="106"/>
      <c r="E81" s="249"/>
      <c r="F81" s="107"/>
    </row>
    <row r="82" spans="1:6" ht="15.75" customHeight="1" x14ac:dyDescent="0.2">
      <c r="A82" s="256" t="s">
        <v>519</v>
      </c>
      <c r="B82" s="257"/>
      <c r="C82" s="257"/>
      <c r="D82" s="257"/>
      <c r="E82" s="257"/>
      <c r="F82" s="258"/>
    </row>
    <row r="83" spans="1:6" ht="15.75" customHeight="1" x14ac:dyDescent="0.2">
      <c r="A83" s="93" t="s">
        <v>520</v>
      </c>
      <c r="B83" s="94" t="s">
        <v>492</v>
      </c>
      <c r="C83" s="94" t="s">
        <v>469</v>
      </c>
      <c r="D83" s="94" t="s">
        <v>469</v>
      </c>
      <c r="E83" s="782" t="s">
        <v>469</v>
      </c>
      <c r="F83" s="95" t="s">
        <v>469</v>
      </c>
    </row>
    <row r="84" spans="1:6" ht="15.75" customHeight="1" x14ac:dyDescent="0.2">
      <c r="A84" s="768" t="s">
        <v>521</v>
      </c>
      <c r="B84" s="769">
        <f>Insumos!G117</f>
        <v>0</v>
      </c>
      <c r="C84" s="779">
        <f>B84</f>
        <v>0</v>
      </c>
      <c r="D84" s="780">
        <f>B84</f>
        <v>0</v>
      </c>
      <c r="E84" s="781">
        <f>B84</f>
        <v>0</v>
      </c>
      <c r="F84" s="778">
        <f>Insumos!G118</f>
        <v>0</v>
      </c>
    </row>
    <row r="85" spans="1:6" x14ac:dyDescent="0.2">
      <c r="A85" s="770" t="s">
        <v>522</v>
      </c>
      <c r="B85" s="772">
        <f>Insumos!G59</f>
        <v>0</v>
      </c>
      <c r="C85" s="783">
        <f>B85</f>
        <v>0</v>
      </c>
      <c r="D85" s="783">
        <f>B85</f>
        <v>0</v>
      </c>
      <c r="E85" s="774" t="s">
        <v>429</v>
      </c>
      <c r="F85" s="776" t="s">
        <v>429</v>
      </c>
    </row>
    <row r="86" spans="1:6" x14ac:dyDescent="0.2">
      <c r="A86" s="770" t="s">
        <v>523</v>
      </c>
      <c r="B86" s="772">
        <f>Insumos!I99</f>
        <v>0</v>
      </c>
      <c r="C86" s="783">
        <f>B86</f>
        <v>0</v>
      </c>
      <c r="D86" s="783">
        <f>B86</f>
        <v>0</v>
      </c>
      <c r="E86" s="774" t="s">
        <v>429</v>
      </c>
      <c r="F86" s="776" t="s">
        <v>429</v>
      </c>
    </row>
    <row r="87" spans="1:6" ht="15.75" customHeight="1" x14ac:dyDescent="0.2">
      <c r="A87" s="770" t="s">
        <v>524</v>
      </c>
      <c r="B87" s="771" t="s">
        <v>429</v>
      </c>
      <c r="C87" s="785">
        <f>Insumos!I129</f>
        <v>0</v>
      </c>
      <c r="D87" s="785">
        <f>Insumos!H129</f>
        <v>0</v>
      </c>
      <c r="E87" s="774" t="s">
        <v>429</v>
      </c>
      <c r="F87" s="776" t="s">
        <v>429</v>
      </c>
    </row>
    <row r="88" spans="1:6" ht="15.75" customHeight="1" x14ac:dyDescent="0.2">
      <c r="A88" s="770" t="s">
        <v>525</v>
      </c>
      <c r="B88" s="775">
        <v>0.12</v>
      </c>
      <c r="C88" s="773" t="s">
        <v>429</v>
      </c>
      <c r="D88" s="773" t="s">
        <v>429</v>
      </c>
      <c r="E88" s="784">
        <f>B88*(E84+E123+E124)</f>
        <v>0</v>
      </c>
      <c r="F88" s="776" t="s">
        <v>429</v>
      </c>
    </row>
    <row r="89" spans="1:6" ht="15.75" customHeight="1" x14ac:dyDescent="0.2">
      <c r="A89" s="770" t="s">
        <v>526</v>
      </c>
      <c r="B89" s="772">
        <f>Insumos!H145</f>
        <v>0</v>
      </c>
      <c r="C89" s="773" t="s">
        <v>429</v>
      </c>
      <c r="D89" s="773" t="s">
        <v>429</v>
      </c>
      <c r="E89" s="774" t="s">
        <v>429</v>
      </c>
      <c r="F89" s="776">
        <f>Insumos!H145</f>
        <v>0</v>
      </c>
    </row>
    <row r="90" spans="1:6" ht="15.75" customHeight="1" x14ac:dyDescent="0.2">
      <c r="A90" s="770" t="s">
        <v>527</v>
      </c>
      <c r="B90" s="771" t="s">
        <v>429</v>
      </c>
      <c r="C90" s="773" t="s">
        <v>429</v>
      </c>
      <c r="D90" s="773" t="s">
        <v>429</v>
      </c>
      <c r="E90" s="774" t="s">
        <v>429</v>
      </c>
      <c r="F90" s="777" t="s">
        <v>86</v>
      </c>
    </row>
    <row r="91" spans="1:6" ht="15.75" customHeight="1" x14ac:dyDescent="0.2">
      <c r="A91" s="132" t="s">
        <v>476</v>
      </c>
      <c r="B91" s="136"/>
      <c r="C91" s="134">
        <f>SUM(C84:C90)</f>
        <v>0</v>
      </c>
      <c r="D91" s="134">
        <f t="shared" ref="D91:F91" si="10">SUM(D84:D90)</f>
        <v>0</v>
      </c>
      <c r="E91" s="134">
        <f t="shared" si="10"/>
        <v>0</v>
      </c>
      <c r="F91" s="134">
        <f t="shared" si="10"/>
        <v>0</v>
      </c>
    </row>
    <row r="92" spans="1:6" ht="15.75" customHeight="1" x14ac:dyDescent="0.2">
      <c r="A92" s="1013"/>
      <c r="B92" s="1013"/>
      <c r="C92" s="137"/>
      <c r="D92" s="137"/>
      <c r="E92" s="259"/>
      <c r="F92" s="138"/>
    </row>
    <row r="93" spans="1:6" ht="15.75" customHeight="1" x14ac:dyDescent="0.2">
      <c r="A93" s="256" t="s">
        <v>528</v>
      </c>
      <c r="B93" s="257"/>
      <c r="C93" s="257"/>
      <c r="D93" s="257"/>
      <c r="E93" s="257"/>
      <c r="F93" s="258"/>
    </row>
    <row r="94" spans="1:6" ht="15.75" customHeight="1" x14ac:dyDescent="0.2">
      <c r="A94" s="93" t="s">
        <v>529</v>
      </c>
      <c r="B94" s="94" t="s">
        <v>468</v>
      </c>
      <c r="C94" s="94" t="s">
        <v>469</v>
      </c>
      <c r="D94" s="94" t="s">
        <v>469</v>
      </c>
      <c r="E94" s="94" t="s">
        <v>469</v>
      </c>
      <c r="F94" s="95"/>
    </row>
    <row r="95" spans="1:6" ht="15.75" customHeight="1" x14ac:dyDescent="0.2">
      <c r="A95" s="96" t="s">
        <v>67</v>
      </c>
      <c r="B95" s="100">
        <f>MC!C63</f>
        <v>0</v>
      </c>
      <c r="C95" s="117">
        <f>($C$19+$C$49+$C$60+$C$80+$C$91)*$B$95</f>
        <v>0</v>
      </c>
      <c r="D95" s="117">
        <f>($D$19+$D$49+$D$60+$D$80+$D$91)*$B$95</f>
        <v>0</v>
      </c>
      <c r="E95" s="251">
        <f>($E$19+$E$49+$E$60+$E$80+$E$91)*$B$95</f>
        <v>0</v>
      </c>
      <c r="F95" s="118">
        <f>($F$19+$F$49+$F$60+$F$80+$F$91)*$B$95</f>
        <v>0</v>
      </c>
    </row>
    <row r="96" spans="1:6" x14ac:dyDescent="0.2">
      <c r="A96" s="96" t="s">
        <v>68</v>
      </c>
      <c r="B96" s="100">
        <f>MC!C64</f>
        <v>0</v>
      </c>
      <c r="C96" s="117">
        <f>($C$19+$C$49+$C$60+$C$80+$C$91+C95)*B96</f>
        <v>0</v>
      </c>
      <c r="D96" s="117">
        <f>($D$19+$D$49+$D$60+$D$80+$D$91+$D$95)*$B$96</f>
        <v>0</v>
      </c>
      <c r="E96" s="117">
        <f>($E$19+$E$49+$E$60+$E$80+$E$91+$E$95)*$B$96</f>
        <v>0</v>
      </c>
      <c r="F96" s="118">
        <f>($F$19+$F$49+$F$60+$F$80+$F$91+F95)*$B$96</f>
        <v>0</v>
      </c>
    </row>
    <row r="97" spans="1:7" x14ac:dyDescent="0.2">
      <c r="A97" s="260" t="s">
        <v>530</v>
      </c>
      <c r="B97" s="261">
        <f>B98+B99</f>
        <v>0.1125</v>
      </c>
      <c r="C97" s="262">
        <f>((C19+C49+C60+C80+C91+C95+C96)/(1-($B$97)))*$B$97</f>
        <v>0</v>
      </c>
      <c r="D97" s="262">
        <f>((D19+D49+D60+D80+D91+D95+D96)/(1-($B$97)))*$B$97</f>
        <v>0</v>
      </c>
      <c r="E97" s="262">
        <f>((E19+E49+E60+E80+E91+E95+E96)/(1-($B$97)))*$B$97</f>
        <v>0</v>
      </c>
      <c r="F97" s="262">
        <f>((F19+F49+F60+F80+F91+F95+F96)/(1-($B$97)))*$B$97</f>
        <v>0</v>
      </c>
    </row>
    <row r="98" spans="1:7" x14ac:dyDescent="0.2">
      <c r="A98" s="96" t="s">
        <v>531</v>
      </c>
      <c r="B98" s="100">
        <f>0.0165+0.076</f>
        <v>9.2499999999999999E-2</v>
      </c>
      <c r="C98" s="263">
        <f>((C$19+C$49+C$60+C$80+C$91+C$95+C$96)/(1-($B$97)))*$B$98</f>
        <v>0</v>
      </c>
      <c r="D98" s="263">
        <f t="shared" ref="D98:F98" si="11">((D$19+D$49+D$60+D$80+D$91+D$95+D$96)/(1-($B$97)))*$B$98</f>
        <v>0</v>
      </c>
      <c r="E98" s="263">
        <f t="shared" si="11"/>
        <v>0</v>
      </c>
      <c r="F98" s="263">
        <f t="shared" si="11"/>
        <v>0</v>
      </c>
    </row>
    <row r="99" spans="1:7" x14ac:dyDescent="0.2">
      <c r="A99" s="96" t="s">
        <v>532</v>
      </c>
      <c r="B99" s="100">
        <v>0.02</v>
      </c>
      <c r="C99" s="264">
        <f>((C$19+C$49+C$60+C$80+C$91+C$95+C$96)/(1-($B$97)))*$B$99</f>
        <v>0</v>
      </c>
      <c r="D99" s="264">
        <f t="shared" ref="D99:F99" si="12">((D$19+D$49+D$60+D$80+D$91+D$95+D$96)/(1-($B$97)))*$B$99</f>
        <v>0</v>
      </c>
      <c r="E99" s="264">
        <f t="shared" si="12"/>
        <v>0</v>
      </c>
      <c r="F99" s="264">
        <f t="shared" si="12"/>
        <v>0</v>
      </c>
    </row>
    <row r="100" spans="1:7" x14ac:dyDescent="0.2">
      <c r="A100" s="260" t="s">
        <v>533</v>
      </c>
      <c r="B100" s="261">
        <f>B101+B102</f>
        <v>0.11749999999999999</v>
      </c>
      <c r="C100" s="262">
        <f>((C19+C49+C60+C80+C91+C95+C96)/(1-($B$100)))*$B$100</f>
        <v>0</v>
      </c>
      <c r="D100" s="262">
        <f t="shared" ref="D100:F100" si="13">((D19+D49+D60+D80+D91+D95+D96)/(1-($B$100)))*$B$100</f>
        <v>0</v>
      </c>
      <c r="E100" s="262">
        <f t="shared" si="13"/>
        <v>0</v>
      </c>
      <c r="F100" s="262">
        <f t="shared" si="13"/>
        <v>0</v>
      </c>
    </row>
    <row r="101" spans="1:7" x14ac:dyDescent="0.2">
      <c r="A101" s="96" t="s">
        <v>531</v>
      </c>
      <c r="B101" s="100">
        <f>0.0165+0.076</f>
        <v>9.2499999999999999E-2</v>
      </c>
      <c r="C101" s="263">
        <f>((C19+C49+C60+C80+C91+C95+C96)/(1-($B$100)))*$B$101</f>
        <v>0</v>
      </c>
      <c r="D101" s="263">
        <f t="shared" ref="D101:F101" si="14">((D19+D49+D60+D80+D91+D95+D96)/(1-($B$100)))*$B$101</f>
        <v>0</v>
      </c>
      <c r="E101" s="263">
        <f t="shared" si="14"/>
        <v>0</v>
      </c>
      <c r="F101" s="263">
        <f t="shared" si="14"/>
        <v>0</v>
      </c>
    </row>
    <row r="102" spans="1:7" x14ac:dyDescent="0.2">
      <c r="A102" s="96" t="s">
        <v>532</v>
      </c>
      <c r="B102" s="100">
        <v>2.5000000000000001E-2</v>
      </c>
      <c r="C102" s="264">
        <f>((C$19+C$49+C$60+C$80+C$91+C$95+C$96)/(1-($B$100)))*$B$102</f>
        <v>0</v>
      </c>
      <c r="D102" s="264">
        <f t="shared" ref="D102:F102" si="15">((D$19+D$49+D$60+D$80+D$91+D$95+D$96)/(1-($B$100)))*$B$102</f>
        <v>0</v>
      </c>
      <c r="E102" s="264">
        <f t="shared" si="15"/>
        <v>0</v>
      </c>
      <c r="F102" s="264">
        <f t="shared" si="15"/>
        <v>0</v>
      </c>
    </row>
    <row r="103" spans="1:7" x14ac:dyDescent="0.2">
      <c r="A103" s="260" t="s">
        <v>534</v>
      </c>
      <c r="B103" s="261">
        <f>B104+B105</f>
        <v>0.1225</v>
      </c>
      <c r="C103" s="262">
        <f>((C19+C49+C60+C80+C91+C95+C96)/(1-($B$103)))*$B$103</f>
        <v>0</v>
      </c>
      <c r="D103" s="262">
        <f t="shared" ref="D103:F103" si="16">((D19+D49+D60+D80+D91+D95+D96)/(1-($B$103)))*$B$103</f>
        <v>0</v>
      </c>
      <c r="E103" s="262">
        <f t="shared" si="16"/>
        <v>0</v>
      </c>
      <c r="F103" s="262">
        <f t="shared" si="16"/>
        <v>0</v>
      </c>
    </row>
    <row r="104" spans="1:7" x14ac:dyDescent="0.2">
      <c r="A104" s="96" t="s">
        <v>531</v>
      </c>
      <c r="B104" s="100">
        <f>0.0165+0.076</f>
        <v>9.2499999999999999E-2</v>
      </c>
      <c r="C104" s="263">
        <f>((C19+C49+C60+C80+C91+C95+C96)/(1-($B$103)))*$B$104</f>
        <v>0</v>
      </c>
      <c r="D104" s="263">
        <f t="shared" ref="D104:F104" si="17">((D19+D49+D60+D80+D91+D95+D96)/(1-($B$103)))*$B$104</f>
        <v>0</v>
      </c>
      <c r="E104" s="263">
        <f t="shared" si="17"/>
        <v>0</v>
      </c>
      <c r="F104" s="263">
        <f t="shared" si="17"/>
        <v>0</v>
      </c>
    </row>
    <row r="105" spans="1:7" x14ac:dyDescent="0.2">
      <c r="A105" s="96" t="s">
        <v>532</v>
      </c>
      <c r="B105" s="100">
        <v>0.03</v>
      </c>
      <c r="C105" s="264">
        <f>((C19+C49+C60+C80+C91+C95+C96)/(1-($B$103)))*$B$105</f>
        <v>0</v>
      </c>
      <c r="D105" s="264">
        <f t="shared" ref="D105:F105" si="18">((D19+D49+D60+D80+D91+D95+D96)/(1-($B$103)))*$B$105</f>
        <v>0</v>
      </c>
      <c r="E105" s="264">
        <f t="shared" si="18"/>
        <v>0</v>
      </c>
      <c r="F105" s="264">
        <f t="shared" si="18"/>
        <v>0</v>
      </c>
      <c r="G105" s="265"/>
    </row>
    <row r="106" spans="1:7" x14ac:dyDescent="0.2">
      <c r="A106" s="260" t="s">
        <v>535</v>
      </c>
      <c r="B106" s="261">
        <f>B107+B108</f>
        <v>0.13250000000000001</v>
      </c>
      <c r="C106" s="262">
        <f>((C19+C49+C60+C80+C91+C95+C96)/(1-($B$106)))*$B$106</f>
        <v>0</v>
      </c>
      <c r="D106" s="262">
        <f t="shared" ref="D106:F106" si="19">((D19+D49+D60+D80+D91+D95+D96)/(1-($B$106)))*$B$106</f>
        <v>0</v>
      </c>
      <c r="E106" s="262">
        <f t="shared" si="19"/>
        <v>0</v>
      </c>
      <c r="F106" s="262">
        <f t="shared" si="19"/>
        <v>0</v>
      </c>
    </row>
    <row r="107" spans="1:7" x14ac:dyDescent="0.2">
      <c r="A107" s="96" t="s">
        <v>531</v>
      </c>
      <c r="B107" s="100">
        <f>0.0165+0.076</f>
        <v>9.2499999999999999E-2</v>
      </c>
      <c r="C107" s="263">
        <f>((C19+C49+C60+C80+C91+C95+C96)/(1-($B$106)))*$B$107</f>
        <v>0</v>
      </c>
      <c r="D107" s="263">
        <f t="shared" ref="D107:F107" si="20">((D19+D49+D60+D80+D91+D95+D96)/(1-($B$106)))*$B$107</f>
        <v>0</v>
      </c>
      <c r="E107" s="263">
        <f t="shared" si="20"/>
        <v>0</v>
      </c>
      <c r="F107" s="263">
        <f t="shared" si="20"/>
        <v>0</v>
      </c>
    </row>
    <row r="108" spans="1:7" x14ac:dyDescent="0.2">
      <c r="A108" s="96" t="s">
        <v>532</v>
      </c>
      <c r="B108" s="100">
        <v>0.04</v>
      </c>
      <c r="C108" s="264">
        <f>((C19+C49+C60+C80+C91+C95+C96)/(1-($B$106)))*$B$108</f>
        <v>0</v>
      </c>
      <c r="D108" s="264">
        <f t="shared" ref="D108:F108" si="21">((D19+D49+D60+D80+D91+D95+D96)/(1-($B$106)))*$B$108</f>
        <v>0</v>
      </c>
      <c r="E108" s="264">
        <f t="shared" si="21"/>
        <v>0</v>
      </c>
      <c r="F108" s="264">
        <f t="shared" si="21"/>
        <v>0</v>
      </c>
    </row>
    <row r="109" spans="1:7" x14ac:dyDescent="0.2">
      <c r="A109" s="260" t="s">
        <v>536</v>
      </c>
      <c r="B109" s="261">
        <f>B110+B111</f>
        <v>0.14250000000000002</v>
      </c>
      <c r="C109" s="262">
        <f>((C19+C49+C60+C80+C91+C95+C96)/(1-($B$109)))*$B$109</f>
        <v>0</v>
      </c>
      <c r="D109" s="262">
        <f t="shared" ref="D109:F109" si="22">((D19+D49+D60+D80+D91+D95+D96)/(1-($B$109)))*$B$109</f>
        <v>0</v>
      </c>
      <c r="E109" s="262">
        <f t="shared" si="22"/>
        <v>0</v>
      </c>
      <c r="F109" s="262">
        <f t="shared" si="22"/>
        <v>0</v>
      </c>
    </row>
    <row r="110" spans="1:7" x14ac:dyDescent="0.2">
      <c r="A110" s="96" t="s">
        <v>531</v>
      </c>
      <c r="B110" s="100">
        <f>0.0165+0.076</f>
        <v>9.2499999999999999E-2</v>
      </c>
      <c r="C110" s="263">
        <f>((C19+C49+C60+C80+C91+C95+C96)/(1-($B$109)))*$B$110</f>
        <v>0</v>
      </c>
      <c r="D110" s="263">
        <f t="shared" ref="D110:F110" si="23">((D19+D49+D60+D80+D91+D95+D96)/(1-($B$109)))*$B$110</f>
        <v>0</v>
      </c>
      <c r="E110" s="263">
        <f t="shared" si="23"/>
        <v>0</v>
      </c>
      <c r="F110" s="263">
        <f t="shared" si="23"/>
        <v>0</v>
      </c>
    </row>
    <row r="111" spans="1:7" x14ac:dyDescent="0.2">
      <c r="A111" s="96" t="s">
        <v>532</v>
      </c>
      <c r="B111" s="266">
        <v>0.05</v>
      </c>
      <c r="C111" s="264">
        <f>((C19+C49+C60+C80+C91+C95+C96)/(1-($B$109)))*$B$111</f>
        <v>0</v>
      </c>
      <c r="D111" s="264">
        <f t="shared" ref="D111:F111" si="24">((D19+D49+D60+D80+D91+D95+D96)/(1-($B$109)))*$B$111</f>
        <v>0</v>
      </c>
      <c r="E111" s="264">
        <f t="shared" si="24"/>
        <v>0</v>
      </c>
      <c r="F111" s="264">
        <f t="shared" si="24"/>
        <v>0</v>
      </c>
    </row>
    <row r="112" spans="1:7" x14ac:dyDescent="0.2">
      <c r="A112" s="1015" t="s">
        <v>537</v>
      </c>
      <c r="B112" s="267">
        <v>0.02</v>
      </c>
      <c r="C112" s="268">
        <f>C95+C96+C97</f>
        <v>0</v>
      </c>
      <c r="D112" s="268">
        <f>D95+D96+D97</f>
        <v>0</v>
      </c>
      <c r="E112" s="268">
        <f>E95+E96+E97</f>
        <v>0</v>
      </c>
      <c r="F112" s="268">
        <f>F95+F96+F97</f>
        <v>0</v>
      </c>
    </row>
    <row r="113" spans="1:7" x14ac:dyDescent="0.2">
      <c r="A113" s="1015"/>
      <c r="B113" s="269">
        <v>2.5000000000000001E-2</v>
      </c>
      <c r="C113" s="270">
        <f>C95+C96+C100</f>
        <v>0</v>
      </c>
      <c r="D113" s="270">
        <f>D95+D96+D100</f>
        <v>0</v>
      </c>
      <c r="E113" s="270">
        <f>E95+E96+E100</f>
        <v>0</v>
      </c>
      <c r="F113" s="270">
        <f>F95+F96+F100</f>
        <v>0</v>
      </c>
    </row>
    <row r="114" spans="1:7" ht="15.75" customHeight="1" x14ac:dyDescent="0.2">
      <c r="A114" s="1015"/>
      <c r="B114" s="269">
        <v>0.03</v>
      </c>
      <c r="C114" s="270">
        <f>C95+C96+C103</f>
        <v>0</v>
      </c>
      <c r="D114" s="270">
        <f>D95+D96+D103</f>
        <v>0</v>
      </c>
      <c r="E114" s="270">
        <f>E95+E96+E103</f>
        <v>0</v>
      </c>
      <c r="F114" s="270">
        <f>F95+F96+F103</f>
        <v>0</v>
      </c>
      <c r="G114" s="265"/>
    </row>
    <row r="115" spans="1:7" ht="15.75" customHeight="1" x14ac:dyDescent="0.2">
      <c r="A115" s="1015"/>
      <c r="B115" s="269">
        <v>0.04</v>
      </c>
      <c r="C115" s="270">
        <f>C95+C96+C106</f>
        <v>0</v>
      </c>
      <c r="D115" s="270">
        <f>D95+D96+D106</f>
        <v>0</v>
      </c>
      <c r="E115" s="270">
        <f>E95+E96+E106</f>
        <v>0</v>
      </c>
      <c r="F115" s="270">
        <f>F95+F96+F106</f>
        <v>0</v>
      </c>
    </row>
    <row r="116" spans="1:7" ht="15.75" customHeight="1" x14ac:dyDescent="0.2">
      <c r="A116" s="1015"/>
      <c r="B116" s="271">
        <v>0.05</v>
      </c>
      <c r="C116" s="272">
        <f>C95+C96+C109</f>
        <v>0</v>
      </c>
      <c r="D116" s="272">
        <f>D95+D96+D109</f>
        <v>0</v>
      </c>
      <c r="E116" s="272">
        <f>E95+E96+E109</f>
        <v>0</v>
      </c>
      <c r="F116" s="272">
        <f>F95+F96+F109</f>
        <v>0</v>
      </c>
    </row>
    <row r="117" spans="1:7" ht="15.75" customHeight="1" x14ac:dyDescent="0.2">
      <c r="A117" s="96" t="s">
        <v>538</v>
      </c>
      <c r="B117" s="273"/>
      <c r="C117" s="274"/>
      <c r="D117" s="274"/>
      <c r="E117" s="275"/>
      <c r="F117" s="276"/>
    </row>
    <row r="118" spans="1:7" ht="24.75" customHeight="1" x14ac:dyDescent="0.2">
      <c r="A118" s="143"/>
      <c r="B118" s="277"/>
      <c r="C118" s="278"/>
      <c r="D118" s="278"/>
      <c r="E118" s="279"/>
      <c r="F118" s="280"/>
    </row>
    <row r="119" spans="1:7" ht="15.75" customHeight="1" x14ac:dyDescent="0.2">
      <c r="A119" s="1016"/>
      <c r="B119" s="1016"/>
      <c r="C119" s="1016"/>
      <c r="D119" s="1016"/>
      <c r="E119" s="1016"/>
      <c r="F119" s="1016"/>
    </row>
    <row r="120" spans="1:7" ht="15.75" customHeight="1" x14ac:dyDescent="0.2">
      <c r="A120" s="1017"/>
      <c r="B120" s="1017"/>
      <c r="C120" s="1017"/>
      <c r="D120" s="1017"/>
      <c r="E120" s="1017"/>
      <c r="F120" s="1017"/>
    </row>
    <row r="121" spans="1:7" ht="54.75" customHeight="1" x14ac:dyDescent="0.2">
      <c r="A121" s="1018" t="s">
        <v>539</v>
      </c>
      <c r="B121" s="1018"/>
      <c r="C121" s="281" t="str">
        <f>C10</f>
        <v xml:space="preserve">Servente 40h </v>
      </c>
      <c r="D121" s="281" t="str">
        <f>D10</f>
        <v xml:space="preserve">Servente 30h </v>
      </c>
      <c r="E121" s="282" t="str">
        <f>E10</f>
        <v>Servente 44h limpeza de esquadrias com risco</v>
      </c>
      <c r="F121" s="283" t="str">
        <f>F10</f>
        <v>Encarregada 40h</v>
      </c>
    </row>
    <row r="122" spans="1:7" ht="15.75" customHeight="1" x14ac:dyDescent="0.2">
      <c r="A122" s="1019" t="s">
        <v>540</v>
      </c>
      <c r="B122" s="1019"/>
      <c r="C122" s="284" t="s">
        <v>469</v>
      </c>
      <c r="D122" s="284" t="s">
        <v>469</v>
      </c>
      <c r="E122" s="284" t="s">
        <v>469</v>
      </c>
      <c r="F122" s="285" t="s">
        <v>469</v>
      </c>
    </row>
    <row r="123" spans="1:7" ht="14.25" customHeight="1" x14ac:dyDescent="0.2">
      <c r="A123" s="1020" t="s">
        <v>541</v>
      </c>
      <c r="B123" s="1020"/>
      <c r="C123" s="286">
        <f>C19</f>
        <v>0</v>
      </c>
      <c r="D123" s="286">
        <f>D19</f>
        <v>0</v>
      </c>
      <c r="E123" s="286">
        <f>E19</f>
        <v>0</v>
      </c>
      <c r="F123" s="287">
        <f>F19</f>
        <v>0</v>
      </c>
    </row>
    <row r="124" spans="1:7" ht="14.25" customHeight="1" x14ac:dyDescent="0.2">
      <c r="A124" s="1021" t="s">
        <v>542</v>
      </c>
      <c r="B124" s="1021"/>
      <c r="C124" s="139">
        <f>C49</f>
        <v>0</v>
      </c>
      <c r="D124" s="139">
        <f>D49</f>
        <v>0</v>
      </c>
      <c r="E124" s="139">
        <f>E49</f>
        <v>0</v>
      </c>
      <c r="F124" s="140">
        <f>F49</f>
        <v>0</v>
      </c>
    </row>
    <row r="125" spans="1:7" ht="14.25" customHeight="1" x14ac:dyDescent="0.2">
      <c r="A125" s="1021" t="s">
        <v>543</v>
      </c>
      <c r="B125" s="1021"/>
      <c r="C125" s="139">
        <f>C60</f>
        <v>0</v>
      </c>
      <c r="D125" s="139">
        <f>D60</f>
        <v>0</v>
      </c>
      <c r="E125" s="139">
        <f>E60</f>
        <v>0</v>
      </c>
      <c r="F125" s="140">
        <f>F60</f>
        <v>0</v>
      </c>
    </row>
    <row r="126" spans="1:7" ht="14.25" customHeight="1" x14ac:dyDescent="0.2">
      <c r="A126" s="1021" t="s">
        <v>544</v>
      </c>
      <c r="B126" s="1021"/>
      <c r="C126" s="139">
        <f>C80</f>
        <v>0</v>
      </c>
      <c r="D126" s="139">
        <f>D80</f>
        <v>0</v>
      </c>
      <c r="E126" s="139">
        <f>E80</f>
        <v>0</v>
      </c>
      <c r="F126" s="140">
        <f>F69</f>
        <v>0</v>
      </c>
    </row>
    <row r="127" spans="1:7" ht="15.75" customHeight="1" x14ac:dyDescent="0.2">
      <c r="A127" s="1021" t="s">
        <v>545</v>
      </c>
      <c r="B127" s="1021"/>
      <c r="C127" s="139">
        <f>C91</f>
        <v>0</v>
      </c>
      <c r="D127" s="139">
        <f>D91</f>
        <v>0</v>
      </c>
      <c r="E127" s="139">
        <f>E91</f>
        <v>0</v>
      </c>
      <c r="F127" s="140">
        <f>F91</f>
        <v>0</v>
      </c>
    </row>
    <row r="128" spans="1:7" ht="15.75" customHeight="1" x14ac:dyDescent="0.2">
      <c r="A128" s="1024" t="s">
        <v>546</v>
      </c>
      <c r="B128" s="1024"/>
      <c r="C128" s="141">
        <f>SUM(C123:C127)</f>
        <v>0</v>
      </c>
      <c r="D128" s="141">
        <f>SUM(D123:D127)</f>
        <v>0</v>
      </c>
      <c r="E128" s="288">
        <f>SUM(E123:E127)</f>
        <v>0</v>
      </c>
      <c r="F128" s="142">
        <f>SUM(F123:F127)</f>
        <v>0</v>
      </c>
    </row>
    <row r="129" spans="1:12" ht="15.75" customHeight="1" x14ac:dyDescent="0.2">
      <c r="A129" s="1022" t="s">
        <v>547</v>
      </c>
      <c r="B129" s="1022"/>
      <c r="C129" s="289">
        <f t="shared" ref="C129:F133" si="25">C112</f>
        <v>0</v>
      </c>
      <c r="D129" s="289">
        <f t="shared" si="25"/>
        <v>0</v>
      </c>
      <c r="E129" s="289">
        <f t="shared" si="25"/>
        <v>0</v>
      </c>
      <c r="F129" s="290">
        <f t="shared" si="25"/>
        <v>0</v>
      </c>
    </row>
    <row r="130" spans="1:12" ht="15.75" customHeight="1" x14ac:dyDescent="0.2">
      <c r="A130" s="1021" t="s">
        <v>548</v>
      </c>
      <c r="B130" s="1021"/>
      <c r="C130" s="291">
        <f t="shared" si="25"/>
        <v>0</v>
      </c>
      <c r="D130" s="291">
        <f t="shared" si="25"/>
        <v>0</v>
      </c>
      <c r="E130" s="291">
        <f t="shared" si="25"/>
        <v>0</v>
      </c>
      <c r="F130" s="292">
        <f t="shared" si="25"/>
        <v>0</v>
      </c>
    </row>
    <row r="131" spans="1:12" ht="15.75" customHeight="1" x14ac:dyDescent="0.2">
      <c r="A131" s="1021" t="s">
        <v>549</v>
      </c>
      <c r="B131" s="1021"/>
      <c r="C131" s="291">
        <f t="shared" si="25"/>
        <v>0</v>
      </c>
      <c r="D131" s="291">
        <f t="shared" si="25"/>
        <v>0</v>
      </c>
      <c r="E131" s="291">
        <f t="shared" si="25"/>
        <v>0</v>
      </c>
      <c r="F131" s="292">
        <f t="shared" si="25"/>
        <v>0</v>
      </c>
    </row>
    <row r="132" spans="1:12" ht="15.75" customHeight="1" x14ac:dyDescent="0.2">
      <c r="A132" s="1021" t="s">
        <v>550</v>
      </c>
      <c r="B132" s="1021"/>
      <c r="C132" s="291">
        <f t="shared" si="25"/>
        <v>0</v>
      </c>
      <c r="D132" s="291">
        <f t="shared" si="25"/>
        <v>0</v>
      </c>
      <c r="E132" s="291">
        <f t="shared" si="25"/>
        <v>0</v>
      </c>
      <c r="F132" s="292">
        <f t="shared" si="25"/>
        <v>0</v>
      </c>
    </row>
    <row r="133" spans="1:12" ht="15.75" customHeight="1" x14ac:dyDescent="0.2">
      <c r="A133" s="1022" t="s">
        <v>551</v>
      </c>
      <c r="B133" s="1022"/>
      <c r="C133" s="291">
        <f t="shared" si="25"/>
        <v>0</v>
      </c>
      <c r="D133" s="291">
        <f t="shared" si="25"/>
        <v>0</v>
      </c>
      <c r="E133" s="291">
        <f t="shared" si="25"/>
        <v>0</v>
      </c>
      <c r="F133" s="292">
        <f t="shared" si="25"/>
        <v>0</v>
      </c>
    </row>
    <row r="134" spans="1:12" ht="15.75" customHeight="1" x14ac:dyDescent="0.2">
      <c r="A134" s="293" t="s">
        <v>552</v>
      </c>
      <c r="B134" s="294"/>
      <c r="C134" s="295">
        <f>C128+C129</f>
        <v>0</v>
      </c>
      <c r="D134" s="295">
        <f>D128+D129</f>
        <v>0</v>
      </c>
      <c r="E134" s="295">
        <f>E128+E129</f>
        <v>0</v>
      </c>
      <c r="F134" s="296">
        <f>F128+F129</f>
        <v>0</v>
      </c>
    </row>
    <row r="135" spans="1:12" ht="15.75" customHeight="1" x14ac:dyDescent="0.2">
      <c r="A135" s="297" t="s">
        <v>553</v>
      </c>
      <c r="B135" s="298"/>
      <c r="C135" s="299">
        <f>C128+C130</f>
        <v>0</v>
      </c>
      <c r="D135" s="299">
        <f>D128+D130</f>
        <v>0</v>
      </c>
      <c r="E135" s="299">
        <f>E128+E130</f>
        <v>0</v>
      </c>
      <c r="F135" s="300">
        <f>F128+F130</f>
        <v>0</v>
      </c>
    </row>
    <row r="136" spans="1:12" ht="15.75" customHeight="1" x14ac:dyDescent="0.2">
      <c r="A136" s="297" t="s">
        <v>554</v>
      </c>
      <c r="B136" s="298"/>
      <c r="C136" s="299">
        <f>C128+C131</f>
        <v>0</v>
      </c>
      <c r="D136" s="299">
        <f>D128+D131</f>
        <v>0</v>
      </c>
      <c r="E136" s="299">
        <f>E128+E131</f>
        <v>0</v>
      </c>
      <c r="F136" s="300">
        <f>F128+F131</f>
        <v>0</v>
      </c>
    </row>
    <row r="137" spans="1:12" ht="15.75" customHeight="1" x14ac:dyDescent="0.2">
      <c r="A137" s="297" t="s">
        <v>555</v>
      </c>
      <c r="B137" s="298"/>
      <c r="C137" s="299">
        <f>C128+C132</f>
        <v>0</v>
      </c>
      <c r="D137" s="299">
        <f>D128+D132</f>
        <v>0</v>
      </c>
      <c r="E137" s="299">
        <f>E128+E132</f>
        <v>0</v>
      </c>
      <c r="F137" s="300">
        <f>F128+F132</f>
        <v>0</v>
      </c>
    </row>
    <row r="138" spans="1:12" ht="15.75" customHeight="1" x14ac:dyDescent="0.2">
      <c r="A138" s="297" t="s">
        <v>556</v>
      </c>
      <c r="B138" s="298"/>
      <c r="C138" s="299">
        <f>C128+C133</f>
        <v>0</v>
      </c>
      <c r="D138" s="299">
        <f>D128+D133</f>
        <v>0</v>
      </c>
      <c r="E138" s="299">
        <f>E128+E133</f>
        <v>0</v>
      </c>
      <c r="F138" s="300">
        <f>F128+F133</f>
        <v>0</v>
      </c>
    </row>
    <row r="139" spans="1:12" ht="15.75" customHeight="1" x14ac:dyDescent="0.2">
      <c r="A139" s="301" t="s">
        <v>557</v>
      </c>
      <c r="B139" s="302"/>
      <c r="C139" s="303">
        <f>C134/200</f>
        <v>0</v>
      </c>
      <c r="D139" s="303"/>
      <c r="E139" s="304"/>
      <c r="F139" s="305"/>
    </row>
    <row r="140" spans="1:12" ht="15.75" customHeight="1" x14ac:dyDescent="0.2">
      <c r="A140" s="306" t="s">
        <v>558</v>
      </c>
      <c r="B140" s="307"/>
      <c r="C140" s="308">
        <f>C135/200</f>
        <v>0</v>
      </c>
      <c r="D140" s="308"/>
      <c r="E140" s="309"/>
      <c r="F140" s="310"/>
    </row>
    <row r="141" spans="1:12" ht="15.75" customHeight="1" x14ac:dyDescent="0.2">
      <c r="A141" s="306" t="s">
        <v>559</v>
      </c>
      <c r="B141" s="307"/>
      <c r="C141" s="308">
        <f>C136/200</f>
        <v>0</v>
      </c>
      <c r="D141" s="308"/>
      <c r="E141" s="309"/>
      <c r="F141" s="310"/>
    </row>
    <row r="142" spans="1:12" ht="15.75" customHeight="1" x14ac:dyDescent="0.2">
      <c r="A142" s="306" t="s">
        <v>560</v>
      </c>
      <c r="B142" s="307"/>
      <c r="C142" s="308">
        <f>C137/200</f>
        <v>0</v>
      </c>
      <c r="D142" s="308"/>
      <c r="E142" s="309"/>
      <c r="F142" s="310"/>
    </row>
    <row r="143" spans="1:12" ht="15.75" customHeight="1" x14ac:dyDescent="0.2">
      <c r="A143" s="311" t="s">
        <v>561</v>
      </c>
      <c r="B143" s="312"/>
      <c r="C143" s="313">
        <f>C138/200</f>
        <v>0</v>
      </c>
      <c r="D143" s="313"/>
      <c r="E143" s="314"/>
      <c r="F143" s="315"/>
    </row>
    <row r="144" spans="1:12" x14ac:dyDescent="0.2">
      <c r="A144" s="316"/>
      <c r="B144"/>
      <c r="C144"/>
      <c r="D144"/>
      <c r="E144"/>
      <c r="F144"/>
      <c r="G144"/>
      <c r="H144"/>
      <c r="I144"/>
      <c r="J144"/>
      <c r="K144"/>
      <c r="L144"/>
    </row>
    <row r="145" spans="1:15" ht="14.25" customHeight="1" x14ac:dyDescent="0.2">
      <c r="A145" s="1023" t="s">
        <v>562</v>
      </c>
      <c r="B145" s="1023"/>
      <c r="C145" s="1023" t="s">
        <v>563</v>
      </c>
      <c r="D145" s="1023"/>
      <c r="E145" s="1029" t="s">
        <v>564</v>
      </c>
      <c r="F145" s="1030"/>
      <c r="G145" s="1025" t="s">
        <v>565</v>
      </c>
      <c r="H145" s="1025"/>
      <c r="I145" s="1025" t="s">
        <v>566</v>
      </c>
      <c r="J145" s="1025"/>
      <c r="K145" s="1025" t="s">
        <v>567</v>
      </c>
      <c r="L145" s="1025"/>
    </row>
    <row r="146" spans="1:15" ht="38.25" x14ac:dyDescent="0.2">
      <c r="A146" s="347" t="s">
        <v>568</v>
      </c>
      <c r="B146" s="348" t="s">
        <v>569</v>
      </c>
      <c r="C146" s="348" t="s">
        <v>570</v>
      </c>
      <c r="D146" s="348" t="s">
        <v>571</v>
      </c>
      <c r="E146" s="348" t="s">
        <v>570</v>
      </c>
      <c r="F146" s="348" t="s">
        <v>571</v>
      </c>
      <c r="G146" s="348" t="s">
        <v>570</v>
      </c>
      <c r="H146" s="348" t="s">
        <v>571</v>
      </c>
      <c r="I146" s="348" t="s">
        <v>570</v>
      </c>
      <c r="J146" s="348" t="s">
        <v>571</v>
      </c>
      <c r="K146" s="348" t="s">
        <v>570</v>
      </c>
      <c r="L146" s="348" t="s">
        <v>571</v>
      </c>
    </row>
    <row r="147" spans="1:15" x14ac:dyDescent="0.2">
      <c r="A147" s="349" t="s">
        <v>572</v>
      </c>
      <c r="B147" s="350">
        <f>1/'Prod. GEXCAS'!C24</f>
        <v>1.25E-3</v>
      </c>
      <c r="C147" s="351">
        <f>C134</f>
        <v>0</v>
      </c>
      <c r="D147" s="351">
        <f>B147*C147</f>
        <v>0</v>
      </c>
      <c r="E147" s="351">
        <f>C135</f>
        <v>0</v>
      </c>
      <c r="F147" s="351">
        <f>B147*E147</f>
        <v>0</v>
      </c>
      <c r="G147" s="351">
        <f>C136</f>
        <v>0</v>
      </c>
      <c r="H147" s="351">
        <f>B147*G147</f>
        <v>0</v>
      </c>
      <c r="I147" s="351">
        <f>C137</f>
        <v>0</v>
      </c>
      <c r="J147" s="351">
        <f>B147*I147</f>
        <v>0</v>
      </c>
      <c r="K147" s="351">
        <f>C138</f>
        <v>0</v>
      </c>
      <c r="L147" s="351">
        <f>B147*K147</f>
        <v>0</v>
      </c>
    </row>
    <row r="148" spans="1:15" x14ac:dyDescent="0.2">
      <c r="A148" s="352" t="s">
        <v>573</v>
      </c>
      <c r="B148" s="350">
        <f>B147/'Prod. GEXCAS'!O24</f>
        <v>3.7878787878787879E-5</v>
      </c>
      <c r="C148" s="351">
        <f>F136</f>
        <v>0</v>
      </c>
      <c r="D148" s="351">
        <f>C148*B148</f>
        <v>0</v>
      </c>
      <c r="E148" s="351">
        <f>F136</f>
        <v>0</v>
      </c>
      <c r="F148" s="351">
        <f>B148*E148</f>
        <v>0</v>
      </c>
      <c r="G148" s="351">
        <f>F136</f>
        <v>0</v>
      </c>
      <c r="H148" s="351">
        <f>B148*G148</f>
        <v>0</v>
      </c>
      <c r="I148" s="351">
        <f>F136</f>
        <v>0</v>
      </c>
      <c r="J148" s="351">
        <f>B148*I148</f>
        <v>0</v>
      </c>
      <c r="K148" s="351">
        <f>F136</f>
        <v>0</v>
      </c>
      <c r="L148" s="351">
        <f>B148*K148</f>
        <v>0</v>
      </c>
      <c r="M148" s="1037"/>
      <c r="N148" s="1038"/>
      <c r="O148" s="517"/>
    </row>
    <row r="149" spans="1:15" x14ac:dyDescent="0.2">
      <c r="A149" s="353" t="s">
        <v>576</v>
      </c>
      <c r="B149" s="354"/>
      <c r="C149" s="355"/>
      <c r="D149" s="355">
        <f>SUM(D147:D148)</f>
        <v>0</v>
      </c>
      <c r="E149" s="355"/>
      <c r="F149" s="355">
        <f>SUM(F147:F148)</f>
        <v>0</v>
      </c>
      <c r="G149" s="355"/>
      <c r="H149" s="355">
        <f>SUM(H147:H148)</f>
        <v>0</v>
      </c>
      <c r="I149" s="355"/>
      <c r="J149" s="355">
        <f>SUM(J147:J148)</f>
        <v>0</v>
      </c>
      <c r="K149" s="355"/>
      <c r="L149" s="355">
        <f>SUM(L147:L148)</f>
        <v>0</v>
      </c>
      <c r="M149" s="515"/>
      <c r="N149" s="516"/>
    </row>
    <row r="150" spans="1:15" x14ac:dyDescent="0.2">
      <c r="A150" s="317"/>
      <c r="B150" s="318"/>
      <c r="C150" s="318"/>
      <c r="D150" s="319"/>
      <c r="E150" s="319"/>
      <c r="F150"/>
      <c r="G150"/>
      <c r="H150"/>
      <c r="I150"/>
      <c r="J150"/>
      <c r="K150"/>
      <c r="L150"/>
    </row>
    <row r="151" spans="1:15" ht="14.25" customHeight="1" x14ac:dyDescent="0.2">
      <c r="A151" s="1026" t="s">
        <v>577</v>
      </c>
      <c r="B151" s="1026"/>
      <c r="C151" s="1026" t="s">
        <v>563</v>
      </c>
      <c r="D151" s="1026"/>
      <c r="E151" s="1027" t="s">
        <v>564</v>
      </c>
      <c r="F151" s="1028"/>
      <c r="G151" s="1026" t="s">
        <v>565</v>
      </c>
      <c r="H151" s="1026"/>
      <c r="I151" s="1026" t="s">
        <v>566</v>
      </c>
      <c r="J151" s="1026"/>
      <c r="K151" s="1026" t="s">
        <v>567</v>
      </c>
      <c r="L151" s="1026"/>
    </row>
    <row r="152" spans="1:15" ht="38.25" x14ac:dyDescent="0.2">
      <c r="A152" s="347" t="s">
        <v>568</v>
      </c>
      <c r="B152" s="348" t="s">
        <v>578</v>
      </c>
      <c r="C152" s="348" t="s">
        <v>570</v>
      </c>
      <c r="D152" s="348" t="s">
        <v>571</v>
      </c>
      <c r="E152" s="348" t="s">
        <v>570</v>
      </c>
      <c r="F152" s="348" t="s">
        <v>571</v>
      </c>
      <c r="G152" s="348" t="s">
        <v>570</v>
      </c>
      <c r="H152" s="348" t="s">
        <v>571</v>
      </c>
      <c r="I152" s="348" t="s">
        <v>570</v>
      </c>
      <c r="J152" s="348" t="s">
        <v>571</v>
      </c>
      <c r="K152" s="348" t="s">
        <v>570</v>
      </c>
      <c r="L152" s="348" t="s">
        <v>571</v>
      </c>
    </row>
    <row r="153" spans="1:15" x14ac:dyDescent="0.2">
      <c r="A153" s="349" t="s">
        <v>572</v>
      </c>
      <c r="B153" s="356">
        <f>1/'Prod. GEXCAS'!D24</f>
        <v>6.6666666666666664E-4</v>
      </c>
      <c r="C153" s="357">
        <f>C134</f>
        <v>0</v>
      </c>
      <c r="D153" s="351">
        <f>B153*C153</f>
        <v>0</v>
      </c>
      <c r="E153" s="351">
        <f>C135</f>
        <v>0</v>
      </c>
      <c r="F153" s="351">
        <f>B153*E153</f>
        <v>0</v>
      </c>
      <c r="G153" s="351">
        <f>C136</f>
        <v>0</v>
      </c>
      <c r="H153" s="351">
        <f>B153*G153</f>
        <v>0</v>
      </c>
      <c r="I153" s="351">
        <f>C137</f>
        <v>0</v>
      </c>
      <c r="J153" s="351">
        <f>B153*I153</f>
        <v>0</v>
      </c>
      <c r="K153" s="351">
        <f>C138</f>
        <v>0</v>
      </c>
      <c r="L153" s="351">
        <f>B153*K153</f>
        <v>0</v>
      </c>
    </row>
    <row r="154" spans="1:15" x14ac:dyDescent="0.2">
      <c r="A154" s="352" t="s">
        <v>573</v>
      </c>
      <c r="B154" s="350">
        <f>B153/'Prod. GEXCAS'!O24</f>
        <v>2.0202020202020203E-5</v>
      </c>
      <c r="C154" s="351">
        <f>F136</f>
        <v>0</v>
      </c>
      <c r="D154" s="351">
        <f>B154*C154</f>
        <v>0</v>
      </c>
      <c r="E154" s="351">
        <f>F136</f>
        <v>0</v>
      </c>
      <c r="F154" s="351">
        <f>B154*E154</f>
        <v>0</v>
      </c>
      <c r="G154" s="351">
        <f>F136</f>
        <v>0</v>
      </c>
      <c r="H154" s="351">
        <f>B154*G154</f>
        <v>0</v>
      </c>
      <c r="I154" s="351">
        <f>F136</f>
        <v>0</v>
      </c>
      <c r="J154" s="351">
        <f>B154*I154</f>
        <v>0</v>
      </c>
      <c r="K154" s="351">
        <f>F136</f>
        <v>0</v>
      </c>
      <c r="L154" s="351">
        <f>B154*K154</f>
        <v>0</v>
      </c>
    </row>
    <row r="155" spans="1:15" x14ac:dyDescent="0.2">
      <c r="A155" s="353" t="s">
        <v>579</v>
      </c>
      <c r="B155" s="354"/>
      <c r="C155" s="355"/>
      <c r="D155" s="355">
        <f>SUM(D153:D154)</f>
        <v>0</v>
      </c>
      <c r="E155" s="355"/>
      <c r="F155" s="355">
        <f>SUM(F153:F154)</f>
        <v>0</v>
      </c>
      <c r="G155" s="355"/>
      <c r="H155" s="355">
        <f>SUM(H153:H154)</f>
        <v>0</v>
      </c>
      <c r="I155" s="355"/>
      <c r="J155" s="355">
        <f>SUM(J153:J154)</f>
        <v>0</v>
      </c>
      <c r="K155" s="355"/>
      <c r="L155" s="355">
        <f>SUM(L153:L154)</f>
        <v>0</v>
      </c>
    </row>
    <row r="156" spans="1:15" x14ac:dyDescent="0.2">
      <c r="A156" s="317"/>
      <c r="B156" s="320"/>
      <c r="C156" s="320"/>
      <c r="D156" s="320"/>
      <c r="E156" s="320"/>
      <c r="F156"/>
      <c r="G156"/>
      <c r="H156"/>
      <c r="I156"/>
      <c r="J156"/>
      <c r="K156"/>
      <c r="L156"/>
    </row>
    <row r="157" spans="1:15" ht="14.25" customHeight="1" x14ac:dyDescent="0.2">
      <c r="A157" s="1026" t="s">
        <v>580</v>
      </c>
      <c r="B157" s="1026"/>
      <c r="C157" s="1026" t="s">
        <v>563</v>
      </c>
      <c r="D157" s="1026"/>
      <c r="E157" s="1027" t="s">
        <v>564</v>
      </c>
      <c r="F157" s="1028"/>
      <c r="G157" s="1026" t="s">
        <v>565</v>
      </c>
      <c r="H157" s="1026"/>
      <c r="I157" s="1026" t="s">
        <v>566</v>
      </c>
      <c r="J157" s="1026"/>
      <c r="K157" s="1026" t="s">
        <v>567</v>
      </c>
      <c r="L157" s="1026"/>
    </row>
    <row r="158" spans="1:15" ht="38.25" x14ac:dyDescent="0.2">
      <c r="A158" s="347" t="s">
        <v>568</v>
      </c>
      <c r="B158" s="348" t="s">
        <v>578</v>
      </c>
      <c r="C158" s="348" t="s">
        <v>570</v>
      </c>
      <c r="D158" s="348" t="s">
        <v>571</v>
      </c>
      <c r="E158" s="348" t="s">
        <v>570</v>
      </c>
      <c r="F158" s="348" t="s">
        <v>571</v>
      </c>
      <c r="G158" s="348" t="s">
        <v>570</v>
      </c>
      <c r="H158" s="348" t="s">
        <v>571</v>
      </c>
      <c r="I158" s="348" t="s">
        <v>570</v>
      </c>
      <c r="J158" s="348" t="s">
        <v>571</v>
      </c>
      <c r="K158" s="348" t="s">
        <v>570</v>
      </c>
      <c r="L158" s="348" t="s">
        <v>571</v>
      </c>
    </row>
    <row r="159" spans="1:15" x14ac:dyDescent="0.2">
      <c r="A159" s="349" t="s">
        <v>572</v>
      </c>
      <c r="B159" s="356">
        <f>1/'Prod. GEXCAS'!E24</f>
        <v>1E-3</v>
      </c>
      <c r="C159" s="357">
        <f>C134</f>
        <v>0</v>
      </c>
      <c r="D159" s="351">
        <f>B159*C159</f>
        <v>0</v>
      </c>
      <c r="E159" s="351">
        <f>C135</f>
        <v>0</v>
      </c>
      <c r="F159" s="351">
        <f>B159*E159</f>
        <v>0</v>
      </c>
      <c r="G159" s="351">
        <f>C136</f>
        <v>0</v>
      </c>
      <c r="H159" s="351">
        <f>B159*G159</f>
        <v>0</v>
      </c>
      <c r="I159" s="351">
        <f>C137</f>
        <v>0</v>
      </c>
      <c r="J159" s="351">
        <f>B159*I159</f>
        <v>0</v>
      </c>
      <c r="K159" s="351">
        <f>C138</f>
        <v>0</v>
      </c>
      <c r="L159" s="351">
        <f>B159*K159</f>
        <v>0</v>
      </c>
    </row>
    <row r="160" spans="1:15" x14ac:dyDescent="0.2">
      <c r="A160" s="352" t="s">
        <v>573</v>
      </c>
      <c r="B160" s="350">
        <f>B159/'Prod. GEXCAS'!O24</f>
        <v>3.0303030303030302E-5</v>
      </c>
      <c r="C160" s="351">
        <f>F136</f>
        <v>0</v>
      </c>
      <c r="D160" s="351">
        <f>B160*C160</f>
        <v>0</v>
      </c>
      <c r="E160" s="351">
        <f>F136</f>
        <v>0</v>
      </c>
      <c r="F160" s="351">
        <f>B160*E160</f>
        <v>0</v>
      </c>
      <c r="G160" s="351">
        <f>F136</f>
        <v>0</v>
      </c>
      <c r="H160" s="351">
        <f>B160*G160</f>
        <v>0</v>
      </c>
      <c r="I160" s="351">
        <f>F136</f>
        <v>0</v>
      </c>
      <c r="J160" s="351">
        <f>B160*I160</f>
        <v>0</v>
      </c>
      <c r="K160" s="351">
        <f>F136</f>
        <v>0</v>
      </c>
      <c r="L160" s="351">
        <f>B160*K160</f>
        <v>0</v>
      </c>
    </row>
    <row r="161" spans="1:14" x14ac:dyDescent="0.2">
      <c r="A161" s="353" t="s">
        <v>579</v>
      </c>
      <c r="B161" s="354"/>
      <c r="C161" s="355"/>
      <c r="D161" s="355">
        <f>SUM(D159:D160)</f>
        <v>0</v>
      </c>
      <c r="E161" s="355"/>
      <c r="F161" s="355">
        <f>SUM(F159:F160)</f>
        <v>0</v>
      </c>
      <c r="G161" s="355"/>
      <c r="H161" s="355">
        <f>SUM(H159:H160)</f>
        <v>0</v>
      </c>
      <c r="I161" s="355"/>
      <c r="J161" s="355">
        <f>SUM(J159:J160)</f>
        <v>0</v>
      </c>
      <c r="K161" s="355"/>
      <c r="L161" s="355">
        <f>SUM(L159:L160)</f>
        <v>0</v>
      </c>
    </row>
    <row r="162" spans="1:14" x14ac:dyDescent="0.2">
      <c r="A162" s="317"/>
      <c r="B162" s="320"/>
      <c r="C162" s="320"/>
      <c r="D162" s="320"/>
      <c r="E162" s="320"/>
      <c r="F162"/>
      <c r="G162"/>
      <c r="H162"/>
      <c r="I162"/>
      <c r="J162"/>
      <c r="K162"/>
      <c r="L162"/>
    </row>
    <row r="163" spans="1:14" ht="14.25" customHeight="1" x14ac:dyDescent="0.2">
      <c r="A163" s="1026" t="s">
        <v>581</v>
      </c>
      <c r="B163" s="1026"/>
      <c r="C163" s="1026" t="s">
        <v>563</v>
      </c>
      <c r="D163" s="1026"/>
      <c r="E163" s="1027" t="s">
        <v>564</v>
      </c>
      <c r="F163" s="1028"/>
      <c r="G163" s="1026" t="s">
        <v>565</v>
      </c>
      <c r="H163" s="1026"/>
      <c r="I163" s="1026" t="s">
        <v>566</v>
      </c>
      <c r="J163" s="1026"/>
      <c r="K163" s="1026" t="s">
        <v>567</v>
      </c>
      <c r="L163" s="1026"/>
    </row>
    <row r="164" spans="1:14" ht="38.25" x14ac:dyDescent="0.2">
      <c r="A164" s="347" t="s">
        <v>568</v>
      </c>
      <c r="B164" s="348" t="s">
        <v>578</v>
      </c>
      <c r="C164" s="348" t="s">
        <v>570</v>
      </c>
      <c r="D164" s="348" t="s">
        <v>571</v>
      </c>
      <c r="E164" s="348" t="s">
        <v>570</v>
      </c>
      <c r="F164" s="348" t="s">
        <v>571</v>
      </c>
      <c r="G164" s="348" t="s">
        <v>570</v>
      </c>
      <c r="H164" s="348" t="s">
        <v>571</v>
      </c>
      <c r="I164" s="348" t="s">
        <v>570</v>
      </c>
      <c r="J164" s="348" t="s">
        <v>571</v>
      </c>
      <c r="K164" s="348" t="s">
        <v>570</v>
      </c>
      <c r="L164" s="348" t="s">
        <v>571</v>
      </c>
    </row>
    <row r="165" spans="1:14" x14ac:dyDescent="0.2">
      <c r="A165" s="349" t="s">
        <v>572</v>
      </c>
      <c r="B165" s="356">
        <f>1/'Prod. GEXCAS'!F24</f>
        <v>5.0000000000000001E-3</v>
      </c>
      <c r="C165" s="351">
        <f>C134</f>
        <v>0</v>
      </c>
      <c r="D165" s="351">
        <f>B165*C165</f>
        <v>0</v>
      </c>
      <c r="E165" s="351">
        <f>C135</f>
        <v>0</v>
      </c>
      <c r="F165" s="351">
        <f>B165*E165</f>
        <v>0</v>
      </c>
      <c r="G165" s="351">
        <f>C136</f>
        <v>0</v>
      </c>
      <c r="H165" s="351">
        <f>B165*G165</f>
        <v>0</v>
      </c>
      <c r="I165" s="351">
        <f>C137</f>
        <v>0</v>
      </c>
      <c r="J165" s="351">
        <f>B165*I165</f>
        <v>0</v>
      </c>
      <c r="K165" s="351">
        <f>C138</f>
        <v>0</v>
      </c>
      <c r="L165" s="351">
        <f>B165*K165</f>
        <v>0</v>
      </c>
    </row>
    <row r="166" spans="1:14" x14ac:dyDescent="0.2">
      <c r="A166" s="352" t="s">
        <v>573</v>
      </c>
      <c r="B166" s="350">
        <f>B165/'Prod. GEXCAS'!O24</f>
        <v>1.5151515151515152E-4</v>
      </c>
      <c r="C166" s="351">
        <f>F136</f>
        <v>0</v>
      </c>
      <c r="D166" s="351">
        <f>C166*B166</f>
        <v>0</v>
      </c>
      <c r="E166" s="351">
        <f>F136</f>
        <v>0</v>
      </c>
      <c r="F166" s="351">
        <f>B166*E166</f>
        <v>0</v>
      </c>
      <c r="G166" s="351">
        <f>F136</f>
        <v>0</v>
      </c>
      <c r="H166" s="351">
        <f>B166*G166</f>
        <v>0</v>
      </c>
      <c r="I166" s="351">
        <f>F136</f>
        <v>0</v>
      </c>
      <c r="J166" s="351">
        <f>B166*I166</f>
        <v>0</v>
      </c>
      <c r="K166" s="351">
        <f>F136</f>
        <v>0</v>
      </c>
      <c r="L166" s="351">
        <f>B166*K166</f>
        <v>0</v>
      </c>
    </row>
    <row r="167" spans="1:14" x14ac:dyDescent="0.2">
      <c r="A167" s="353" t="s">
        <v>579</v>
      </c>
      <c r="B167" s="354"/>
      <c r="C167" s="355"/>
      <c r="D167" s="355">
        <f>SUM(D165:D166)</f>
        <v>0</v>
      </c>
      <c r="E167" s="355"/>
      <c r="F167" s="355">
        <f>SUM(F165:F166)</f>
        <v>0</v>
      </c>
      <c r="G167" s="355"/>
      <c r="H167" s="355">
        <f>SUM(H165:H166)</f>
        <v>0</v>
      </c>
      <c r="I167" s="355"/>
      <c r="J167" s="355">
        <f>SUM(J165:J166)</f>
        <v>0</v>
      </c>
      <c r="K167" s="355"/>
      <c r="L167" s="355">
        <f>SUM(L165:L166)</f>
        <v>0</v>
      </c>
    </row>
    <row r="168" spans="1:14" x14ac:dyDescent="0.2">
      <c r="A168" s="317"/>
      <c r="B168" s="321"/>
      <c r="C168" s="321"/>
      <c r="D168" s="321"/>
      <c r="E168" s="321"/>
    </row>
    <row r="169" spans="1:14" ht="14.25" customHeight="1" x14ac:dyDescent="0.2">
      <c r="A169" s="1031" t="s">
        <v>582</v>
      </c>
      <c r="B169" s="1031"/>
      <c r="C169" s="1031" t="s">
        <v>563</v>
      </c>
      <c r="D169" s="1031"/>
      <c r="E169" s="1035" t="s">
        <v>564</v>
      </c>
      <c r="F169" s="1036"/>
      <c r="G169" s="1031" t="s">
        <v>565</v>
      </c>
      <c r="H169" s="1031"/>
      <c r="I169" s="1031" t="s">
        <v>566</v>
      </c>
      <c r="J169" s="1031"/>
      <c r="K169" s="1031" t="s">
        <v>567</v>
      </c>
      <c r="L169" s="1031"/>
    </row>
    <row r="170" spans="1:14" ht="38.25" x14ac:dyDescent="0.2">
      <c r="A170" s="347" t="s">
        <v>568</v>
      </c>
      <c r="B170" s="348" t="s">
        <v>578</v>
      </c>
      <c r="C170" s="348" t="s">
        <v>570</v>
      </c>
      <c r="D170" s="348" t="s">
        <v>571</v>
      </c>
      <c r="E170" s="348" t="s">
        <v>570</v>
      </c>
      <c r="F170" s="348" t="s">
        <v>571</v>
      </c>
      <c r="G170" s="348" t="s">
        <v>570</v>
      </c>
      <c r="H170" s="348" t="s">
        <v>571</v>
      </c>
      <c r="I170" s="348" t="s">
        <v>570</v>
      </c>
      <c r="J170" s="348" t="s">
        <v>571</v>
      </c>
      <c r="K170" s="348" t="s">
        <v>570</v>
      </c>
      <c r="L170" s="348" t="s">
        <v>571</v>
      </c>
    </row>
    <row r="171" spans="1:14" x14ac:dyDescent="0.2">
      <c r="A171" s="349" t="s">
        <v>583</v>
      </c>
      <c r="B171" s="356">
        <f>1/'Prod. GEXCAS'!G24</f>
        <v>5.5555555555555556E-4</v>
      </c>
      <c r="C171" s="351">
        <f>C134</f>
        <v>0</v>
      </c>
      <c r="D171" s="351">
        <f>B171*C171</f>
        <v>0</v>
      </c>
      <c r="E171" s="351">
        <f>C135</f>
        <v>0</v>
      </c>
      <c r="F171" s="351">
        <f>B171*E171</f>
        <v>0</v>
      </c>
      <c r="G171" s="351">
        <f>C136</f>
        <v>0</v>
      </c>
      <c r="H171" s="351">
        <f>B171*G171</f>
        <v>0</v>
      </c>
      <c r="I171" s="351">
        <f>C137</f>
        <v>0</v>
      </c>
      <c r="J171" s="351">
        <f>B171*I171</f>
        <v>0</v>
      </c>
      <c r="K171" s="351">
        <f>C138</f>
        <v>0</v>
      </c>
      <c r="L171" s="351">
        <f>B171*K171</f>
        <v>0</v>
      </c>
    </row>
    <row r="172" spans="1:14" x14ac:dyDescent="0.2">
      <c r="A172" s="352" t="s">
        <v>573</v>
      </c>
      <c r="B172" s="350">
        <f>B171/'Prod. GEXCAS'!O24</f>
        <v>1.6835016835016834E-5</v>
      </c>
      <c r="C172" s="351">
        <f>F136</f>
        <v>0</v>
      </c>
      <c r="D172" s="351">
        <f>B172*C172</f>
        <v>0</v>
      </c>
      <c r="E172" s="351">
        <f>F136</f>
        <v>0</v>
      </c>
      <c r="F172" s="351">
        <f>B172*E172</f>
        <v>0</v>
      </c>
      <c r="G172" s="351">
        <f>F136</f>
        <v>0</v>
      </c>
      <c r="H172" s="351">
        <f>B172*G172</f>
        <v>0</v>
      </c>
      <c r="I172" s="351">
        <f>F136</f>
        <v>0</v>
      </c>
      <c r="J172" s="351">
        <f>B172*I172</f>
        <v>0</v>
      </c>
      <c r="K172" s="351">
        <f>F136</f>
        <v>0</v>
      </c>
      <c r="L172" s="351">
        <f>B172*K172</f>
        <v>0</v>
      </c>
      <c r="M172" s="1037"/>
      <c r="N172" s="1038"/>
    </row>
    <row r="173" spans="1:14" x14ac:dyDescent="0.2">
      <c r="A173" s="358" t="s">
        <v>584</v>
      </c>
      <c r="B173" s="359"/>
      <c r="C173" s="360"/>
      <c r="D173" s="361">
        <f>SUM(D171:D172)</f>
        <v>0</v>
      </c>
      <c r="E173" s="360"/>
      <c r="F173" s="361">
        <f>SUM(F171:F172)</f>
        <v>0</v>
      </c>
      <c r="G173" s="360"/>
      <c r="H173" s="361">
        <f>SUM(H171:H172)</f>
        <v>0</v>
      </c>
      <c r="I173" s="360"/>
      <c r="J173" s="361">
        <f>SUM(J171:J172)</f>
        <v>0</v>
      </c>
      <c r="K173" s="360"/>
      <c r="L173" s="361">
        <f>SUM(L171:L172)</f>
        <v>0</v>
      </c>
      <c r="M173" s="515"/>
      <c r="N173" s="516"/>
    </row>
    <row r="174" spans="1:14" x14ac:dyDescent="0.2">
      <c r="A174" s="349" t="s">
        <v>585</v>
      </c>
      <c r="B174" s="356">
        <f>1/'Prod. GEXCAS'!H24</f>
        <v>1.0000000000000001E-5</v>
      </c>
      <c r="C174" s="351">
        <f>C134</f>
        <v>0</v>
      </c>
      <c r="D174" s="351">
        <f>B174*C174</f>
        <v>0</v>
      </c>
      <c r="E174" s="351">
        <f>C135</f>
        <v>0</v>
      </c>
      <c r="F174" s="351">
        <f>B174*E174</f>
        <v>0</v>
      </c>
      <c r="G174" s="351">
        <f>C136</f>
        <v>0</v>
      </c>
      <c r="H174" s="351">
        <f>B174*G174</f>
        <v>0</v>
      </c>
      <c r="I174" s="351">
        <f>C137</f>
        <v>0</v>
      </c>
      <c r="J174" s="351">
        <f>B174*I174</f>
        <v>0</v>
      </c>
      <c r="K174" s="351">
        <f>C138</f>
        <v>0</v>
      </c>
      <c r="L174" s="351">
        <f>B174*K174</f>
        <v>0</v>
      </c>
    </row>
    <row r="175" spans="1:14" x14ac:dyDescent="0.2">
      <c r="A175" s="352" t="s">
        <v>573</v>
      </c>
      <c r="B175" s="350">
        <f>B174/'Prod. GEXCAS'!O24</f>
        <v>3.0303030303030305E-7</v>
      </c>
      <c r="C175" s="351">
        <f>F136</f>
        <v>0</v>
      </c>
      <c r="D175" s="351">
        <f>B175*C175</f>
        <v>0</v>
      </c>
      <c r="E175" s="351">
        <f>F136</f>
        <v>0</v>
      </c>
      <c r="F175" s="351">
        <f>B175*E175</f>
        <v>0</v>
      </c>
      <c r="G175" s="351">
        <f>F136</f>
        <v>0</v>
      </c>
      <c r="H175" s="351">
        <f>B175*G175</f>
        <v>0</v>
      </c>
      <c r="I175" s="351">
        <f>F136</f>
        <v>0</v>
      </c>
      <c r="J175" s="351">
        <f>B175*I175</f>
        <v>0</v>
      </c>
      <c r="K175" s="351">
        <f>F136</f>
        <v>0</v>
      </c>
      <c r="L175" s="351">
        <f>B175*K175</f>
        <v>0</v>
      </c>
    </row>
    <row r="176" spans="1:14" x14ac:dyDescent="0.2">
      <c r="A176" s="358" t="s">
        <v>586</v>
      </c>
      <c r="B176" s="362"/>
      <c r="C176" s="360"/>
      <c r="D176" s="361">
        <f>SUM(D174:D175)</f>
        <v>0</v>
      </c>
      <c r="E176" s="360"/>
      <c r="F176" s="361">
        <f>SUM(F174:F175)</f>
        <v>0</v>
      </c>
      <c r="G176" s="360"/>
      <c r="H176" s="361">
        <f>SUM(H174:H175)</f>
        <v>0</v>
      </c>
      <c r="I176" s="360"/>
      <c r="J176" s="361">
        <f>SUM(J174:J175)</f>
        <v>0</v>
      </c>
      <c r="K176" s="360"/>
      <c r="L176" s="361">
        <f>SUM(L174:L175)</f>
        <v>0</v>
      </c>
    </row>
    <row r="177" spans="1:14" x14ac:dyDescent="0.2">
      <c r="A177" s="349" t="s">
        <v>587</v>
      </c>
      <c r="B177" s="356">
        <f>1/'Prod. GEXCAS'!I24</f>
        <v>1.1111111111111112E-4</v>
      </c>
      <c r="C177" s="351">
        <f>C134</f>
        <v>0</v>
      </c>
      <c r="D177" s="351">
        <f>B177*C177</f>
        <v>0</v>
      </c>
      <c r="E177" s="351">
        <f>C135</f>
        <v>0</v>
      </c>
      <c r="F177" s="351">
        <f>B177*E177</f>
        <v>0</v>
      </c>
      <c r="G177" s="351">
        <f>C136</f>
        <v>0</v>
      </c>
      <c r="H177" s="351">
        <f>B177*G177</f>
        <v>0</v>
      </c>
      <c r="I177" s="351">
        <f>C137</f>
        <v>0</v>
      </c>
      <c r="J177" s="351">
        <f>B177*I177</f>
        <v>0</v>
      </c>
      <c r="K177" s="351">
        <f>C138</f>
        <v>0</v>
      </c>
      <c r="L177" s="351">
        <f>B177*K177</f>
        <v>0</v>
      </c>
    </row>
    <row r="178" spans="1:14" x14ac:dyDescent="0.2">
      <c r="A178" s="352" t="s">
        <v>573</v>
      </c>
      <c r="B178" s="350">
        <f>B177/'Prod. GEXCAS'!O24</f>
        <v>3.3670033670033671E-6</v>
      </c>
      <c r="C178" s="351">
        <f>F136</f>
        <v>0</v>
      </c>
      <c r="D178" s="351">
        <f>B178*C178</f>
        <v>0</v>
      </c>
      <c r="E178" s="351">
        <f>F136</f>
        <v>0</v>
      </c>
      <c r="F178" s="351">
        <f>B178*E178</f>
        <v>0</v>
      </c>
      <c r="G178" s="351">
        <f>F136</f>
        <v>0</v>
      </c>
      <c r="H178" s="351">
        <f>B178*G178</f>
        <v>0</v>
      </c>
      <c r="I178" s="351">
        <f>F136</f>
        <v>0</v>
      </c>
      <c r="J178" s="351">
        <f>B178*I178</f>
        <v>0</v>
      </c>
      <c r="K178" s="351">
        <f>F136</f>
        <v>0</v>
      </c>
      <c r="L178" s="351">
        <f>B178*K178</f>
        <v>0</v>
      </c>
    </row>
    <row r="179" spans="1:14" x14ac:dyDescent="0.2">
      <c r="A179" s="358" t="s">
        <v>588</v>
      </c>
      <c r="B179" s="362"/>
      <c r="C179" s="360"/>
      <c r="D179" s="361">
        <f>SUM(D177:D178)</f>
        <v>0</v>
      </c>
      <c r="E179" s="360"/>
      <c r="F179" s="361">
        <f>SUM(F177:F178)</f>
        <v>0</v>
      </c>
      <c r="G179" s="360"/>
      <c r="H179" s="361">
        <f>SUM(H177:H178)</f>
        <v>0</v>
      </c>
      <c r="I179" s="360"/>
      <c r="J179" s="361">
        <f>SUM(J177:J178)</f>
        <v>0</v>
      </c>
      <c r="K179" s="360"/>
      <c r="L179" s="361">
        <f>SUM(L177:L178)</f>
        <v>0</v>
      </c>
    </row>
    <row r="180" spans="1:14" x14ac:dyDescent="0.2">
      <c r="A180" s="317"/>
      <c r="B180" s="320"/>
      <c r="C180" s="320"/>
      <c r="D180" s="320"/>
      <c r="E180" s="320"/>
    </row>
    <row r="181" spans="1:14" ht="14.25" customHeight="1" x14ac:dyDescent="0.2">
      <c r="A181" s="1034" t="s">
        <v>589</v>
      </c>
      <c r="B181" s="1034"/>
      <c r="C181" s="1034" t="s">
        <v>563</v>
      </c>
      <c r="D181" s="1034"/>
      <c r="E181" s="1032" t="s">
        <v>564</v>
      </c>
      <c r="F181" s="1033"/>
      <c r="G181" s="1034" t="s">
        <v>565</v>
      </c>
      <c r="H181" s="1034"/>
      <c r="I181" s="1034" t="s">
        <v>566</v>
      </c>
      <c r="J181" s="1034"/>
      <c r="K181" s="1034" t="s">
        <v>567</v>
      </c>
      <c r="L181" s="1034"/>
    </row>
    <row r="182" spans="1:14" ht="38.25" x14ac:dyDescent="0.2">
      <c r="A182" s="347" t="s">
        <v>568</v>
      </c>
      <c r="B182" s="348" t="s">
        <v>578</v>
      </c>
      <c r="C182" s="348" t="s">
        <v>570</v>
      </c>
      <c r="D182" s="348" t="s">
        <v>571</v>
      </c>
      <c r="E182" s="348" t="s">
        <v>570</v>
      </c>
      <c r="F182" s="348" t="s">
        <v>571</v>
      </c>
      <c r="G182" s="348" t="s">
        <v>570</v>
      </c>
      <c r="H182" s="348" t="s">
        <v>571</v>
      </c>
      <c r="I182" s="348" t="s">
        <v>570</v>
      </c>
      <c r="J182" s="348" t="s">
        <v>571</v>
      </c>
      <c r="K182" s="348" t="s">
        <v>570</v>
      </c>
      <c r="L182" s="348" t="s">
        <v>571</v>
      </c>
    </row>
    <row r="183" spans="1:14" x14ac:dyDescent="0.2">
      <c r="A183" s="363" t="s">
        <v>590</v>
      </c>
      <c r="B183" s="356">
        <f>(1/'Prod. GEXCAS'!J24)*(1/(30/7*44*6))*8</f>
        <v>4.4191919191919199E-5</v>
      </c>
      <c r="C183" s="788">
        <f>E134</f>
        <v>0</v>
      </c>
      <c r="D183" s="351">
        <f>B183*C183</f>
        <v>0</v>
      </c>
      <c r="E183" s="788">
        <f>E135</f>
        <v>0</v>
      </c>
      <c r="F183" s="351">
        <f>B183*E183</f>
        <v>0</v>
      </c>
      <c r="G183" s="788">
        <f>E136</f>
        <v>0</v>
      </c>
      <c r="H183" s="351">
        <f>B183*G183</f>
        <v>0</v>
      </c>
      <c r="I183" s="788">
        <f>E137</f>
        <v>0</v>
      </c>
      <c r="J183" s="351">
        <f>B183*I183</f>
        <v>0</v>
      </c>
      <c r="K183" s="788">
        <f>E138</f>
        <v>0</v>
      </c>
      <c r="L183" s="351">
        <f>B183*K183</f>
        <v>0</v>
      </c>
    </row>
    <row r="184" spans="1:14" x14ac:dyDescent="0.2">
      <c r="A184" s="352" t="s">
        <v>573</v>
      </c>
      <c r="B184" s="356">
        <f>B183/4</f>
        <v>1.10479797979798E-5</v>
      </c>
      <c r="C184" s="351">
        <f>F136</f>
        <v>0</v>
      </c>
      <c r="D184" s="351">
        <f>B184*C184</f>
        <v>0</v>
      </c>
      <c r="E184" s="351">
        <f>F136</f>
        <v>0</v>
      </c>
      <c r="F184" s="351">
        <f>B184*E184</f>
        <v>0</v>
      </c>
      <c r="G184" s="351">
        <f>F136</f>
        <v>0</v>
      </c>
      <c r="H184" s="351">
        <f>B184*G184</f>
        <v>0</v>
      </c>
      <c r="I184" s="351">
        <f>F136</f>
        <v>0</v>
      </c>
      <c r="J184" s="351">
        <f>B184*I184</f>
        <v>0</v>
      </c>
      <c r="K184" s="351">
        <f>F136</f>
        <v>0</v>
      </c>
      <c r="L184" s="351">
        <f>B184*K184</f>
        <v>0</v>
      </c>
      <c r="M184" s="1037"/>
      <c r="N184" s="1038"/>
    </row>
    <row r="185" spans="1:14" x14ac:dyDescent="0.2">
      <c r="A185" s="364" t="s">
        <v>591</v>
      </c>
      <c r="B185" s="365"/>
      <c r="C185" s="366"/>
      <c r="D185" s="367">
        <f>SUM(D183:D184)</f>
        <v>0</v>
      </c>
      <c r="E185" s="366"/>
      <c r="F185" s="367">
        <f>SUM(F183:F184)</f>
        <v>0</v>
      </c>
      <c r="G185" s="366"/>
      <c r="H185" s="367">
        <f>SUM(H183:H184)</f>
        <v>0</v>
      </c>
      <c r="I185" s="366"/>
      <c r="J185" s="367">
        <f>SUM(J183:J184)</f>
        <v>0</v>
      </c>
      <c r="K185" s="366"/>
      <c r="L185" s="367">
        <f>SUM(L183:L184)</f>
        <v>0</v>
      </c>
      <c r="M185" s="515"/>
      <c r="N185" s="516"/>
    </row>
    <row r="186" spans="1:14" x14ac:dyDescent="0.2">
      <c r="A186" s="363" t="s">
        <v>592</v>
      </c>
      <c r="B186" s="356">
        <f>1/'Prod. GEXCAS'!K24*16*(1/188.76)</f>
        <v>2.8254573709119167E-4</v>
      </c>
      <c r="C186" s="351">
        <f>C134</f>
        <v>0</v>
      </c>
      <c r="D186" s="351">
        <f>B186*C186</f>
        <v>0</v>
      </c>
      <c r="E186" s="351">
        <f>C135</f>
        <v>0</v>
      </c>
      <c r="F186" s="351">
        <f>B186*E186</f>
        <v>0</v>
      </c>
      <c r="G186" s="351">
        <f>C136</f>
        <v>0</v>
      </c>
      <c r="H186" s="351">
        <f>B186*G186</f>
        <v>0</v>
      </c>
      <c r="I186" s="351">
        <f>C137</f>
        <v>0</v>
      </c>
      <c r="J186" s="351">
        <f>B186*I186</f>
        <v>0</v>
      </c>
      <c r="K186" s="351">
        <f>C138</f>
        <v>0</v>
      </c>
      <c r="L186" s="351">
        <f>B186*K186</f>
        <v>0</v>
      </c>
    </row>
    <row r="187" spans="1:14" x14ac:dyDescent="0.2">
      <c r="A187" s="352" t="s">
        <v>573</v>
      </c>
      <c r="B187" s="356">
        <f>1/('Prod. GEXCAS'!O24*'Prod. GEXCAS'!K24)*16*(1/188.76)</f>
        <v>8.5619920330664147E-6</v>
      </c>
      <c r="C187" s="351">
        <f>F136</f>
        <v>0</v>
      </c>
      <c r="D187" s="351">
        <f>B187*C187</f>
        <v>0</v>
      </c>
      <c r="E187" s="351">
        <f>F136</f>
        <v>0</v>
      </c>
      <c r="F187" s="351">
        <f>B187*E187</f>
        <v>0</v>
      </c>
      <c r="G187" s="351">
        <f>F136</f>
        <v>0</v>
      </c>
      <c r="H187" s="351">
        <f>B187*G187</f>
        <v>0</v>
      </c>
      <c r="I187" s="351">
        <f>F136</f>
        <v>0</v>
      </c>
      <c r="J187" s="351">
        <f>B187*I187</f>
        <v>0</v>
      </c>
      <c r="K187" s="351">
        <f>F136</f>
        <v>0</v>
      </c>
      <c r="L187" s="351">
        <f>B187*K187</f>
        <v>0</v>
      </c>
      <c r="M187" s="1037"/>
      <c r="N187" s="1038"/>
    </row>
    <row r="188" spans="1:14" x14ac:dyDescent="0.2">
      <c r="A188" s="364" t="s">
        <v>593</v>
      </c>
      <c r="B188" s="365"/>
      <c r="C188" s="366"/>
      <c r="D188" s="367">
        <f>SUM(D186:D187)</f>
        <v>0</v>
      </c>
      <c r="E188" s="366"/>
      <c r="F188" s="367">
        <f>SUM(F186:F187)</f>
        <v>0</v>
      </c>
      <c r="G188" s="366"/>
      <c r="H188" s="367">
        <f>SUM(H186:H187)</f>
        <v>0</v>
      </c>
      <c r="I188" s="366"/>
      <c r="J188" s="367">
        <f>SUM(J186:J187)</f>
        <v>0</v>
      </c>
      <c r="K188" s="366"/>
      <c r="L188" s="367">
        <f>SUM(L186:L187)</f>
        <v>0</v>
      </c>
      <c r="M188" s="515"/>
      <c r="N188" s="516"/>
    </row>
    <row r="189" spans="1:14" x14ac:dyDescent="0.2">
      <c r="A189" s="349" t="s">
        <v>594</v>
      </c>
      <c r="B189" s="356">
        <f>1/'Prod. GEXCAS'!L24*16*(1/188.76)</f>
        <v>2.8254573709119167E-4</v>
      </c>
      <c r="C189" s="351">
        <f>C134</f>
        <v>0</v>
      </c>
      <c r="D189" s="351">
        <f>B189*C189</f>
        <v>0</v>
      </c>
      <c r="E189" s="351">
        <f>C135</f>
        <v>0</v>
      </c>
      <c r="F189" s="351">
        <f>B189*E189</f>
        <v>0</v>
      </c>
      <c r="G189" s="351">
        <f>C136</f>
        <v>0</v>
      </c>
      <c r="H189" s="351">
        <f>B189*G189</f>
        <v>0</v>
      </c>
      <c r="I189" s="351">
        <f>C137</f>
        <v>0</v>
      </c>
      <c r="J189" s="351">
        <f>B189*I189</f>
        <v>0</v>
      </c>
      <c r="K189" s="351">
        <f>C138</f>
        <v>0</v>
      </c>
      <c r="L189" s="351">
        <f>B189*K189</f>
        <v>0</v>
      </c>
    </row>
    <row r="190" spans="1:14" x14ac:dyDescent="0.2">
      <c r="A190" s="352" t="s">
        <v>573</v>
      </c>
      <c r="B190" s="356">
        <f>1/('Prod. GEXCAS'!O24*'Prod. GEXCAS'!L24)*16*(1/188.76)</f>
        <v>8.5619920330664147E-6</v>
      </c>
      <c r="C190" s="351">
        <f>F136</f>
        <v>0</v>
      </c>
      <c r="D190" s="351">
        <f>B190*C190</f>
        <v>0</v>
      </c>
      <c r="E190" s="351">
        <f>F136</f>
        <v>0</v>
      </c>
      <c r="F190" s="351">
        <f>B190*E190</f>
        <v>0</v>
      </c>
      <c r="G190" s="351">
        <f>F136</f>
        <v>0</v>
      </c>
      <c r="H190" s="351">
        <f>B190*G190</f>
        <v>0</v>
      </c>
      <c r="I190" s="351">
        <f>F136</f>
        <v>0</v>
      </c>
      <c r="J190" s="351">
        <f>B190*I190</f>
        <v>0</v>
      </c>
      <c r="K190" s="351">
        <f>F136</f>
        <v>0</v>
      </c>
      <c r="L190" s="351">
        <f>B190*K190</f>
        <v>0</v>
      </c>
      <c r="M190" s="1037"/>
      <c r="N190" s="1038"/>
    </row>
    <row r="191" spans="1:14" x14ac:dyDescent="0.2">
      <c r="A191" s="364" t="s">
        <v>595</v>
      </c>
      <c r="B191" s="365"/>
      <c r="C191" s="366"/>
      <c r="D191" s="367">
        <f>SUM(D189:D190)</f>
        <v>0</v>
      </c>
      <c r="E191" s="366"/>
      <c r="F191" s="367">
        <f>SUM(F189:F190)</f>
        <v>0</v>
      </c>
      <c r="G191" s="366"/>
      <c r="H191" s="367">
        <f>SUM(H189:H190)</f>
        <v>0</v>
      </c>
      <c r="I191" s="366"/>
      <c r="J191" s="367">
        <f>SUM(J189:J190)</f>
        <v>0</v>
      </c>
      <c r="K191" s="366"/>
      <c r="L191" s="367">
        <f>SUM(L189:L190)</f>
        <v>0</v>
      </c>
      <c r="M191" s="515"/>
      <c r="N191" s="516"/>
    </row>
    <row r="192" spans="1:14" x14ac:dyDescent="0.2">
      <c r="A192" s="316"/>
    </row>
  </sheetData>
  <mergeCells count="68">
    <mergeCell ref="M187:N187"/>
    <mergeCell ref="M184:N184"/>
    <mergeCell ref="M190:N190"/>
    <mergeCell ref="M148:N148"/>
    <mergeCell ref="M172:N172"/>
    <mergeCell ref="I169:J169"/>
    <mergeCell ref="K169:L169"/>
    <mergeCell ref="A169:B169"/>
    <mergeCell ref="C169:D169"/>
    <mergeCell ref="E181:F181"/>
    <mergeCell ref="G181:H181"/>
    <mergeCell ref="I181:J181"/>
    <mergeCell ref="K181:L181"/>
    <mergeCell ref="A181:B181"/>
    <mergeCell ref="C181:D181"/>
    <mergeCell ref="E169:F169"/>
    <mergeCell ref="G169:H169"/>
    <mergeCell ref="K157:L157"/>
    <mergeCell ref="A163:B163"/>
    <mergeCell ref="C163:D163"/>
    <mergeCell ref="E163:F163"/>
    <mergeCell ref="G163:H163"/>
    <mergeCell ref="I163:J163"/>
    <mergeCell ref="K163:L163"/>
    <mergeCell ref="A157:B157"/>
    <mergeCell ref="C157:D157"/>
    <mergeCell ref="E157:F157"/>
    <mergeCell ref="G157:H157"/>
    <mergeCell ref="I157:J157"/>
    <mergeCell ref="G145:H145"/>
    <mergeCell ref="I145:J145"/>
    <mergeCell ref="K145:L145"/>
    <mergeCell ref="A151:B151"/>
    <mergeCell ref="C151:D151"/>
    <mergeCell ref="E151:F151"/>
    <mergeCell ref="G151:H151"/>
    <mergeCell ref="I151:J151"/>
    <mergeCell ref="K151:L151"/>
    <mergeCell ref="E145:F145"/>
    <mergeCell ref="A132:B132"/>
    <mergeCell ref="A133:B133"/>
    <mergeCell ref="A145:B145"/>
    <mergeCell ref="C145:D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F119"/>
    <mergeCell ref="A120:F120"/>
    <mergeCell ref="A121:B121"/>
    <mergeCell ref="A21:F21"/>
    <mergeCell ref="A50:B50"/>
    <mergeCell ref="A51:F51"/>
    <mergeCell ref="A61:B61"/>
    <mergeCell ref="A62:F62"/>
    <mergeCell ref="A1:F1"/>
    <mergeCell ref="A2:F2"/>
    <mergeCell ref="A3:F3"/>
    <mergeCell ref="A9:F9"/>
    <mergeCell ref="A20:B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E152"/>
  <sheetViews>
    <sheetView topLeftCell="A31" zoomScale="80" zoomScaleNormal="80" workbookViewId="0">
      <selection activeCell="AK15" sqref="AK15"/>
    </sheetView>
  </sheetViews>
  <sheetFormatPr defaultRowHeight="14.25" x14ac:dyDescent="0.2"/>
  <cols>
    <col min="1" max="1" width="55.5" style="84" customWidth="1"/>
    <col min="2" max="2" width="17" style="84" customWidth="1"/>
    <col min="3" max="3" width="15.25" style="84" customWidth="1"/>
    <col min="4" max="4" width="16.25" style="84" customWidth="1"/>
    <col min="5" max="1019" width="9" style="84"/>
  </cols>
  <sheetData>
    <row r="1" spans="1:4" ht="15.75" x14ac:dyDescent="0.2">
      <c r="A1" s="1041" t="s">
        <v>449</v>
      </c>
      <c r="B1" s="1042"/>
      <c r="C1" s="1042"/>
      <c r="D1" s="1043"/>
    </row>
    <row r="2" spans="1:4" ht="15.75" x14ac:dyDescent="0.2">
      <c r="A2" s="1044" t="s">
        <v>450</v>
      </c>
      <c r="B2" s="1011"/>
      <c r="C2" s="1011"/>
      <c r="D2" s="1045"/>
    </row>
    <row r="3" spans="1:4" ht="15.75" customHeight="1" x14ac:dyDescent="0.2">
      <c r="A3" s="1044" t="s">
        <v>451</v>
      </c>
      <c r="B3" s="1011"/>
      <c r="C3" s="1011"/>
      <c r="D3" s="1045"/>
    </row>
    <row r="4" spans="1:4" ht="15.75" x14ac:dyDescent="0.2">
      <c r="A4" s="433"/>
      <c r="B4" s="86"/>
      <c r="C4" s="87" t="s">
        <v>452</v>
      </c>
      <c r="D4" s="434" t="s">
        <v>453</v>
      </c>
    </row>
    <row r="5" spans="1:4" x14ac:dyDescent="0.2">
      <c r="A5" s="435"/>
      <c r="B5" s="89" t="s">
        <v>456</v>
      </c>
      <c r="C5" s="90">
        <f>MC!D11</f>
        <v>0</v>
      </c>
      <c r="D5" s="436">
        <f>MC!E11</f>
        <v>0</v>
      </c>
    </row>
    <row r="6" spans="1:4" x14ac:dyDescent="0.2">
      <c r="A6" s="435"/>
      <c r="B6" s="89" t="s">
        <v>457</v>
      </c>
      <c r="C6" s="91">
        <f>MC!D8</f>
        <v>0</v>
      </c>
      <c r="D6" s="437">
        <f>MC!D8</f>
        <v>0</v>
      </c>
    </row>
    <row r="7" spans="1:4" x14ac:dyDescent="0.2">
      <c r="A7" s="435"/>
      <c r="B7" s="89" t="s">
        <v>458</v>
      </c>
      <c r="C7" s="91">
        <f>MC!C8</f>
        <v>0</v>
      </c>
      <c r="D7" s="437">
        <f>MC!C8</f>
        <v>0</v>
      </c>
    </row>
    <row r="8" spans="1:4" x14ac:dyDescent="0.2">
      <c r="A8" s="435"/>
      <c r="B8" s="89" t="s">
        <v>459</v>
      </c>
      <c r="C8" s="92">
        <f>MC!E8</f>
        <v>0</v>
      </c>
      <c r="D8" s="438">
        <f>MC!E8</f>
        <v>0</v>
      </c>
    </row>
    <row r="9" spans="1:4" x14ac:dyDescent="0.2">
      <c r="A9" s="1046"/>
      <c r="B9" s="1012"/>
      <c r="C9" s="1012"/>
      <c r="D9" s="1047"/>
    </row>
    <row r="10" spans="1:4" ht="66.75" customHeight="1" x14ac:dyDescent="0.2">
      <c r="A10" s="439" t="s">
        <v>460</v>
      </c>
      <c r="B10" s="245" t="s">
        <v>461</v>
      </c>
      <c r="C10" s="245" t="s">
        <v>596</v>
      </c>
      <c r="D10" s="440" t="s">
        <v>597</v>
      </c>
    </row>
    <row r="11" spans="1:4" ht="14.25" customHeight="1" x14ac:dyDescent="0.2">
      <c r="A11" s="441" t="s">
        <v>466</v>
      </c>
      <c r="B11" s="395"/>
      <c r="C11" s="395"/>
      <c r="D11" s="442"/>
    </row>
    <row r="12" spans="1:4" ht="14.25" customHeight="1" x14ac:dyDescent="0.2">
      <c r="A12" s="443" t="s">
        <v>467</v>
      </c>
      <c r="B12" s="94" t="s">
        <v>468</v>
      </c>
      <c r="C12" s="94" t="s">
        <v>469</v>
      </c>
      <c r="D12" s="444" t="s">
        <v>469</v>
      </c>
    </row>
    <row r="13" spans="1:4" ht="14.25" customHeight="1" x14ac:dyDescent="0.2">
      <c r="A13" s="445" t="s">
        <v>470</v>
      </c>
      <c r="B13" s="97"/>
      <c r="C13" s="98">
        <f>C5</f>
        <v>0</v>
      </c>
      <c r="D13" s="446">
        <f>D5</f>
        <v>0</v>
      </c>
    </row>
    <row r="14" spans="1:4" ht="14.25" customHeight="1" x14ac:dyDescent="0.2">
      <c r="A14" s="445" t="s">
        <v>471</v>
      </c>
      <c r="B14" s="100">
        <v>0</v>
      </c>
      <c r="C14" s="98">
        <f>C13*$B$14</f>
        <v>0</v>
      </c>
      <c r="D14" s="446">
        <f>D13*$B$14</f>
        <v>0</v>
      </c>
    </row>
    <row r="15" spans="1:4" ht="14.25" customHeight="1" x14ac:dyDescent="0.2">
      <c r="A15" s="445" t="s">
        <v>472</v>
      </c>
      <c r="B15" s="101"/>
      <c r="C15" s="98"/>
      <c r="D15" s="446"/>
    </row>
    <row r="16" spans="1:4" ht="14.25" customHeight="1" x14ac:dyDescent="0.2">
      <c r="A16" s="445" t="s">
        <v>473</v>
      </c>
      <c r="B16" s="101"/>
      <c r="C16" s="98"/>
      <c r="D16" s="446"/>
    </row>
    <row r="17" spans="1:4" ht="14.25" customHeight="1" x14ac:dyDescent="0.2">
      <c r="A17" s="445" t="s">
        <v>474</v>
      </c>
      <c r="B17" s="101"/>
      <c r="C17" s="98"/>
      <c r="D17" s="446"/>
    </row>
    <row r="18" spans="1:4" ht="14.25" customHeight="1" x14ac:dyDescent="0.2">
      <c r="A18" s="445" t="s">
        <v>475</v>
      </c>
      <c r="B18" s="102"/>
      <c r="C18" s="98"/>
      <c r="D18" s="446"/>
    </row>
    <row r="19" spans="1:4" ht="14.25" customHeight="1" x14ac:dyDescent="0.2">
      <c r="A19" s="447" t="s">
        <v>476</v>
      </c>
      <c r="B19" s="104"/>
      <c r="C19" s="113">
        <f>SUM(C13:C18)</f>
        <v>0</v>
      </c>
      <c r="D19" s="448">
        <f>SUM(D13:D18)</f>
        <v>0</v>
      </c>
    </row>
    <row r="20" spans="1:4" ht="14.25" customHeight="1" x14ac:dyDescent="0.2">
      <c r="A20" s="1048"/>
      <c r="B20" s="1013"/>
      <c r="C20" s="106"/>
      <c r="D20" s="450"/>
    </row>
    <row r="21" spans="1:4" ht="14.25" customHeight="1" x14ac:dyDescent="0.2">
      <c r="A21" s="1039" t="s">
        <v>477</v>
      </c>
      <c r="B21" s="1014"/>
      <c r="C21" s="1014"/>
      <c r="D21" s="1040"/>
    </row>
    <row r="22" spans="1:4" ht="14.25" customHeight="1" x14ac:dyDescent="0.2">
      <c r="A22" s="451" t="s">
        <v>478</v>
      </c>
      <c r="B22" s="109" t="s">
        <v>468</v>
      </c>
      <c r="C22" s="109" t="s">
        <v>469</v>
      </c>
      <c r="D22" s="452" t="s">
        <v>469</v>
      </c>
    </row>
    <row r="23" spans="1:4" ht="14.25" customHeight="1" x14ac:dyDescent="0.2">
      <c r="A23" s="453" t="s">
        <v>479</v>
      </c>
      <c r="B23" s="100">
        <f>1/12</f>
        <v>8.3333333333333329E-2</v>
      </c>
      <c r="C23" s="98">
        <f>ROUND($B23*C$19,2)</f>
        <v>0</v>
      </c>
      <c r="D23" s="446">
        <f>ROUND($B23*D$19,2)</f>
        <v>0</v>
      </c>
    </row>
    <row r="24" spans="1:4" ht="14.25" customHeight="1" x14ac:dyDescent="0.2">
      <c r="A24" s="453" t="s">
        <v>480</v>
      </c>
      <c r="B24" s="100">
        <f>1/3*1/12</f>
        <v>2.7777777777777776E-2</v>
      </c>
      <c r="C24" s="98">
        <f>C$19*$B$24</f>
        <v>0</v>
      </c>
      <c r="D24" s="446">
        <f>D$19*$B$24</f>
        <v>0</v>
      </c>
    </row>
    <row r="25" spans="1:4" ht="14.25" customHeight="1" x14ac:dyDescent="0.2">
      <c r="A25" s="447" t="s">
        <v>476</v>
      </c>
      <c r="B25" s="112">
        <f>SUM(B23:B24)</f>
        <v>0.1111111111111111</v>
      </c>
      <c r="C25" s="113">
        <f>SUM(C23:C24)</f>
        <v>0</v>
      </c>
      <c r="D25" s="448">
        <f>SUM(D23:D24)</f>
        <v>0</v>
      </c>
    </row>
    <row r="26" spans="1:4" ht="14.25" customHeight="1" x14ac:dyDescent="0.2">
      <c r="A26" s="451" t="s">
        <v>481</v>
      </c>
      <c r="B26" s="109" t="s">
        <v>468</v>
      </c>
      <c r="C26" s="109" t="s">
        <v>469</v>
      </c>
      <c r="D26" s="452" t="s">
        <v>469</v>
      </c>
    </row>
    <row r="27" spans="1:4" ht="14.25" customHeight="1" x14ac:dyDescent="0.2">
      <c r="A27" s="451" t="s">
        <v>482</v>
      </c>
      <c r="B27" s="115"/>
      <c r="C27" s="115"/>
      <c r="D27" s="454"/>
    </row>
    <row r="28" spans="1:4" ht="14.25" customHeight="1" x14ac:dyDescent="0.2">
      <c r="A28" s="453" t="s">
        <v>483</v>
      </c>
      <c r="B28" s="100">
        <v>0.2</v>
      </c>
      <c r="C28" s="117">
        <f t="shared" ref="C28:C35" si="0">ROUND(($C$19+$C$25)*B28,2)</f>
        <v>0</v>
      </c>
      <c r="D28" s="455">
        <f t="shared" ref="D28:D35" si="1">ROUND(($D$19+$D$25)*B28,2)</f>
        <v>0</v>
      </c>
    </row>
    <row r="29" spans="1:4" ht="14.25" customHeight="1" x14ac:dyDescent="0.2">
      <c r="A29" s="453" t="s">
        <v>484</v>
      </c>
      <c r="B29" s="100">
        <v>2.5000000000000001E-2</v>
      </c>
      <c r="C29" s="117">
        <f t="shared" si="0"/>
        <v>0</v>
      </c>
      <c r="D29" s="455">
        <f t="shared" si="1"/>
        <v>0</v>
      </c>
    </row>
    <row r="30" spans="1:4" ht="14.25" customHeight="1" x14ac:dyDescent="0.2">
      <c r="A30" s="453" t="s">
        <v>485</v>
      </c>
      <c r="B30" s="100">
        <v>0.03</v>
      </c>
      <c r="C30" s="117">
        <f t="shared" si="0"/>
        <v>0</v>
      </c>
      <c r="D30" s="455">
        <f t="shared" si="1"/>
        <v>0</v>
      </c>
    </row>
    <row r="31" spans="1:4" ht="14.25" customHeight="1" x14ac:dyDescent="0.2">
      <c r="A31" s="453" t="s">
        <v>486</v>
      </c>
      <c r="B31" s="100">
        <v>1.4999999999999999E-2</v>
      </c>
      <c r="C31" s="117">
        <f t="shared" si="0"/>
        <v>0</v>
      </c>
      <c r="D31" s="455">
        <f t="shared" si="1"/>
        <v>0</v>
      </c>
    </row>
    <row r="32" spans="1:4" ht="14.25" customHeight="1" x14ac:dyDescent="0.2">
      <c r="A32" s="453" t="s">
        <v>487</v>
      </c>
      <c r="B32" s="100">
        <v>0.01</v>
      </c>
      <c r="C32" s="117">
        <f t="shared" si="0"/>
        <v>0</v>
      </c>
      <c r="D32" s="455">
        <f t="shared" si="1"/>
        <v>0</v>
      </c>
    </row>
    <row r="33" spans="1:4" ht="14.25" customHeight="1" x14ac:dyDescent="0.2">
      <c r="A33" s="453" t="s">
        <v>488</v>
      </c>
      <c r="B33" s="100">
        <v>6.0000000000000001E-3</v>
      </c>
      <c r="C33" s="117">
        <f t="shared" si="0"/>
        <v>0</v>
      </c>
      <c r="D33" s="455">
        <f t="shared" si="1"/>
        <v>0</v>
      </c>
    </row>
    <row r="34" spans="1:4" ht="14.25" customHeight="1" x14ac:dyDescent="0.2">
      <c r="A34" s="453" t="s">
        <v>489</v>
      </c>
      <c r="B34" s="100">
        <v>2E-3</v>
      </c>
      <c r="C34" s="117">
        <f t="shared" si="0"/>
        <v>0</v>
      </c>
      <c r="D34" s="455">
        <f t="shared" si="1"/>
        <v>0</v>
      </c>
    </row>
    <row r="35" spans="1:4" ht="14.25" customHeight="1" x14ac:dyDescent="0.2">
      <c r="A35" s="453" t="s">
        <v>490</v>
      </c>
      <c r="B35" s="100">
        <v>0.08</v>
      </c>
      <c r="C35" s="117">
        <f t="shared" si="0"/>
        <v>0</v>
      </c>
      <c r="D35" s="455">
        <f t="shared" si="1"/>
        <v>0</v>
      </c>
    </row>
    <row r="36" spans="1:4" ht="14.25" customHeight="1" x14ac:dyDescent="0.2">
      <c r="A36" s="447" t="s">
        <v>476</v>
      </c>
      <c r="B36" s="112">
        <f>SUM(B28:B35)</f>
        <v>0.36800000000000005</v>
      </c>
      <c r="C36" s="113">
        <f>SUM(C27:C35)</f>
        <v>0</v>
      </c>
      <c r="D36" s="448">
        <f>SUM(D27:D35)</f>
        <v>0</v>
      </c>
    </row>
    <row r="37" spans="1:4" ht="14.25" customHeight="1" x14ac:dyDescent="0.2">
      <c r="A37" s="451" t="s">
        <v>491</v>
      </c>
      <c r="B37" s="109" t="s">
        <v>492</v>
      </c>
      <c r="C37" s="109" t="s">
        <v>469</v>
      </c>
      <c r="D37" s="452" t="s">
        <v>469</v>
      </c>
    </row>
    <row r="38" spans="1:4" ht="14.25" customHeight="1" x14ac:dyDescent="0.2">
      <c r="A38" s="453" t="s">
        <v>493</v>
      </c>
      <c r="B38" s="119">
        <f>MC!D88</f>
        <v>0</v>
      </c>
      <c r="C38" s="98">
        <f>ROUND(((2*22*$B$38)-0.06*C$13),2)</f>
        <v>0</v>
      </c>
      <c r="D38" s="446">
        <f>ROUND(((2*22*$B$38)-0.06*D$13),2)</f>
        <v>0</v>
      </c>
    </row>
    <row r="39" spans="1:4" ht="14.25" customHeight="1" x14ac:dyDescent="0.2">
      <c r="A39" s="453" t="s">
        <v>494</v>
      </c>
      <c r="B39" s="120"/>
      <c r="C39" s="117">
        <f>MC!E16</f>
        <v>0</v>
      </c>
      <c r="D39" s="455">
        <f>MC!E17</f>
        <v>0</v>
      </c>
    </row>
    <row r="40" spans="1:4" ht="14.25" customHeight="1" x14ac:dyDescent="0.2">
      <c r="A40" s="453" t="s">
        <v>495</v>
      </c>
      <c r="B40" s="100">
        <f>MC!C21</f>
        <v>0</v>
      </c>
      <c r="C40" s="117"/>
      <c r="D40" s="455"/>
    </row>
    <row r="41" spans="1:4" ht="14.25" customHeight="1" x14ac:dyDescent="0.2">
      <c r="A41" s="453" t="s">
        <v>496</v>
      </c>
      <c r="B41" s="121">
        <f>MC!E23</f>
        <v>0</v>
      </c>
      <c r="C41" s="117">
        <f>B41</f>
        <v>0</v>
      </c>
      <c r="D41" s="455">
        <f>B41</f>
        <v>0</v>
      </c>
    </row>
    <row r="42" spans="1:4" ht="14.25" customHeight="1" x14ac:dyDescent="0.2">
      <c r="A42" s="453" t="s">
        <v>497</v>
      </c>
      <c r="B42" s="121">
        <f>MC!E24</f>
        <v>0</v>
      </c>
      <c r="C42" s="117">
        <f>B42</f>
        <v>0</v>
      </c>
      <c r="D42" s="455">
        <f>B42</f>
        <v>0</v>
      </c>
    </row>
    <row r="43" spans="1:4" ht="14.25" customHeight="1" x14ac:dyDescent="0.2">
      <c r="A43" s="453" t="s">
        <v>498</v>
      </c>
      <c r="B43" s="100"/>
      <c r="C43" s="117"/>
      <c r="D43" s="455"/>
    </row>
    <row r="44" spans="1:4" ht="14.25" customHeight="1" x14ac:dyDescent="0.2">
      <c r="A44" s="447" t="s">
        <v>476</v>
      </c>
      <c r="B44" s="104"/>
      <c r="C44" s="113">
        <f>SUM(C38:C43)</f>
        <v>0</v>
      </c>
      <c r="D44" s="448">
        <f>SUM(D38:D43)</f>
        <v>0</v>
      </c>
    </row>
    <row r="45" spans="1:4" ht="14.25" customHeight="1" x14ac:dyDescent="0.2">
      <c r="A45" s="443" t="s">
        <v>499</v>
      </c>
      <c r="B45" s="94" t="s">
        <v>468</v>
      </c>
      <c r="C45" s="94" t="s">
        <v>469</v>
      </c>
      <c r="D45" s="444" t="s">
        <v>469</v>
      </c>
    </row>
    <row r="46" spans="1:4" ht="14.25" customHeight="1" x14ac:dyDescent="0.2">
      <c r="A46" s="453" t="s">
        <v>478</v>
      </c>
      <c r="B46" s="122">
        <f>B25</f>
        <v>0.1111111111111111</v>
      </c>
      <c r="C46" s="123">
        <f>C25</f>
        <v>0</v>
      </c>
      <c r="D46" s="456">
        <f>D25</f>
        <v>0</v>
      </c>
    </row>
    <row r="47" spans="1:4" ht="14.25" customHeight="1" x14ac:dyDescent="0.2">
      <c r="A47" s="453" t="s">
        <v>500</v>
      </c>
      <c r="B47" s="122">
        <f>B36</f>
        <v>0.36800000000000005</v>
      </c>
      <c r="C47" s="123">
        <f>C36</f>
        <v>0</v>
      </c>
      <c r="D47" s="456">
        <f>D36</f>
        <v>0</v>
      </c>
    </row>
    <row r="48" spans="1:4" ht="14.25" customHeight="1" x14ac:dyDescent="0.2">
      <c r="A48" s="453" t="s">
        <v>491</v>
      </c>
      <c r="B48" s="122"/>
      <c r="C48" s="123">
        <f>C44</f>
        <v>0</v>
      </c>
      <c r="D48" s="456">
        <f>D44</f>
        <v>0</v>
      </c>
    </row>
    <row r="49" spans="1:4" ht="14.25" customHeight="1" x14ac:dyDescent="0.2">
      <c r="A49" s="447" t="s">
        <v>476</v>
      </c>
      <c r="B49" s="104"/>
      <c r="C49" s="113">
        <f>SUM(C46:C48)</f>
        <v>0</v>
      </c>
      <c r="D49" s="448">
        <f>SUM(D46:D48)</f>
        <v>0</v>
      </c>
    </row>
    <row r="50" spans="1:4" ht="14.25" customHeight="1" x14ac:dyDescent="0.2">
      <c r="A50" s="1048"/>
      <c r="B50" s="1013"/>
      <c r="C50" s="106"/>
      <c r="D50" s="450"/>
    </row>
    <row r="51" spans="1:4" s="125" customFormat="1" ht="14.25" customHeight="1" x14ac:dyDescent="0.2">
      <c r="A51" s="1039" t="s">
        <v>501</v>
      </c>
      <c r="B51" s="1014"/>
      <c r="C51" s="1014"/>
      <c r="D51" s="1040"/>
    </row>
    <row r="52" spans="1:4" ht="14.25" customHeight="1" x14ac:dyDescent="0.2">
      <c r="A52" s="443" t="s">
        <v>502</v>
      </c>
      <c r="B52" s="94" t="s">
        <v>468</v>
      </c>
      <c r="C52" s="94" t="s">
        <v>469</v>
      </c>
      <c r="D52" s="444" t="s">
        <v>469</v>
      </c>
    </row>
    <row r="53" spans="1:4" ht="14.25" customHeight="1" x14ac:dyDescent="0.2">
      <c r="A53" s="451" t="s">
        <v>503</v>
      </c>
      <c r="B53" s="126"/>
      <c r="C53" s="126"/>
      <c r="D53" s="457"/>
    </row>
    <row r="54" spans="1:4" ht="14.25" customHeight="1" x14ac:dyDescent="0.2">
      <c r="A54" s="453" t="s">
        <v>504</v>
      </c>
      <c r="B54" s="122">
        <f>1/12*0.05</f>
        <v>4.1666666666666666E-3</v>
      </c>
      <c r="C54" s="128">
        <f>C19*$B54</f>
        <v>0</v>
      </c>
      <c r="D54" s="458">
        <f t="shared" ref="D54" si="2">D19*$B54</f>
        <v>0</v>
      </c>
    </row>
    <row r="55" spans="1:4" ht="14.25" customHeight="1" x14ac:dyDescent="0.2">
      <c r="A55" s="453" t="s">
        <v>505</v>
      </c>
      <c r="B55" s="122">
        <f>B35*B54</f>
        <v>3.3333333333333332E-4</v>
      </c>
      <c r="C55" s="128">
        <f>$B$55*C19</f>
        <v>0</v>
      </c>
      <c r="D55" s="458">
        <f t="shared" ref="D55" si="3">$B$55*D19</f>
        <v>0</v>
      </c>
    </row>
    <row r="56" spans="1:4" ht="14.25" customHeight="1" x14ac:dyDescent="0.2">
      <c r="A56" s="453" t="s">
        <v>506</v>
      </c>
      <c r="B56" s="122">
        <v>0</v>
      </c>
      <c r="C56" s="128">
        <f>C35*$B56</f>
        <v>0</v>
      </c>
      <c r="D56" s="458">
        <f t="shared" ref="D56" si="4">D35*$B56</f>
        <v>0</v>
      </c>
    </row>
    <row r="57" spans="1:4" ht="14.25" customHeight="1" x14ac:dyDescent="0.2">
      <c r="A57" s="453" t="s">
        <v>507</v>
      </c>
      <c r="B57" s="122">
        <f>1/12*1/30*7</f>
        <v>1.9444444444444441E-2</v>
      </c>
      <c r="C57" s="123">
        <f>C19*$B57</f>
        <v>0</v>
      </c>
      <c r="D57" s="456">
        <f t="shared" ref="D57" si="5">D19*$B57</f>
        <v>0</v>
      </c>
    </row>
    <row r="58" spans="1:4" ht="14.25" customHeight="1" x14ac:dyDescent="0.2">
      <c r="A58" s="453" t="s">
        <v>508</v>
      </c>
      <c r="B58" s="122">
        <f>B36*B57</f>
        <v>7.1555555555555556E-3</v>
      </c>
      <c r="C58" s="123">
        <f>$B58*C19</f>
        <v>0</v>
      </c>
      <c r="D58" s="456">
        <f t="shared" ref="D58" si="6">$B58*D19</f>
        <v>0</v>
      </c>
    </row>
    <row r="59" spans="1:4" ht="14.25" customHeight="1" x14ac:dyDescent="0.2">
      <c r="A59" s="453" t="s">
        <v>509</v>
      </c>
      <c r="B59" s="122">
        <f>B35*40/100*90/100*(1+1/12+1/12+1/3*1/12)</f>
        <v>3.4399999999999993E-2</v>
      </c>
      <c r="C59" s="123">
        <f>C19*$B59</f>
        <v>0</v>
      </c>
      <c r="D59" s="456">
        <f t="shared" ref="D59" si="7">D19*$B59</f>
        <v>0</v>
      </c>
    </row>
    <row r="60" spans="1:4" ht="14.25" customHeight="1" x14ac:dyDescent="0.2">
      <c r="A60" s="447" t="s">
        <v>476</v>
      </c>
      <c r="B60" s="112">
        <f>SUM(B54:B59)</f>
        <v>6.5499999999999989E-2</v>
      </c>
      <c r="C60" s="129">
        <f>SUM(C54:C59)</f>
        <v>0</v>
      </c>
      <c r="D60" s="459">
        <f>SUM(D54:D59)</f>
        <v>0</v>
      </c>
    </row>
    <row r="61" spans="1:4" ht="14.25" customHeight="1" x14ac:dyDescent="0.2">
      <c r="A61" s="1048"/>
      <c r="B61" s="1013"/>
      <c r="C61" s="396"/>
      <c r="D61" s="460"/>
    </row>
    <row r="62" spans="1:4" ht="14.25" customHeight="1" x14ac:dyDescent="0.2">
      <c r="A62" s="1039" t="s">
        <v>510</v>
      </c>
      <c r="B62" s="1014"/>
      <c r="C62" s="1014"/>
      <c r="D62" s="1040"/>
    </row>
    <row r="63" spans="1:4" ht="14.25" customHeight="1" x14ac:dyDescent="0.2">
      <c r="A63" s="451" t="s">
        <v>39</v>
      </c>
      <c r="B63" s="109"/>
      <c r="C63" s="109"/>
      <c r="D63" s="452"/>
    </row>
    <row r="64" spans="1:4" ht="14.25" customHeight="1" x14ac:dyDescent="0.2">
      <c r="A64" s="453" t="s">
        <v>40</v>
      </c>
      <c r="B64" s="100">
        <f>1/12</f>
        <v>8.3333333333333329E-2</v>
      </c>
      <c r="C64" s="117">
        <f>B64*($C$19+$C$49+$C$60)</f>
        <v>0</v>
      </c>
      <c r="D64" s="455">
        <f>B64*($D$19+$D$49+$D$60)</f>
        <v>0</v>
      </c>
    </row>
    <row r="65" spans="1:4" ht="14.25" customHeight="1" x14ac:dyDescent="0.2">
      <c r="A65" s="453" t="s">
        <v>511</v>
      </c>
      <c r="B65" s="100">
        <f>MC!E51/30/12</f>
        <v>1.3538888888888885E-2</v>
      </c>
      <c r="C65" s="117">
        <f>B65*($C$19+$C$49+$C$60)</f>
        <v>0</v>
      </c>
      <c r="D65" s="455">
        <f>B65*($D$19+$D$49+$D$60)</f>
        <v>0</v>
      </c>
    </row>
    <row r="66" spans="1:4" ht="14.25" customHeight="1" x14ac:dyDescent="0.2">
      <c r="A66" s="453" t="s">
        <v>512</v>
      </c>
      <c r="B66" s="131">
        <f>(5/30)/12*MC!F53*MC!C54</f>
        <v>1.0764583333333333E-4</v>
      </c>
      <c r="C66" s="117">
        <f>B66*($C$19+$C$49+$C$60)</f>
        <v>0</v>
      </c>
      <c r="D66" s="455">
        <f>B66*($D$19+$D$49+$D$60)</f>
        <v>0</v>
      </c>
    </row>
    <row r="67" spans="1:4" ht="14.25" customHeight="1" x14ac:dyDescent="0.2">
      <c r="A67" s="453" t="s">
        <v>513</v>
      </c>
      <c r="B67" s="131">
        <f>MC!C56/30/12</f>
        <v>2.6830555555555553E-3</v>
      </c>
      <c r="C67" s="117">
        <f>B67*($C$19+$C$49+$C$60)</f>
        <v>0</v>
      </c>
      <c r="D67" s="455">
        <f>B67*($D$19+$D$49+$D$60)</f>
        <v>0</v>
      </c>
    </row>
    <row r="68" spans="1:4" ht="14.25" customHeight="1" x14ac:dyDescent="0.2">
      <c r="A68" s="453" t="s">
        <v>514</v>
      </c>
      <c r="B68" s="100"/>
      <c r="C68" s="117"/>
      <c r="D68" s="455"/>
    </row>
    <row r="69" spans="1:4" ht="14.25" customHeight="1" x14ac:dyDescent="0.2">
      <c r="A69" s="461" t="s">
        <v>515</v>
      </c>
      <c r="B69" s="133">
        <f>SUM(B64:B68)</f>
        <v>9.9662923611111107E-2</v>
      </c>
      <c r="C69" s="134">
        <f>SUM(C64:C68)</f>
        <v>0</v>
      </c>
      <c r="D69" s="462">
        <f>SUM(D64:D68)</f>
        <v>0</v>
      </c>
    </row>
    <row r="70" spans="1:4" ht="14.25" customHeight="1" x14ac:dyDescent="0.2">
      <c r="A70" s="451" t="s">
        <v>516</v>
      </c>
      <c r="B70" s="109"/>
      <c r="C70" s="109"/>
      <c r="D70" s="452"/>
    </row>
    <row r="71" spans="1:4" ht="14.25" customHeight="1" x14ac:dyDescent="0.2">
      <c r="A71" s="453" t="s">
        <v>517</v>
      </c>
      <c r="B71" s="100"/>
      <c r="C71" s="117"/>
      <c r="D71" s="455"/>
    </row>
    <row r="72" spans="1:4" ht="14.25" customHeight="1" x14ac:dyDescent="0.2">
      <c r="A72" s="461" t="s">
        <v>515</v>
      </c>
      <c r="B72" s="133"/>
      <c r="C72" s="134">
        <f>C71</f>
        <v>0</v>
      </c>
      <c r="D72" s="462"/>
    </row>
    <row r="73" spans="1:4" ht="14.25" customHeight="1" x14ac:dyDescent="0.2">
      <c r="A73" s="451" t="s">
        <v>61</v>
      </c>
      <c r="B73" s="109"/>
      <c r="C73" s="109"/>
      <c r="D73" s="452"/>
    </row>
    <row r="74" spans="1:4" ht="14.25" customHeight="1" x14ac:dyDescent="0.2">
      <c r="A74" s="453" t="s">
        <v>62</v>
      </c>
      <c r="B74" s="100">
        <f>120/30*MC!C59*MC!C60</f>
        <v>6.18624E-3</v>
      </c>
      <c r="C74" s="117">
        <f>(((C19*2)+ (C19*1/3))+(C36)+(C44-C38-C39))*$B$74</f>
        <v>0</v>
      </c>
      <c r="D74" s="455">
        <f>(((D19*2)+ (D19*1/3))+(D36)+(D44-D38-D39))*$B$74</f>
        <v>0</v>
      </c>
    </row>
    <row r="75" spans="1:4" ht="14.25" customHeight="1" x14ac:dyDescent="0.2">
      <c r="A75" s="461" t="s">
        <v>476</v>
      </c>
      <c r="B75" s="133"/>
      <c r="C75" s="134"/>
      <c r="D75" s="462"/>
    </row>
    <row r="76" spans="1:4" ht="14.25" customHeight="1" x14ac:dyDescent="0.2">
      <c r="A76" s="443" t="s">
        <v>518</v>
      </c>
      <c r="B76" s="94"/>
      <c r="C76" s="94"/>
      <c r="D76" s="444"/>
    </row>
    <row r="77" spans="1:4" ht="14.25" customHeight="1" x14ac:dyDescent="0.2">
      <c r="A77" s="453" t="s">
        <v>39</v>
      </c>
      <c r="B77" s="122">
        <f>B69</f>
        <v>9.9662923611111107E-2</v>
      </c>
      <c r="C77" s="123">
        <f>C69</f>
        <v>0</v>
      </c>
      <c r="D77" s="456">
        <f>D69</f>
        <v>0</v>
      </c>
    </row>
    <row r="78" spans="1:4" ht="14.25" customHeight="1" x14ac:dyDescent="0.2">
      <c r="A78" s="453" t="s">
        <v>516</v>
      </c>
      <c r="B78" s="122">
        <f>B72</f>
        <v>0</v>
      </c>
      <c r="C78" s="123">
        <f>C72</f>
        <v>0</v>
      </c>
      <c r="D78" s="456">
        <f>D72</f>
        <v>0</v>
      </c>
    </row>
    <row r="79" spans="1:4" ht="14.25" customHeight="1" x14ac:dyDescent="0.2">
      <c r="A79" s="453" t="s">
        <v>61</v>
      </c>
      <c r="B79" s="122">
        <f>B74</f>
        <v>6.18624E-3</v>
      </c>
      <c r="C79" s="123">
        <f>C74</f>
        <v>0</v>
      </c>
      <c r="D79" s="456">
        <f>D74</f>
        <v>0</v>
      </c>
    </row>
    <row r="80" spans="1:4" ht="14.25" customHeight="1" x14ac:dyDescent="0.2">
      <c r="A80" s="447" t="s">
        <v>476</v>
      </c>
      <c r="B80" s="104"/>
      <c r="C80" s="113">
        <f>SUM(C77:C79)</f>
        <v>0</v>
      </c>
      <c r="D80" s="448">
        <f>SUM(D77:D79)</f>
        <v>0</v>
      </c>
    </row>
    <row r="81" spans="1:4" ht="14.25" customHeight="1" x14ac:dyDescent="0.2">
      <c r="A81" s="449"/>
      <c r="B81" s="106"/>
      <c r="C81" s="106"/>
      <c r="D81" s="450"/>
    </row>
    <row r="82" spans="1:4" ht="14.25" customHeight="1" x14ac:dyDescent="0.2">
      <c r="A82" s="463" t="s">
        <v>519</v>
      </c>
      <c r="B82" s="257"/>
      <c r="C82" s="257"/>
      <c r="D82" s="464"/>
    </row>
    <row r="83" spans="1:4" ht="14.25" customHeight="1" x14ac:dyDescent="0.2">
      <c r="A83" s="443" t="s">
        <v>520</v>
      </c>
      <c r="B83" s="94" t="s">
        <v>492</v>
      </c>
      <c r="C83" s="94" t="s">
        <v>469</v>
      </c>
      <c r="D83" s="444" t="s">
        <v>469</v>
      </c>
    </row>
    <row r="84" spans="1:4" ht="14.25" customHeight="1" x14ac:dyDescent="0.2">
      <c r="A84" s="453" t="s">
        <v>521</v>
      </c>
      <c r="B84" s="496">
        <f>Insumos!G117</f>
        <v>0</v>
      </c>
      <c r="C84" s="98">
        <f>B84</f>
        <v>0</v>
      </c>
      <c r="D84" s="446">
        <f>B84</f>
        <v>0</v>
      </c>
    </row>
    <row r="85" spans="1:4" ht="14.25" customHeight="1" x14ac:dyDescent="0.2">
      <c r="A85" s="465" t="s">
        <v>522</v>
      </c>
      <c r="B85" s="496">
        <f>Insumos!G69</f>
        <v>0</v>
      </c>
      <c r="C85" s="98">
        <f>B85</f>
        <v>0</v>
      </c>
      <c r="D85" s="446">
        <f>B85</f>
        <v>0</v>
      </c>
    </row>
    <row r="86" spans="1:4" ht="14.25" customHeight="1" x14ac:dyDescent="0.2">
      <c r="A86" s="465" t="s">
        <v>523</v>
      </c>
      <c r="B86" s="497">
        <v>0</v>
      </c>
      <c r="C86" s="98"/>
      <c r="D86" s="446"/>
    </row>
    <row r="87" spans="1:4" ht="14.25" customHeight="1" x14ac:dyDescent="0.2">
      <c r="A87" s="465" t="s">
        <v>524</v>
      </c>
      <c r="B87" s="498"/>
      <c r="C87" s="98">
        <f>Insumos!I122</f>
        <v>0</v>
      </c>
      <c r="D87" s="446">
        <f>Insumos!H122</f>
        <v>0</v>
      </c>
    </row>
    <row r="88" spans="1:4" ht="14.25" customHeight="1" x14ac:dyDescent="0.2">
      <c r="A88" s="465" t="s">
        <v>525</v>
      </c>
      <c r="B88" s="499">
        <v>0</v>
      </c>
      <c r="C88" s="98"/>
      <c r="D88" s="446"/>
    </row>
    <row r="89" spans="1:4" ht="14.25" customHeight="1" x14ac:dyDescent="0.2">
      <c r="A89" s="465" t="s">
        <v>598</v>
      </c>
      <c r="B89" s="496">
        <v>0</v>
      </c>
      <c r="C89" s="98"/>
      <c r="D89" s="446"/>
    </row>
    <row r="90" spans="1:4" ht="14.25" customHeight="1" x14ac:dyDescent="0.2">
      <c r="A90" s="465" t="s">
        <v>527</v>
      </c>
      <c r="B90" s="496">
        <v>0</v>
      </c>
      <c r="C90" s="98"/>
      <c r="D90" s="446"/>
    </row>
    <row r="91" spans="1:4" ht="14.25" customHeight="1" x14ac:dyDescent="0.2">
      <c r="A91" s="461" t="s">
        <v>476</v>
      </c>
      <c r="B91" s="136"/>
      <c r="C91" s="134">
        <f>SUM(C84:C90)</f>
        <v>0</v>
      </c>
      <c r="D91" s="462">
        <f t="shared" ref="D91" si="8">SUM(D84:D90)</f>
        <v>0</v>
      </c>
    </row>
    <row r="92" spans="1:4" ht="14.25" customHeight="1" x14ac:dyDescent="0.2">
      <c r="A92" s="1048"/>
      <c r="B92" s="1013"/>
      <c r="C92" s="137"/>
      <c r="D92" s="466"/>
    </row>
    <row r="93" spans="1:4" ht="14.25" customHeight="1" x14ac:dyDescent="0.2">
      <c r="A93" s="463" t="s">
        <v>528</v>
      </c>
      <c r="B93" s="257"/>
      <c r="C93" s="257"/>
      <c r="D93" s="464"/>
    </row>
    <row r="94" spans="1:4" ht="14.25" customHeight="1" x14ac:dyDescent="0.2">
      <c r="A94" s="443" t="s">
        <v>529</v>
      </c>
      <c r="B94" s="94" t="s">
        <v>468</v>
      </c>
      <c r="C94" s="94" t="s">
        <v>469</v>
      </c>
      <c r="D94" s="444" t="s">
        <v>469</v>
      </c>
    </row>
    <row r="95" spans="1:4" ht="14.25" customHeight="1" x14ac:dyDescent="0.2">
      <c r="A95" s="445" t="s">
        <v>67</v>
      </c>
      <c r="B95" s="100">
        <v>0.03</v>
      </c>
      <c r="C95" s="117">
        <f>($C$19+$C$49+$C$60+$C$80+$C$91)*$B$95</f>
        <v>0</v>
      </c>
      <c r="D95" s="455">
        <f>($D$19+$D$49+$D$60+$D$80+$D$91)*$B$95</f>
        <v>0</v>
      </c>
    </row>
    <row r="96" spans="1:4" ht="14.25" customHeight="1" x14ac:dyDescent="0.2">
      <c r="A96" s="445" t="s">
        <v>68</v>
      </c>
      <c r="B96" s="100">
        <v>6.7900000000000002E-2</v>
      </c>
      <c r="C96" s="117">
        <f>($C$19+$C$49+$C$60+$C$80+$C$91+C95)*B96</f>
        <v>0</v>
      </c>
      <c r="D96" s="455">
        <f>($D$19+$D$49+$D$60+$D$80+$D$91+$D$95)*$B$96</f>
        <v>0</v>
      </c>
    </row>
    <row r="97" spans="1:5" ht="14.25" customHeight="1" x14ac:dyDescent="0.2">
      <c r="A97" s="467" t="s">
        <v>530</v>
      </c>
      <c r="B97" s="261">
        <f>B98+B99</f>
        <v>0.1125</v>
      </c>
      <c r="C97" s="262">
        <f>((C19+C49+C60+C80+C91+C95+C96)/(1-($B$97)))*$B$97</f>
        <v>0</v>
      </c>
      <c r="D97" s="468">
        <f>((D19+D49+D60+D80+D91+D95+D96)/(1-($B$97)))*$B$97</f>
        <v>0</v>
      </c>
    </row>
    <row r="98" spans="1:5" ht="14.25" customHeight="1" x14ac:dyDescent="0.2">
      <c r="A98" s="445" t="s">
        <v>531</v>
      </c>
      <c r="B98" s="100">
        <f>0.0165+0.076</f>
        <v>9.2499999999999999E-2</v>
      </c>
      <c r="C98" s="263">
        <f>((C$19+C$49+C$60+C$80+C$91+C$95+C$96)/(1-($B$97)))*$B$98</f>
        <v>0</v>
      </c>
      <c r="D98" s="469">
        <f t="shared" ref="D98" si="9">((D$19+D$49+D$60+D$80+D$91+D$95+D$96)/(1-($B$97)))*$B$98</f>
        <v>0</v>
      </c>
    </row>
    <row r="99" spans="1:5" ht="14.25" customHeight="1" x14ac:dyDescent="0.2">
      <c r="A99" s="445" t="s">
        <v>532</v>
      </c>
      <c r="B99" s="100">
        <v>0.02</v>
      </c>
      <c r="C99" s="264">
        <f>((C$19+C$49+C$60+C$80+C$91+C$95+C$96)/(1-($B$97)))*$B$99</f>
        <v>0</v>
      </c>
      <c r="D99" s="470">
        <f t="shared" ref="D99" si="10">((D$19+D$49+D$60+D$80+D$91+D$95+D$96)/(1-($B$97)))*$B$99</f>
        <v>0</v>
      </c>
    </row>
    <row r="100" spans="1:5" ht="14.25" customHeight="1" x14ac:dyDescent="0.2">
      <c r="A100" s="467" t="s">
        <v>533</v>
      </c>
      <c r="B100" s="261">
        <f>B101+B102</f>
        <v>0.11749999999999999</v>
      </c>
      <c r="C100" s="262">
        <f>((C19+C49+C60+C80+C91+C95+C96)/(1-($B$100)))*$B$100</f>
        <v>0</v>
      </c>
      <c r="D100" s="468">
        <f t="shared" ref="D100" si="11">((D19+D49+D60+D80+D91+D95+D96)/(1-($B$100)))*$B$100</f>
        <v>0</v>
      </c>
    </row>
    <row r="101" spans="1:5" ht="14.25" customHeight="1" x14ac:dyDescent="0.2">
      <c r="A101" s="445" t="s">
        <v>531</v>
      </c>
      <c r="B101" s="100">
        <f>0.0165+0.076</f>
        <v>9.2499999999999999E-2</v>
      </c>
      <c r="C101" s="263">
        <f>((C19+C49+C60+C80+C91+C95+C96)/(1-($B$100)))*$B$101</f>
        <v>0</v>
      </c>
      <c r="D101" s="469">
        <f t="shared" ref="D101" si="12">((D19+D49+D60+D80+D91+D95+D96)/(1-($B$100)))*$B$101</f>
        <v>0</v>
      </c>
    </row>
    <row r="102" spans="1:5" ht="14.25" customHeight="1" x14ac:dyDescent="0.2">
      <c r="A102" s="445" t="s">
        <v>532</v>
      </c>
      <c r="B102" s="100">
        <v>2.5000000000000001E-2</v>
      </c>
      <c r="C102" s="264">
        <f>((C$19+C$49+C$60+C$80+C$91+C$95+C$96)/(1-($B$100)))*$B$102</f>
        <v>0</v>
      </c>
      <c r="D102" s="470">
        <f t="shared" ref="D102" si="13">((D$19+D$49+D$60+D$80+D$91+D$95+D$96)/(1-($B$100)))*$B$102</f>
        <v>0</v>
      </c>
    </row>
    <row r="103" spans="1:5" ht="14.25" customHeight="1" x14ac:dyDescent="0.2">
      <c r="A103" s="467" t="s">
        <v>534</v>
      </c>
      <c r="B103" s="261">
        <f>B104+B105</f>
        <v>0.1225</v>
      </c>
      <c r="C103" s="262">
        <f>((C19+C49+C60+C80+C91+C95+C96)/(1-($B$103)))*$B$103</f>
        <v>0</v>
      </c>
      <c r="D103" s="468">
        <f t="shared" ref="D103" si="14">((D19+D49+D60+D80+D91+D95+D96)/(1-($B$103)))*$B$103</f>
        <v>0</v>
      </c>
    </row>
    <row r="104" spans="1:5" ht="14.25" customHeight="1" x14ac:dyDescent="0.2">
      <c r="A104" s="445" t="s">
        <v>531</v>
      </c>
      <c r="B104" s="100">
        <f>0.0165+0.076</f>
        <v>9.2499999999999999E-2</v>
      </c>
      <c r="C104" s="263">
        <f>((C19+C49+C60+C80+C91+C95+C96)/(1-($B$103)))*$B$104</f>
        <v>0</v>
      </c>
      <c r="D104" s="469">
        <f t="shared" ref="D104" si="15">((D19+D49+D60+D80+D91+D95+D96)/(1-($B$103)))*$B$104</f>
        <v>0</v>
      </c>
    </row>
    <row r="105" spans="1:5" ht="14.25" customHeight="1" x14ac:dyDescent="0.2">
      <c r="A105" s="445" t="s">
        <v>532</v>
      </c>
      <c r="B105" s="100">
        <v>0.03</v>
      </c>
      <c r="C105" s="264">
        <f>((C19+C49+C60+C80+C91+C95+C96)/(1-($B$103)))*$B$105</f>
        <v>0</v>
      </c>
      <c r="D105" s="470">
        <f t="shared" ref="D105" si="16">((D19+D49+D60+D80+D91+D95+D96)/(1-($B$103)))*$B$105</f>
        <v>0</v>
      </c>
      <c r="E105" s="265"/>
    </row>
    <row r="106" spans="1:5" ht="14.25" customHeight="1" x14ac:dyDescent="0.2">
      <c r="A106" s="467" t="s">
        <v>535</v>
      </c>
      <c r="B106" s="261">
        <f>B107+B108</f>
        <v>0.13250000000000001</v>
      </c>
      <c r="C106" s="262">
        <f>((C19+C49+C60+C80+C91+C95+C96)/(1-($B$106)))*$B$106</f>
        <v>0</v>
      </c>
      <c r="D106" s="468">
        <f t="shared" ref="D106" si="17">((D19+D49+D60+D80+D91+D95+D96)/(1-($B$106)))*$B$106</f>
        <v>0</v>
      </c>
    </row>
    <row r="107" spans="1:5" ht="14.25" customHeight="1" x14ac:dyDescent="0.2">
      <c r="A107" s="445" t="s">
        <v>531</v>
      </c>
      <c r="B107" s="100">
        <f>0.0165+0.076</f>
        <v>9.2499999999999999E-2</v>
      </c>
      <c r="C107" s="263">
        <f>((C19+C49+C60+C80+C91+C95+C96)/(1-($B$106)))*$B$107</f>
        <v>0</v>
      </c>
      <c r="D107" s="469">
        <f t="shared" ref="D107" si="18">((D19+D49+D60+D80+D91+D95+D96)/(1-($B$106)))*$B$107</f>
        <v>0</v>
      </c>
    </row>
    <row r="108" spans="1:5" ht="14.25" customHeight="1" x14ac:dyDescent="0.2">
      <c r="A108" s="445" t="s">
        <v>532</v>
      </c>
      <c r="B108" s="100">
        <v>0.04</v>
      </c>
      <c r="C108" s="264">
        <f>((C19+C49+C60+C80+C91+C95+C96)/(1-($B$106)))*$B$108</f>
        <v>0</v>
      </c>
      <c r="D108" s="470">
        <f t="shared" ref="D108" si="19">((D19+D49+D60+D80+D91+D95+D96)/(1-($B$106)))*$B$108</f>
        <v>0</v>
      </c>
    </row>
    <row r="109" spans="1:5" ht="14.25" customHeight="1" x14ac:dyDescent="0.2">
      <c r="A109" s="467" t="s">
        <v>536</v>
      </c>
      <c r="B109" s="261">
        <f>B110+B111</f>
        <v>0.14250000000000002</v>
      </c>
      <c r="C109" s="262">
        <f>((C19+C49+C60+C80+C91+C95+C96)/(1-($B$109)))*$B$109</f>
        <v>0</v>
      </c>
      <c r="D109" s="468">
        <f t="shared" ref="D109" si="20">((D19+D49+D60+D80+D91+D95+D96)/(1-($B$109)))*$B$109</f>
        <v>0</v>
      </c>
    </row>
    <row r="110" spans="1:5" ht="14.25" customHeight="1" x14ac:dyDescent="0.2">
      <c r="A110" s="445" t="s">
        <v>531</v>
      </c>
      <c r="B110" s="100">
        <f>0.0165+0.076</f>
        <v>9.2499999999999999E-2</v>
      </c>
      <c r="C110" s="263">
        <f>((C19+C49+C60+C80+C91+C95+C96)/(1-($B$109)))*$B$110</f>
        <v>0</v>
      </c>
      <c r="D110" s="469">
        <f t="shared" ref="D110" si="21">((D19+D49+D60+D80+D91+D95+D96)/(1-($B$109)))*$B$110</f>
        <v>0</v>
      </c>
    </row>
    <row r="111" spans="1:5" ht="14.25" customHeight="1" x14ac:dyDescent="0.2">
      <c r="A111" s="445" t="s">
        <v>532</v>
      </c>
      <c r="B111" s="266">
        <v>0.05</v>
      </c>
      <c r="C111" s="264">
        <f>((C19+C49+C60+C80+C91+C95+C96)/(1-($B$109)))*$B$111</f>
        <v>0</v>
      </c>
      <c r="D111" s="470">
        <f t="shared" ref="D111" si="22">((D19+D49+D60+D80+D91+D95+D96)/(1-($B$109)))*$B$111</f>
        <v>0</v>
      </c>
    </row>
    <row r="112" spans="1:5" ht="14.25" customHeight="1" x14ac:dyDescent="0.2">
      <c r="A112" s="1050" t="s">
        <v>537</v>
      </c>
      <c r="B112" s="267">
        <v>0.02</v>
      </c>
      <c r="C112" s="268">
        <f>C95+C96+C97</f>
        <v>0</v>
      </c>
      <c r="D112" s="471">
        <f>D95+D96+D97</f>
        <v>0</v>
      </c>
    </row>
    <row r="113" spans="1:5" ht="14.25" customHeight="1" x14ac:dyDescent="0.2">
      <c r="A113" s="1050"/>
      <c r="B113" s="269">
        <v>2.5000000000000001E-2</v>
      </c>
      <c r="C113" s="270">
        <f>C95+C96+C100</f>
        <v>0</v>
      </c>
      <c r="D113" s="472">
        <f>D95+D96+D100</f>
        <v>0</v>
      </c>
    </row>
    <row r="114" spans="1:5" ht="14.25" customHeight="1" x14ac:dyDescent="0.2">
      <c r="A114" s="1050"/>
      <c r="B114" s="269">
        <v>0.03</v>
      </c>
      <c r="C114" s="270">
        <f>C95+C96+C103</f>
        <v>0</v>
      </c>
      <c r="D114" s="472">
        <f>D95+D96+D103</f>
        <v>0</v>
      </c>
      <c r="E114" s="265"/>
    </row>
    <row r="115" spans="1:5" ht="14.25" customHeight="1" x14ac:dyDescent="0.2">
      <c r="A115" s="1050"/>
      <c r="B115" s="269">
        <v>0.04</v>
      </c>
      <c r="C115" s="270">
        <f>C95+C96+C106</f>
        <v>0</v>
      </c>
      <c r="D115" s="472">
        <f>D95+D96+D106</f>
        <v>0</v>
      </c>
    </row>
    <row r="116" spans="1:5" ht="14.25" customHeight="1" x14ac:dyDescent="0.2">
      <c r="A116" s="1050"/>
      <c r="B116" s="271">
        <v>0.05</v>
      </c>
      <c r="C116" s="272">
        <f>C95+C96+C109</f>
        <v>0</v>
      </c>
      <c r="D116" s="473">
        <f>D95+D96+D109</f>
        <v>0</v>
      </c>
    </row>
    <row r="117" spans="1:5" ht="14.25" customHeight="1" x14ac:dyDescent="0.2">
      <c r="A117" s="445" t="s">
        <v>538</v>
      </c>
      <c r="B117" s="273"/>
      <c r="C117" s="274"/>
      <c r="D117" s="474"/>
    </row>
    <row r="118" spans="1:5" ht="14.25" customHeight="1" x14ac:dyDescent="0.2">
      <c r="A118" s="475"/>
      <c r="B118" s="277"/>
      <c r="C118" s="278"/>
      <c r="D118" s="476"/>
    </row>
    <row r="119" spans="1:5" ht="7.5" customHeight="1" x14ac:dyDescent="0.2">
      <c r="A119" s="1051"/>
      <c r="B119" s="1016"/>
      <c r="C119" s="1016"/>
      <c r="D119" s="1052"/>
    </row>
    <row r="120" spans="1:5" ht="7.5" customHeight="1" x14ac:dyDescent="0.2">
      <c r="A120" s="1053"/>
      <c r="B120" s="1017"/>
      <c r="C120" s="1017"/>
      <c r="D120" s="1054"/>
    </row>
    <row r="121" spans="1:5" ht="54.75" customHeight="1" x14ac:dyDescent="0.2">
      <c r="A121" s="1055" t="s">
        <v>539</v>
      </c>
      <c r="B121" s="1018"/>
      <c r="C121" s="281" t="str">
        <f>C10</f>
        <v>Servente COVID 40h</v>
      </c>
      <c r="D121" s="477" t="str">
        <f>D10</f>
        <v>Servente COVID 30h</v>
      </c>
    </row>
    <row r="122" spans="1:5" ht="15.75" customHeight="1" x14ac:dyDescent="0.2">
      <c r="A122" s="1056" t="s">
        <v>540</v>
      </c>
      <c r="B122" s="1019"/>
      <c r="C122" s="284" t="s">
        <v>469</v>
      </c>
      <c r="D122" s="478" t="s">
        <v>469</v>
      </c>
    </row>
    <row r="123" spans="1:5" ht="14.25" customHeight="1" x14ac:dyDescent="0.2">
      <c r="A123" s="1057" t="s">
        <v>541</v>
      </c>
      <c r="B123" s="1020"/>
      <c r="C123" s="286">
        <f>C19</f>
        <v>0</v>
      </c>
      <c r="D123" s="479">
        <f>D19</f>
        <v>0</v>
      </c>
    </row>
    <row r="124" spans="1:5" ht="14.25" customHeight="1" x14ac:dyDescent="0.2">
      <c r="A124" s="1049" t="s">
        <v>542</v>
      </c>
      <c r="B124" s="1021"/>
      <c r="C124" s="139">
        <f>C49</f>
        <v>0</v>
      </c>
      <c r="D124" s="480">
        <f>D49</f>
        <v>0</v>
      </c>
    </row>
    <row r="125" spans="1:5" ht="14.25" customHeight="1" x14ac:dyDescent="0.2">
      <c r="A125" s="1049" t="s">
        <v>543</v>
      </c>
      <c r="B125" s="1021"/>
      <c r="C125" s="139">
        <f>C60</f>
        <v>0</v>
      </c>
      <c r="D125" s="480">
        <f>D60</f>
        <v>0</v>
      </c>
    </row>
    <row r="126" spans="1:5" ht="14.25" customHeight="1" x14ac:dyDescent="0.2">
      <c r="A126" s="1049" t="s">
        <v>544</v>
      </c>
      <c r="B126" s="1021"/>
      <c r="C126" s="139">
        <f>C80</f>
        <v>0</v>
      </c>
      <c r="D126" s="480">
        <f>D80</f>
        <v>0</v>
      </c>
    </row>
    <row r="127" spans="1:5" ht="15.75" customHeight="1" x14ac:dyDescent="0.2">
      <c r="A127" s="1049" t="s">
        <v>545</v>
      </c>
      <c r="B127" s="1021"/>
      <c r="C127" s="139">
        <f>C91</f>
        <v>0</v>
      </c>
      <c r="D127" s="480">
        <f>D91</f>
        <v>0</v>
      </c>
    </row>
    <row r="128" spans="1:5" ht="15.75" customHeight="1" x14ac:dyDescent="0.2">
      <c r="A128" s="1059" t="s">
        <v>546</v>
      </c>
      <c r="B128" s="1024"/>
      <c r="C128" s="141">
        <f>SUM(C123:C127)</f>
        <v>0</v>
      </c>
      <c r="D128" s="481">
        <f>SUM(D123:D127)</f>
        <v>0</v>
      </c>
    </row>
    <row r="129" spans="1:10" ht="15.75" customHeight="1" x14ac:dyDescent="0.2">
      <c r="A129" s="1058" t="s">
        <v>547</v>
      </c>
      <c r="B129" s="1022"/>
      <c r="C129" s="289">
        <f t="shared" ref="C129:D133" si="23">C112</f>
        <v>0</v>
      </c>
      <c r="D129" s="482">
        <f t="shared" si="23"/>
        <v>0</v>
      </c>
    </row>
    <row r="130" spans="1:10" ht="15.75" customHeight="1" x14ac:dyDescent="0.2">
      <c r="A130" s="1049" t="s">
        <v>548</v>
      </c>
      <c r="B130" s="1021"/>
      <c r="C130" s="291">
        <f t="shared" si="23"/>
        <v>0</v>
      </c>
      <c r="D130" s="483">
        <f t="shared" si="23"/>
        <v>0</v>
      </c>
    </row>
    <row r="131" spans="1:10" ht="15.75" customHeight="1" x14ac:dyDescent="0.2">
      <c r="A131" s="1049" t="s">
        <v>549</v>
      </c>
      <c r="B131" s="1021"/>
      <c r="C131" s="291">
        <f t="shared" si="23"/>
        <v>0</v>
      </c>
      <c r="D131" s="483">
        <f t="shared" si="23"/>
        <v>0</v>
      </c>
    </row>
    <row r="132" spans="1:10" ht="15.75" customHeight="1" x14ac:dyDescent="0.2">
      <c r="A132" s="1049" t="s">
        <v>550</v>
      </c>
      <c r="B132" s="1021"/>
      <c r="C132" s="291">
        <f t="shared" si="23"/>
        <v>0</v>
      </c>
      <c r="D132" s="483">
        <f t="shared" si="23"/>
        <v>0</v>
      </c>
    </row>
    <row r="133" spans="1:10" ht="15.75" customHeight="1" x14ac:dyDescent="0.2">
      <c r="A133" s="1058" t="s">
        <v>551</v>
      </c>
      <c r="B133" s="1022"/>
      <c r="C133" s="291">
        <f t="shared" si="23"/>
        <v>0</v>
      </c>
      <c r="D133" s="483">
        <f t="shared" si="23"/>
        <v>0</v>
      </c>
    </row>
    <row r="134" spans="1:10" ht="15.75" customHeight="1" x14ac:dyDescent="0.2">
      <c r="A134" s="484" t="s">
        <v>552</v>
      </c>
      <c r="B134" s="294"/>
      <c r="C134" s="295">
        <f>C128+C129</f>
        <v>0</v>
      </c>
      <c r="D134" s="485">
        <f>D128+D129</f>
        <v>0</v>
      </c>
      <c r="F134" s="648"/>
      <c r="G134" s="649"/>
    </row>
    <row r="135" spans="1:10" ht="15.75" customHeight="1" x14ac:dyDescent="0.2">
      <c r="A135" s="486" t="s">
        <v>553</v>
      </c>
      <c r="B135" s="298"/>
      <c r="C135" s="299">
        <f>C128+C130</f>
        <v>0</v>
      </c>
      <c r="D135" s="487">
        <f>D128+D130</f>
        <v>0</v>
      </c>
      <c r="F135" s="650"/>
      <c r="G135" s="651"/>
    </row>
    <row r="136" spans="1:10" ht="15.75" customHeight="1" x14ac:dyDescent="0.2">
      <c r="A136" s="486" t="s">
        <v>554</v>
      </c>
      <c r="B136" s="298"/>
      <c r="C136" s="299">
        <f>C128+C131</f>
        <v>0</v>
      </c>
      <c r="D136" s="487">
        <f>D128+D131</f>
        <v>0</v>
      </c>
      <c r="F136" s="650"/>
      <c r="G136" s="651"/>
      <c r="J136" s="652"/>
    </row>
    <row r="137" spans="1:10" ht="15.75" customHeight="1" x14ac:dyDescent="0.2">
      <c r="A137" s="486" t="s">
        <v>555</v>
      </c>
      <c r="B137" s="298"/>
      <c r="C137" s="299">
        <f>C128+C132</f>
        <v>0</v>
      </c>
      <c r="D137" s="487">
        <f>D128+D132</f>
        <v>0</v>
      </c>
      <c r="F137" s="650"/>
      <c r="G137" s="651"/>
      <c r="J137" s="652"/>
    </row>
    <row r="138" spans="1:10" ht="15.75" customHeight="1" x14ac:dyDescent="0.2">
      <c r="A138" s="486" t="s">
        <v>556</v>
      </c>
      <c r="B138" s="298"/>
      <c r="C138" s="299">
        <f>C128+C133</f>
        <v>0</v>
      </c>
      <c r="D138" s="487">
        <f>D128+D133</f>
        <v>0</v>
      </c>
      <c r="F138" s="650"/>
      <c r="G138" s="651"/>
      <c r="J138" s="652"/>
    </row>
    <row r="139" spans="1:10" ht="15.75" customHeight="1" x14ac:dyDescent="0.2">
      <c r="A139" s="488" t="s">
        <v>557</v>
      </c>
      <c r="B139" s="302"/>
      <c r="C139" s="303">
        <f>C134/200</f>
        <v>0</v>
      </c>
      <c r="D139" s="489"/>
      <c r="F139" s="650"/>
      <c r="G139" s="651"/>
      <c r="J139" s="652"/>
    </row>
    <row r="140" spans="1:10" ht="15.75" customHeight="1" x14ac:dyDescent="0.2">
      <c r="A140" s="490" t="s">
        <v>558</v>
      </c>
      <c r="B140" s="307"/>
      <c r="C140" s="308">
        <f>C135/200</f>
        <v>0</v>
      </c>
      <c r="D140" s="491"/>
      <c r="F140" s="650"/>
      <c r="G140" s="651"/>
      <c r="J140" s="652"/>
    </row>
    <row r="141" spans="1:10" ht="15.75" customHeight="1" x14ac:dyDescent="0.2">
      <c r="A141" s="490" t="s">
        <v>559</v>
      </c>
      <c r="B141" s="307"/>
      <c r="C141" s="308">
        <f>C136/200</f>
        <v>0</v>
      </c>
      <c r="D141" s="491"/>
      <c r="F141" s="650"/>
      <c r="G141" s="651"/>
    </row>
    <row r="142" spans="1:10" ht="15.75" customHeight="1" x14ac:dyDescent="0.2">
      <c r="A142" s="490" t="s">
        <v>560</v>
      </c>
      <c r="B142" s="307"/>
      <c r="C142" s="308">
        <f>C137/200</f>
        <v>0</v>
      </c>
      <c r="D142" s="491"/>
      <c r="F142" s="650"/>
      <c r="G142" s="651"/>
      <c r="J142" s="652"/>
    </row>
    <row r="143" spans="1:10" ht="15.75" customHeight="1" x14ac:dyDescent="0.2">
      <c r="A143" s="492" t="s">
        <v>561</v>
      </c>
      <c r="B143" s="493"/>
      <c r="C143" s="494">
        <f>C138/200</f>
        <v>0</v>
      </c>
      <c r="D143" s="495"/>
      <c r="F143" s="650"/>
      <c r="G143" s="651"/>
      <c r="J143" s="652"/>
    </row>
    <row r="144" spans="1:10" x14ac:dyDescent="0.2">
      <c r="A144" s="316"/>
      <c r="F144" s="650"/>
      <c r="G144" s="651"/>
    </row>
    <row r="145" spans="6:10" x14ac:dyDescent="0.2">
      <c r="F145" s="650"/>
      <c r="G145" s="651"/>
      <c r="J145" s="652"/>
    </row>
    <row r="146" spans="6:10" x14ac:dyDescent="0.2">
      <c r="F146" s="650"/>
      <c r="G146" s="651"/>
      <c r="J146" s="652"/>
    </row>
    <row r="147" spans="6:10" x14ac:dyDescent="0.2">
      <c r="F147" s="650"/>
      <c r="G147" s="651"/>
    </row>
    <row r="148" spans="6:10" x14ac:dyDescent="0.2">
      <c r="F148" s="650"/>
      <c r="G148" s="651"/>
    </row>
    <row r="149" spans="6:10" x14ac:dyDescent="0.2">
      <c r="F149" s="650"/>
      <c r="G149" s="651"/>
    </row>
    <row r="150" spans="6:10" x14ac:dyDescent="0.2">
      <c r="F150" s="650"/>
      <c r="G150" s="651"/>
    </row>
    <row r="151" spans="6:10" x14ac:dyDescent="0.2">
      <c r="F151" s="650"/>
      <c r="G151" s="651"/>
    </row>
    <row r="152" spans="6:10" x14ac:dyDescent="0.2">
      <c r="F152" s="650"/>
      <c r="G152" s="651"/>
    </row>
  </sheetData>
  <mergeCells count="27"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21:D21"/>
    <mergeCell ref="A1:D1"/>
    <mergeCell ref="A2:D2"/>
    <mergeCell ref="A3:D3"/>
    <mergeCell ref="A9:D9"/>
    <mergeCell ref="A20:B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070"/>
  </sheetPr>
  <dimension ref="A1:AMD32"/>
  <sheetViews>
    <sheetView zoomScale="80" zoomScaleNormal="80" workbookViewId="0">
      <pane xSplit="1" topLeftCell="B1" activePane="topRight" state="frozen"/>
      <selection pane="topRight" activeCell="J32" sqref="J32"/>
    </sheetView>
  </sheetViews>
  <sheetFormatPr defaultRowHeight="15" x14ac:dyDescent="0.25"/>
  <cols>
    <col min="1" max="1" width="23.375" style="175"/>
    <col min="2" max="2" width="9" style="175"/>
    <col min="3" max="9" width="9.25" style="175"/>
    <col min="10" max="11" width="11.5" style="175"/>
    <col min="12" max="14" width="9.25" style="175"/>
    <col min="15" max="15" width="9" style="175"/>
    <col min="16" max="18" width="9.25" style="175"/>
    <col min="19" max="21" width="9" style="175"/>
    <col min="22" max="22" width="9.25" style="175"/>
    <col min="23" max="1003" width="10.625" style="145"/>
    <col min="1004" max="1004" width="9" style="175"/>
    <col min="1005" max="1018" width="8.625" style="175"/>
  </cols>
  <sheetData>
    <row r="1" spans="1:1005" x14ac:dyDescent="0.25">
      <c r="A1" s="145"/>
      <c r="B1" s="145"/>
      <c r="C1" s="1062" t="s">
        <v>331</v>
      </c>
      <c r="D1" s="1062"/>
      <c r="E1" s="1062"/>
      <c r="F1" s="1062"/>
      <c r="G1" s="1063" t="s">
        <v>332</v>
      </c>
      <c r="H1" s="1063"/>
      <c r="I1" s="1063"/>
      <c r="J1" s="1064" t="s">
        <v>333</v>
      </c>
      <c r="K1" s="1064"/>
      <c r="L1" s="1064"/>
      <c r="M1" s="145"/>
      <c r="N1" s="145"/>
      <c r="O1" s="145"/>
      <c r="P1" s="145"/>
      <c r="Q1" s="145"/>
      <c r="R1" s="145"/>
      <c r="S1" s="145"/>
      <c r="T1" s="145"/>
      <c r="U1" s="145"/>
      <c r="V1" s="145"/>
      <c r="W1"/>
      <c r="ALP1"/>
      <c r="ALQ1"/>
    </row>
    <row r="2" spans="1:1005" ht="55.5" customHeight="1" x14ac:dyDescent="0.25">
      <c r="A2" s="1000" t="s">
        <v>340</v>
      </c>
      <c r="B2" s="1002" t="s">
        <v>71</v>
      </c>
      <c r="C2" s="1001" t="s">
        <v>342</v>
      </c>
      <c r="D2" s="969" t="s">
        <v>343</v>
      </c>
      <c r="E2" s="975" t="s">
        <v>344</v>
      </c>
      <c r="F2" s="1001" t="s">
        <v>345</v>
      </c>
      <c r="G2" s="996" t="s">
        <v>346</v>
      </c>
      <c r="H2" s="970" t="s">
        <v>599</v>
      </c>
      <c r="I2" s="999" t="s">
        <v>348</v>
      </c>
      <c r="J2" s="1004" t="s">
        <v>349</v>
      </c>
      <c r="K2" s="964" t="s">
        <v>350</v>
      </c>
      <c r="L2" s="1065" t="s">
        <v>351</v>
      </c>
      <c r="M2" s="1060" t="s">
        <v>417</v>
      </c>
      <c r="N2" s="1008" t="s">
        <v>418</v>
      </c>
      <c r="O2" s="1008"/>
      <c r="P2" s="1008"/>
      <c r="Q2" s="1009" t="s">
        <v>419</v>
      </c>
      <c r="R2" s="1009"/>
      <c r="S2" s="503" t="s">
        <v>420</v>
      </c>
      <c r="T2" s="504" t="s">
        <v>421</v>
      </c>
      <c r="U2" s="849" t="s">
        <v>422</v>
      </c>
      <c r="V2" s="193" t="s">
        <v>423</v>
      </c>
      <c r="W2"/>
      <c r="ALP2" s="145"/>
      <c r="ALQ2" s="145"/>
    </row>
    <row r="3" spans="1:1005" ht="18" customHeight="1" x14ac:dyDescent="0.25">
      <c r="A3" s="1000"/>
      <c r="B3" s="1003"/>
      <c r="C3" s="1001"/>
      <c r="D3" s="969"/>
      <c r="E3" s="975"/>
      <c r="F3" s="1001"/>
      <c r="G3" s="996"/>
      <c r="H3" s="970"/>
      <c r="I3" s="999"/>
      <c r="J3" s="1004"/>
      <c r="K3" s="964"/>
      <c r="L3" s="1065"/>
      <c r="M3" s="1061"/>
      <c r="N3" s="323" t="s">
        <v>428</v>
      </c>
      <c r="O3" s="323" t="s">
        <v>424</v>
      </c>
      <c r="P3" s="323" t="s">
        <v>425</v>
      </c>
      <c r="Q3" s="627" t="s">
        <v>424</v>
      </c>
      <c r="R3" s="628" t="s">
        <v>425</v>
      </c>
      <c r="S3" s="629" t="s">
        <v>426</v>
      </c>
      <c r="T3" s="531" t="s">
        <v>426</v>
      </c>
      <c r="U3" s="850" t="s">
        <v>427</v>
      </c>
      <c r="V3" s="193" t="s">
        <v>425</v>
      </c>
      <c r="W3"/>
      <c r="ALP3" s="145"/>
      <c r="ALQ3" s="145"/>
    </row>
    <row r="4" spans="1:1005" x14ac:dyDescent="0.25">
      <c r="A4" s="545" t="s">
        <v>77</v>
      </c>
      <c r="B4" s="677">
        <f>MC!I68</f>
        <v>0</v>
      </c>
      <c r="C4" s="614">
        <v>822</v>
      </c>
      <c r="D4" s="615">
        <v>511</v>
      </c>
      <c r="E4" s="615">
        <v>0</v>
      </c>
      <c r="F4" s="615">
        <v>103</v>
      </c>
      <c r="G4" s="615">
        <v>993</v>
      </c>
      <c r="H4" s="615">
        <v>6842</v>
      </c>
      <c r="I4" s="615">
        <v>190</v>
      </c>
      <c r="J4" s="615">
        <v>132</v>
      </c>
      <c r="K4" s="615">
        <v>115</v>
      </c>
      <c r="L4" s="616">
        <v>247</v>
      </c>
      <c r="M4" s="620">
        <f t="shared" ref="M4:M18" si="0">C4/$C$20+D4/$D$20+E4/$E$20+F4/$F$20+G4/$G$20+H4/$H$20+I4/$I$20+K4/$K$20*16*1/188.76+L4/$L$20*16*1/188.76</f>
        <v>2.4212241530505652</v>
      </c>
      <c r="N4" s="756">
        <v>1</v>
      </c>
      <c r="O4" s="756"/>
      <c r="P4" s="757">
        <v>2</v>
      </c>
      <c r="Q4" s="758" t="s">
        <v>429</v>
      </c>
      <c r="R4" s="759" t="s">
        <v>429</v>
      </c>
      <c r="S4" s="518">
        <v>6</v>
      </c>
      <c r="T4" s="530">
        <v>6</v>
      </c>
      <c r="U4" s="851">
        <v>22</v>
      </c>
      <c r="V4" s="852">
        <v>1</v>
      </c>
      <c r="W4"/>
    </row>
    <row r="5" spans="1:1005" x14ac:dyDescent="0.25">
      <c r="A5" s="546" t="s">
        <v>79</v>
      </c>
      <c r="B5" s="677">
        <f>MC!I69</f>
        <v>0</v>
      </c>
      <c r="C5" s="614">
        <v>773</v>
      </c>
      <c r="D5" s="615">
        <v>1519</v>
      </c>
      <c r="E5" s="615">
        <v>0</v>
      </c>
      <c r="F5" s="615">
        <v>153</v>
      </c>
      <c r="G5" s="615">
        <v>712</v>
      </c>
      <c r="H5" s="615">
        <v>1008</v>
      </c>
      <c r="I5" s="615">
        <v>316</v>
      </c>
      <c r="J5" s="615">
        <v>265</v>
      </c>
      <c r="K5" s="615">
        <v>78</v>
      </c>
      <c r="L5" s="616">
        <v>343</v>
      </c>
      <c r="M5" s="621">
        <f t="shared" si="0"/>
        <v>3.1467207619936328</v>
      </c>
      <c r="N5" s="760">
        <v>1</v>
      </c>
      <c r="O5" s="760"/>
      <c r="P5" s="761">
        <v>2</v>
      </c>
      <c r="Q5" s="758">
        <v>2</v>
      </c>
      <c r="R5" s="759" t="s">
        <v>429</v>
      </c>
      <c r="S5" s="519">
        <v>6</v>
      </c>
      <c r="T5" s="526">
        <v>6</v>
      </c>
      <c r="U5" s="839"/>
      <c r="V5" s="853"/>
      <c r="W5"/>
    </row>
    <row r="6" spans="1:1005" x14ac:dyDescent="0.25">
      <c r="A6" s="546" t="s">
        <v>81</v>
      </c>
      <c r="B6" s="677">
        <f>MC!I70</f>
        <v>0</v>
      </c>
      <c r="C6" s="614">
        <v>787</v>
      </c>
      <c r="D6" s="615">
        <v>2256</v>
      </c>
      <c r="E6" s="615">
        <v>0</v>
      </c>
      <c r="F6" s="615">
        <v>121</v>
      </c>
      <c r="G6" s="615">
        <v>1989</v>
      </c>
      <c r="H6" s="615">
        <v>2171</v>
      </c>
      <c r="I6" s="615">
        <v>643</v>
      </c>
      <c r="J6" s="615">
        <v>92</v>
      </c>
      <c r="K6" s="615">
        <v>640</v>
      </c>
      <c r="L6" s="616">
        <v>732</v>
      </c>
      <c r="M6" s="621">
        <f t="shared" si="0"/>
        <v>4.2286127568656759</v>
      </c>
      <c r="N6" s="760">
        <v>1</v>
      </c>
      <c r="O6" s="760"/>
      <c r="P6" s="761">
        <v>3</v>
      </c>
      <c r="Q6" s="758" t="s">
        <v>429</v>
      </c>
      <c r="R6" s="759">
        <v>1</v>
      </c>
      <c r="S6" s="519">
        <v>6</v>
      </c>
      <c r="T6" s="526">
        <v>6</v>
      </c>
      <c r="U6" s="840"/>
      <c r="V6" s="853"/>
      <c r="W6"/>
    </row>
    <row r="7" spans="1:1005" x14ac:dyDescent="0.25">
      <c r="A7" s="546" t="s">
        <v>83</v>
      </c>
      <c r="B7" s="677">
        <f>MC!I71</f>
        <v>0</v>
      </c>
      <c r="C7" s="614">
        <v>551</v>
      </c>
      <c r="D7" s="615">
        <v>233</v>
      </c>
      <c r="E7" s="615">
        <v>0</v>
      </c>
      <c r="F7" s="615">
        <v>92</v>
      </c>
      <c r="G7" s="615">
        <v>888</v>
      </c>
      <c r="H7" s="615">
        <v>545</v>
      </c>
      <c r="I7" s="615">
        <v>308</v>
      </c>
      <c r="J7" s="615">
        <v>0</v>
      </c>
      <c r="K7" s="615">
        <v>261</v>
      </c>
      <c r="L7" s="616">
        <v>261</v>
      </c>
      <c r="M7" s="621">
        <f t="shared" si="0"/>
        <v>1.7890830297825511</v>
      </c>
      <c r="N7" s="760">
        <v>1</v>
      </c>
      <c r="O7" s="760"/>
      <c r="P7" s="761">
        <v>1</v>
      </c>
      <c r="Q7" s="653">
        <v>1</v>
      </c>
      <c r="R7" s="759" t="s">
        <v>429</v>
      </c>
      <c r="S7" s="519">
        <v>6</v>
      </c>
      <c r="T7" s="526">
        <v>6</v>
      </c>
      <c r="U7" s="840"/>
      <c r="V7" s="853"/>
      <c r="W7"/>
    </row>
    <row r="8" spans="1:1005" x14ac:dyDescent="0.25">
      <c r="A8" s="546" t="s">
        <v>85</v>
      </c>
      <c r="B8" s="677">
        <f>MC!I72</f>
        <v>0</v>
      </c>
      <c r="C8" s="614">
        <v>701</v>
      </c>
      <c r="D8" s="615">
        <v>634</v>
      </c>
      <c r="E8" s="615">
        <v>0</v>
      </c>
      <c r="F8" s="615">
        <v>84</v>
      </c>
      <c r="G8" s="615">
        <v>230</v>
      </c>
      <c r="H8" s="615">
        <v>91</v>
      </c>
      <c r="I8" s="615">
        <v>404</v>
      </c>
      <c r="J8" s="615">
        <v>133</v>
      </c>
      <c r="K8" s="615">
        <v>86</v>
      </c>
      <c r="L8" s="616">
        <v>219</v>
      </c>
      <c r="M8" s="621">
        <f t="shared" si="0"/>
        <v>1.9179347800666462</v>
      </c>
      <c r="N8" s="760">
        <v>1</v>
      </c>
      <c r="O8" s="760"/>
      <c r="P8" s="761">
        <v>1</v>
      </c>
      <c r="Q8" s="758">
        <v>1</v>
      </c>
      <c r="R8" s="759" t="s">
        <v>429</v>
      </c>
      <c r="S8" s="519">
        <v>6</v>
      </c>
      <c r="T8" s="526">
        <v>6</v>
      </c>
      <c r="U8" s="840"/>
      <c r="V8" s="853"/>
      <c r="W8" s="324"/>
    </row>
    <row r="9" spans="1:1005" x14ac:dyDescent="0.25">
      <c r="A9" s="546" t="s">
        <v>88</v>
      </c>
      <c r="B9" s="677">
        <f>MC!I73</f>
        <v>0</v>
      </c>
      <c r="C9" s="614">
        <v>714</v>
      </c>
      <c r="D9" s="615">
        <v>1920</v>
      </c>
      <c r="E9" s="615">
        <v>0</v>
      </c>
      <c r="F9" s="615">
        <v>114</v>
      </c>
      <c r="G9" s="615">
        <v>688</v>
      </c>
      <c r="H9" s="615">
        <v>89</v>
      </c>
      <c r="I9" s="615">
        <v>476</v>
      </c>
      <c r="J9" s="615">
        <v>1027</v>
      </c>
      <c r="K9" s="615">
        <v>0</v>
      </c>
      <c r="L9" s="616">
        <v>1027</v>
      </c>
      <c r="M9" s="621">
        <f t="shared" si="0"/>
        <v>3.2801788131715881</v>
      </c>
      <c r="N9" s="760">
        <v>1</v>
      </c>
      <c r="O9" s="760"/>
      <c r="P9" s="761">
        <v>2</v>
      </c>
      <c r="Q9" s="758" t="s">
        <v>429</v>
      </c>
      <c r="R9" s="759">
        <v>1</v>
      </c>
      <c r="S9" s="519">
        <v>6</v>
      </c>
      <c r="T9" s="526">
        <v>6</v>
      </c>
      <c r="U9" s="840"/>
      <c r="V9" s="853"/>
      <c r="W9"/>
    </row>
    <row r="10" spans="1:1005" x14ac:dyDescent="0.25">
      <c r="A10" s="546" t="s">
        <v>90</v>
      </c>
      <c r="B10" s="677">
        <f>MC!I74</f>
        <v>0</v>
      </c>
      <c r="C10" s="614">
        <v>289</v>
      </c>
      <c r="D10" s="615">
        <v>21</v>
      </c>
      <c r="E10" s="615">
        <v>0</v>
      </c>
      <c r="F10" s="615">
        <v>24.4</v>
      </c>
      <c r="G10" s="615">
        <v>584</v>
      </c>
      <c r="H10" s="615">
        <v>244</v>
      </c>
      <c r="I10" s="615">
        <v>179</v>
      </c>
      <c r="J10" s="615">
        <v>0</v>
      </c>
      <c r="K10" s="615">
        <v>141</v>
      </c>
      <c r="L10" s="616">
        <v>141</v>
      </c>
      <c r="M10" s="621">
        <f t="shared" si="0"/>
        <v>0.79877878875864516</v>
      </c>
      <c r="N10" s="654"/>
      <c r="O10" s="654">
        <v>1</v>
      </c>
      <c r="P10" s="761" t="s">
        <v>429</v>
      </c>
      <c r="Q10" s="758" t="s">
        <v>429</v>
      </c>
      <c r="R10" s="759" t="s">
        <v>429</v>
      </c>
      <c r="S10" s="519">
        <v>6</v>
      </c>
      <c r="T10" s="526">
        <v>6</v>
      </c>
      <c r="U10" s="840"/>
      <c r="V10" s="853"/>
      <c r="W10"/>
    </row>
    <row r="11" spans="1:1005" x14ac:dyDescent="0.25">
      <c r="A11" s="546" t="s">
        <v>92</v>
      </c>
      <c r="B11" s="677">
        <f>MC!I75</f>
        <v>0</v>
      </c>
      <c r="C11" s="614">
        <v>289</v>
      </c>
      <c r="D11" s="615">
        <v>21</v>
      </c>
      <c r="E11" s="615">
        <v>0</v>
      </c>
      <c r="F11" s="615">
        <v>24.4</v>
      </c>
      <c r="G11" s="615">
        <v>521</v>
      </c>
      <c r="H11" s="615">
        <v>229</v>
      </c>
      <c r="I11" s="615">
        <v>62</v>
      </c>
      <c r="J11" s="615">
        <v>0</v>
      </c>
      <c r="K11" s="615">
        <v>141</v>
      </c>
      <c r="L11" s="616">
        <v>141</v>
      </c>
      <c r="M11" s="621">
        <f t="shared" si="0"/>
        <v>0.76229545542531185</v>
      </c>
      <c r="N11" s="654"/>
      <c r="O11" s="654">
        <v>1</v>
      </c>
      <c r="P11" s="761" t="s">
        <v>429</v>
      </c>
      <c r="Q11" s="758" t="s">
        <v>429</v>
      </c>
      <c r="R11" s="759" t="s">
        <v>429</v>
      </c>
      <c r="S11" s="519">
        <v>6</v>
      </c>
      <c r="T11" s="526">
        <v>6</v>
      </c>
      <c r="U11" s="840"/>
      <c r="V11" s="853"/>
      <c r="W11" s="324"/>
    </row>
    <row r="12" spans="1:1005" x14ac:dyDescent="0.25">
      <c r="A12" s="546" t="s">
        <v>94</v>
      </c>
      <c r="B12" s="677">
        <f>MC!I76</f>
        <v>0</v>
      </c>
      <c r="C12" s="614">
        <v>289</v>
      </c>
      <c r="D12" s="615">
        <v>21</v>
      </c>
      <c r="E12" s="615">
        <v>0</v>
      </c>
      <c r="F12" s="615">
        <v>24.4</v>
      </c>
      <c r="G12" s="615">
        <v>541</v>
      </c>
      <c r="H12" s="615">
        <v>618</v>
      </c>
      <c r="I12" s="615">
        <v>70</v>
      </c>
      <c r="J12" s="615">
        <v>0</v>
      </c>
      <c r="K12" s="615">
        <v>121</v>
      </c>
      <c r="L12" s="616">
        <v>121</v>
      </c>
      <c r="M12" s="621">
        <f t="shared" si="0"/>
        <v>0.76555925476083375</v>
      </c>
      <c r="N12" s="760" t="s">
        <v>429</v>
      </c>
      <c r="O12" s="760"/>
      <c r="P12" s="761">
        <v>1</v>
      </c>
      <c r="Q12" s="758" t="s">
        <v>429</v>
      </c>
      <c r="R12" s="759" t="s">
        <v>429</v>
      </c>
      <c r="S12" s="519">
        <v>6</v>
      </c>
      <c r="T12" s="526">
        <v>6</v>
      </c>
      <c r="U12" s="840"/>
      <c r="V12" s="853"/>
      <c r="W12" s="324"/>
    </row>
    <row r="13" spans="1:1005" x14ac:dyDescent="0.25">
      <c r="A13" s="546" t="s">
        <v>96</v>
      </c>
      <c r="B13" s="677">
        <f>MC!I77</f>
        <v>0</v>
      </c>
      <c r="C13" s="614">
        <v>933</v>
      </c>
      <c r="D13" s="615">
        <v>939</v>
      </c>
      <c r="E13" s="615">
        <v>0</v>
      </c>
      <c r="F13" s="615">
        <v>72</v>
      </c>
      <c r="G13" s="615">
        <v>18</v>
      </c>
      <c r="H13" s="615">
        <v>0</v>
      </c>
      <c r="I13" s="615">
        <v>47</v>
      </c>
      <c r="J13" s="615">
        <v>241</v>
      </c>
      <c r="K13" s="615">
        <v>0</v>
      </c>
      <c r="L13" s="616">
        <v>241</v>
      </c>
      <c r="M13" s="621">
        <f t="shared" si="0"/>
        <v>2.2178969330775553</v>
      </c>
      <c r="N13" s="654"/>
      <c r="O13" s="654">
        <v>1</v>
      </c>
      <c r="P13" s="761">
        <v>2</v>
      </c>
      <c r="Q13" s="758" t="s">
        <v>429</v>
      </c>
      <c r="R13" s="759" t="s">
        <v>429</v>
      </c>
      <c r="S13" s="519">
        <v>6</v>
      </c>
      <c r="T13" s="526">
        <v>6</v>
      </c>
      <c r="U13" s="840"/>
      <c r="V13" s="853"/>
    </row>
    <row r="14" spans="1:1005" x14ac:dyDescent="0.25">
      <c r="A14" s="546" t="s">
        <v>98</v>
      </c>
      <c r="B14" s="677">
        <f>MC!I78</f>
        <v>0</v>
      </c>
      <c r="C14" s="614">
        <v>690</v>
      </c>
      <c r="D14" s="615">
        <v>0</v>
      </c>
      <c r="E14" s="615">
        <v>0</v>
      </c>
      <c r="F14" s="615">
        <v>55</v>
      </c>
      <c r="G14" s="615">
        <v>330</v>
      </c>
      <c r="H14" s="615">
        <v>40</v>
      </c>
      <c r="I14" s="615">
        <v>109</v>
      </c>
      <c r="J14" s="615">
        <v>0</v>
      </c>
      <c r="K14" s="615">
        <v>202</v>
      </c>
      <c r="L14" s="616">
        <v>202</v>
      </c>
      <c r="M14" s="621">
        <f t="shared" si="0"/>
        <v>1.3623505526371555</v>
      </c>
      <c r="N14" s="760" t="s">
        <v>429</v>
      </c>
      <c r="O14" s="760"/>
      <c r="P14" s="761">
        <v>2</v>
      </c>
      <c r="Q14" s="758">
        <v>2</v>
      </c>
      <c r="R14" s="759">
        <v>2</v>
      </c>
      <c r="S14" s="519">
        <v>6</v>
      </c>
      <c r="T14" s="526">
        <v>6</v>
      </c>
      <c r="U14" s="840"/>
      <c r="V14" s="853"/>
    </row>
    <row r="15" spans="1:1005" x14ac:dyDescent="0.25">
      <c r="A15" s="546" t="s">
        <v>100</v>
      </c>
      <c r="B15" s="677">
        <f>MC!I79</f>
        <v>0</v>
      </c>
      <c r="C15" s="614">
        <v>650</v>
      </c>
      <c r="D15" s="615">
        <v>189</v>
      </c>
      <c r="E15" s="615">
        <v>0</v>
      </c>
      <c r="F15" s="615">
        <v>57</v>
      </c>
      <c r="G15" s="615">
        <v>102</v>
      </c>
      <c r="H15" s="615">
        <v>0</v>
      </c>
      <c r="I15" s="615">
        <v>70</v>
      </c>
      <c r="J15" s="615">
        <v>20</v>
      </c>
      <c r="K15" s="615">
        <v>79</v>
      </c>
      <c r="L15" s="616">
        <v>99</v>
      </c>
      <c r="M15" s="621">
        <f t="shared" si="0"/>
        <v>1.3087606670310021</v>
      </c>
      <c r="N15" s="760" t="s">
        <v>429</v>
      </c>
      <c r="O15" s="760"/>
      <c r="P15" s="761">
        <v>1</v>
      </c>
      <c r="Q15" s="653">
        <v>1</v>
      </c>
      <c r="R15" s="759" t="s">
        <v>429</v>
      </c>
      <c r="S15" s="519">
        <v>6</v>
      </c>
      <c r="T15" s="526">
        <v>6</v>
      </c>
      <c r="U15" s="840"/>
      <c r="V15" s="853"/>
    </row>
    <row r="16" spans="1:1005" x14ac:dyDescent="0.25">
      <c r="A16" s="546" t="s">
        <v>102</v>
      </c>
      <c r="B16" s="677">
        <f>MC!I80</f>
        <v>0</v>
      </c>
      <c r="C16" s="614">
        <v>496</v>
      </c>
      <c r="D16" s="615">
        <v>0</v>
      </c>
      <c r="E16" s="615">
        <v>0</v>
      </c>
      <c r="F16" s="615">
        <v>45</v>
      </c>
      <c r="G16" s="615">
        <v>569</v>
      </c>
      <c r="H16" s="615">
        <v>136</v>
      </c>
      <c r="I16" s="615">
        <v>122</v>
      </c>
      <c r="J16" s="615">
        <v>0</v>
      </c>
      <c r="K16" s="615">
        <v>157</v>
      </c>
      <c r="L16" s="616">
        <v>157</v>
      </c>
      <c r="M16" s="621">
        <f t="shared" si="0"/>
        <v>1.1406978974383757</v>
      </c>
      <c r="N16" s="760" t="s">
        <v>429</v>
      </c>
      <c r="O16" s="760"/>
      <c r="P16" s="761">
        <v>1</v>
      </c>
      <c r="Q16" s="758" t="s">
        <v>429</v>
      </c>
      <c r="R16" s="759" t="s">
        <v>429</v>
      </c>
      <c r="S16" s="519">
        <v>6</v>
      </c>
      <c r="T16" s="526">
        <v>6</v>
      </c>
      <c r="U16" s="840"/>
      <c r="V16" s="853"/>
    </row>
    <row r="17" spans="1:22" x14ac:dyDescent="0.25">
      <c r="A17" s="546" t="s">
        <v>104</v>
      </c>
      <c r="B17" s="677">
        <f>MC!I81</f>
        <v>0</v>
      </c>
      <c r="C17" s="614">
        <v>397</v>
      </c>
      <c r="D17" s="615">
        <v>225</v>
      </c>
      <c r="E17" s="615">
        <v>0</v>
      </c>
      <c r="F17" s="615">
        <v>35</v>
      </c>
      <c r="G17" s="615">
        <v>128</v>
      </c>
      <c r="H17" s="615">
        <v>0</v>
      </c>
      <c r="I17" s="615">
        <v>56</v>
      </c>
      <c r="J17" s="615">
        <v>0</v>
      </c>
      <c r="K17" s="615">
        <v>61</v>
      </c>
      <c r="L17" s="616">
        <v>61</v>
      </c>
      <c r="M17" s="621">
        <f t="shared" si="0"/>
        <v>0.90209324535999191</v>
      </c>
      <c r="N17" s="760" t="s">
        <v>429</v>
      </c>
      <c r="O17" s="760"/>
      <c r="P17" s="761">
        <v>1</v>
      </c>
      <c r="Q17" s="758">
        <v>1</v>
      </c>
      <c r="R17" s="759" t="s">
        <v>429</v>
      </c>
      <c r="S17" s="520">
        <v>6</v>
      </c>
      <c r="T17" s="527">
        <v>6</v>
      </c>
      <c r="U17" s="841"/>
      <c r="V17" s="853"/>
    </row>
    <row r="18" spans="1:22" x14ac:dyDescent="0.25">
      <c r="A18" s="613" t="s">
        <v>106</v>
      </c>
      <c r="B18" s="677">
        <f>MC!I82</f>
        <v>0</v>
      </c>
      <c r="C18" s="617">
        <v>328</v>
      </c>
      <c r="D18" s="618">
        <v>0</v>
      </c>
      <c r="E18" s="618">
        <v>0</v>
      </c>
      <c r="F18" s="618">
        <v>10</v>
      </c>
      <c r="G18" s="618">
        <v>0</v>
      </c>
      <c r="H18" s="618">
        <v>0</v>
      </c>
      <c r="I18" s="618">
        <v>0</v>
      </c>
      <c r="J18" s="618">
        <v>72</v>
      </c>
      <c r="K18" s="618">
        <v>0</v>
      </c>
      <c r="L18" s="619">
        <v>72</v>
      </c>
      <c r="M18" s="622">
        <f t="shared" si="0"/>
        <v>0.47606049452939403</v>
      </c>
      <c r="N18" s="654"/>
      <c r="O18" s="658">
        <v>1</v>
      </c>
      <c r="P18" s="762" t="s">
        <v>429</v>
      </c>
      <c r="Q18" s="763" t="s">
        <v>429</v>
      </c>
      <c r="R18" s="764" t="s">
        <v>429</v>
      </c>
      <c r="S18" s="521">
        <v>6</v>
      </c>
      <c r="T18" s="528">
        <v>6</v>
      </c>
      <c r="U18" s="842"/>
      <c r="V18" s="853"/>
    </row>
    <row r="19" spans="1:22" x14ac:dyDescent="0.25">
      <c r="A19" s="325" t="s">
        <v>430</v>
      </c>
      <c r="B19" s="325"/>
      <c r="C19" s="326">
        <f t="shared" ref="C19:V19" si="1">SUM(C4:C18)</f>
        <v>8709</v>
      </c>
      <c r="D19" s="327">
        <f t="shared" si="1"/>
        <v>8489</v>
      </c>
      <c r="E19" s="327">
        <f t="shared" si="1"/>
        <v>0</v>
      </c>
      <c r="F19" s="327">
        <f t="shared" si="1"/>
        <v>1014.1999999999999</v>
      </c>
      <c r="G19" s="327">
        <f t="shared" si="1"/>
        <v>8293</v>
      </c>
      <c r="H19" s="327">
        <f t="shared" si="1"/>
        <v>12013</v>
      </c>
      <c r="I19" s="327">
        <f t="shared" si="1"/>
        <v>3052</v>
      </c>
      <c r="J19" s="327">
        <f t="shared" si="1"/>
        <v>1982</v>
      </c>
      <c r="K19" s="327">
        <f t="shared" si="1"/>
        <v>2082</v>
      </c>
      <c r="L19" s="328">
        <f t="shared" si="1"/>
        <v>4064</v>
      </c>
      <c r="M19" s="201">
        <f t="shared" si="1"/>
        <v>26.518247583948931</v>
      </c>
      <c r="N19" s="410">
        <f t="shared" si="1"/>
        <v>6</v>
      </c>
      <c r="O19" s="659">
        <f t="shared" si="1"/>
        <v>4</v>
      </c>
      <c r="P19" s="660">
        <f t="shared" si="1"/>
        <v>19</v>
      </c>
      <c r="Q19" s="625">
        <f t="shared" si="1"/>
        <v>8</v>
      </c>
      <c r="R19" s="625">
        <f t="shared" si="1"/>
        <v>4</v>
      </c>
      <c r="S19" s="623">
        <f t="shared" si="1"/>
        <v>90</v>
      </c>
      <c r="T19" s="502">
        <f t="shared" si="1"/>
        <v>90</v>
      </c>
      <c r="U19" s="844">
        <f t="shared" si="1"/>
        <v>22</v>
      </c>
      <c r="V19" s="854">
        <f t="shared" si="1"/>
        <v>1</v>
      </c>
    </row>
    <row r="20" spans="1:22" x14ac:dyDescent="0.25">
      <c r="A20" s="203" t="s">
        <v>431</v>
      </c>
      <c r="B20" s="172"/>
      <c r="C20" s="598">
        <v>800</v>
      </c>
      <c r="D20" s="599">
        <v>1500</v>
      </c>
      <c r="E20" s="599">
        <v>1000</v>
      </c>
      <c r="F20" s="599">
        <v>200</v>
      </c>
      <c r="G20" s="599">
        <v>2700</v>
      </c>
      <c r="H20" s="599">
        <v>100000</v>
      </c>
      <c r="I20" s="599">
        <v>9000</v>
      </c>
      <c r="J20" s="599">
        <v>160</v>
      </c>
      <c r="K20" s="599">
        <v>380</v>
      </c>
      <c r="L20" s="600">
        <v>380</v>
      </c>
      <c r="M20" s="329"/>
      <c r="N20" s="417" t="s">
        <v>432</v>
      </c>
      <c r="O20" s="655"/>
      <c r="P20" s="657">
        <f>SUM(N19:P19)</f>
        <v>29</v>
      </c>
      <c r="Q20" s="626" t="s">
        <v>432</v>
      </c>
      <c r="R20" s="624">
        <f>Q19+R19</f>
        <v>12</v>
      </c>
      <c r="S20" s="500"/>
      <c r="T20" s="500"/>
      <c r="U20" s="500"/>
      <c r="V20"/>
    </row>
    <row r="21" spans="1:22" x14ac:dyDescent="0.25">
      <c r="A21" s="206" t="s">
        <v>433</v>
      </c>
      <c r="B21" s="206"/>
      <c r="C21" s="207">
        <f t="shared" ref="C21:I21" si="2">C19/C20</f>
        <v>10.88625</v>
      </c>
      <c r="D21" s="208">
        <f t="shared" si="2"/>
        <v>5.6593333333333335</v>
      </c>
      <c r="E21" s="208">
        <f t="shared" si="2"/>
        <v>0</v>
      </c>
      <c r="F21" s="208">
        <f t="shared" si="2"/>
        <v>5.0709999999999997</v>
      </c>
      <c r="G21" s="208">
        <f t="shared" si="2"/>
        <v>3.0714814814814817</v>
      </c>
      <c r="H21" s="208">
        <f t="shared" si="2"/>
        <v>0.12013</v>
      </c>
      <c r="I21" s="208">
        <f t="shared" si="2"/>
        <v>0.33911111111111109</v>
      </c>
      <c r="J21" s="208">
        <f>1/J20*8*1/1132.6*J19</f>
        <v>8.749779268938726E-2</v>
      </c>
      <c r="K21" s="208">
        <f>1/K20*16*1/188.76*K19</f>
        <v>0.46441596680831132</v>
      </c>
      <c r="L21" s="209">
        <f>1/L20*16*1/188.76*L19</f>
        <v>0.90652569121468651</v>
      </c>
      <c r="M21" s="210">
        <f>SUM(C21:L21)-J21</f>
        <v>26.51824758394892</v>
      </c>
      <c r="N21" s="416" t="s">
        <v>434</v>
      </c>
      <c r="O21" s="656"/>
      <c r="P21" s="414">
        <f>P19+(N19*0.68)+(O19*0.85)</f>
        <v>26.479999999999997</v>
      </c>
      <c r="Q21" s="205"/>
      <c r="R21" s="174"/>
      <c r="S21" s="174"/>
      <c r="T21" s="174"/>
      <c r="U21" s="174"/>
      <c r="V21" s="174"/>
    </row>
    <row r="22" spans="1:22" ht="13.9" customHeight="1" x14ac:dyDescent="0.25">
      <c r="A22" s="211" t="s">
        <v>435</v>
      </c>
      <c r="B22" s="211"/>
      <c r="C22" s="212">
        <f>C19/(M21*C20)</f>
        <v>0.41051920816175186</v>
      </c>
      <c r="D22" s="213">
        <f>D19/(M21*D20)</f>
        <v>0.21341279492234771</v>
      </c>
      <c r="E22" s="213">
        <f>E19/(M21*E20)</f>
        <v>0</v>
      </c>
      <c r="F22" s="213">
        <f>F19/(M21*F20)</f>
        <v>0.19122681406253242</v>
      </c>
      <c r="G22" s="213">
        <f>G19/(M21*G20)</f>
        <v>0.11582520571007118</v>
      </c>
      <c r="H22" s="213">
        <f>H19/(M21*H20)</f>
        <v>4.5300881824752561E-3</v>
      </c>
      <c r="I22" s="213">
        <f>I19/(M21*I20)</f>
        <v>1.2787840148093713E-2</v>
      </c>
      <c r="J22" s="213">
        <f>1/4*1/J20*8*1/1132.6*J19</f>
        <v>2.1874448172346815E-2</v>
      </c>
      <c r="K22" s="213">
        <f>1/M21*1/K20*16*1/188.76*K19</f>
        <v>1.7513071530767931E-2</v>
      </c>
      <c r="L22" s="214">
        <f>1/M21*1/L20*16*1/188.76*L19</f>
        <v>3.4184977281960079E-2</v>
      </c>
      <c r="M22" s="215">
        <f>SUM(C22:L22)-J22</f>
        <v>1.0000000000000002</v>
      </c>
      <c r="N22" s="174"/>
      <c r="O22" s="174"/>
      <c r="P22" s="174"/>
      <c r="Q22" s="174"/>
      <c r="R22" s="174"/>
      <c r="S22" s="174"/>
      <c r="T22" s="174"/>
      <c r="U22" s="174"/>
      <c r="V22"/>
    </row>
    <row r="23" spans="1:22" ht="13.9" hidden="1" customHeight="1" x14ac:dyDescent="0.25">
      <c r="A23" s="216" t="s">
        <v>436</v>
      </c>
      <c r="B23" s="216"/>
      <c r="C23" s="217">
        <f t="shared" ref="C23:I23" si="3">ROUND(1/C20,9)</f>
        <v>1.25E-3</v>
      </c>
      <c r="D23" s="218">
        <f t="shared" si="3"/>
        <v>6.6666700000000002E-4</v>
      </c>
      <c r="E23" s="218">
        <f t="shared" si="3"/>
        <v>1E-3</v>
      </c>
      <c r="F23" s="218">
        <f t="shared" si="3"/>
        <v>5.0000000000000001E-3</v>
      </c>
      <c r="G23" s="218">
        <f t="shared" si="3"/>
        <v>3.7037000000000002E-4</v>
      </c>
      <c r="H23" s="218">
        <f t="shared" si="3"/>
        <v>1.0000000000000001E-5</v>
      </c>
      <c r="I23" s="218">
        <f t="shared" si="3"/>
        <v>1.11111E-4</v>
      </c>
      <c r="J23" s="219">
        <f>(1/J20)*(1/L31)*8</f>
        <v>4.8611111111111115E-5</v>
      </c>
      <c r="K23" s="219">
        <f>(1/K20)*(1/L30)*16</f>
        <v>2.4561403508771931E-4</v>
      </c>
      <c r="L23" s="220">
        <f>(1/L20)*(1/L30)*16</f>
        <v>2.4561403508771931E-4</v>
      </c>
      <c r="M23"/>
      <c r="N23"/>
      <c r="O23"/>
      <c r="P23"/>
      <c r="Q23"/>
      <c r="R23"/>
      <c r="S23"/>
      <c r="T23"/>
      <c r="U23"/>
      <c r="V23"/>
    </row>
    <row r="24" spans="1:22" ht="13.9" hidden="1" customHeight="1" x14ac:dyDescent="0.25">
      <c r="A24" s="221" t="s">
        <v>437</v>
      </c>
      <c r="B24" s="221"/>
      <c r="C24" s="222" t="e">
        <f>C23/#REF!</f>
        <v>#REF!</v>
      </c>
      <c r="D24" s="223" t="e">
        <f>D23/#REF!</f>
        <v>#REF!</v>
      </c>
      <c r="E24" s="223" t="e">
        <f>E23/#REF!</f>
        <v>#REF!</v>
      </c>
      <c r="F24" s="223" t="e">
        <f>F23/#REF!</f>
        <v>#REF!</v>
      </c>
      <c r="G24" s="223" t="e">
        <f>G23/#REF!</f>
        <v>#REF!</v>
      </c>
      <c r="H24" s="223" t="e">
        <f>H23/#REF!</f>
        <v>#REF!</v>
      </c>
      <c r="I24" s="223" t="e">
        <f>I23/#REF!</f>
        <v>#REF!</v>
      </c>
      <c r="J24" s="224" t="e">
        <f>J23/#REF!</f>
        <v>#REF!</v>
      </c>
      <c r="K24" s="224" t="e">
        <f>K23/#REF!</f>
        <v>#REF!</v>
      </c>
      <c r="L24" s="225" t="e">
        <f>L23/#REF!</f>
        <v>#REF!</v>
      </c>
      <c r="M24"/>
      <c r="N24"/>
      <c r="O24"/>
      <c r="P24"/>
      <c r="Q24"/>
      <c r="R24"/>
      <c r="S24"/>
      <c r="T24"/>
      <c r="U24"/>
      <c r="V24"/>
    </row>
    <row r="25" spans="1:22" ht="13.9" hidden="1" customHeight="1" x14ac:dyDescent="0.25">
      <c r="A25" s="226" t="s">
        <v>438</v>
      </c>
      <c r="B25" s="226"/>
      <c r="C25" s="227" t="s">
        <v>439</v>
      </c>
      <c r="D25" s="228" t="s">
        <v>440</v>
      </c>
      <c r="E25" s="228" t="s">
        <v>441</v>
      </c>
      <c r="F25" s="228" t="s">
        <v>442</v>
      </c>
      <c r="G25" s="229" t="s">
        <v>443</v>
      </c>
      <c r="H25" s="234">
        <v>100000</v>
      </c>
      <c r="I25" s="229" t="s">
        <v>444</v>
      </c>
      <c r="J25" s="230" t="s">
        <v>445</v>
      </c>
      <c r="K25" s="230" t="s">
        <v>446</v>
      </c>
      <c r="L25" s="231" t="s">
        <v>446</v>
      </c>
      <c r="M25"/>
      <c r="N25"/>
      <c r="O25"/>
      <c r="P25"/>
      <c r="Q25"/>
      <c r="R25"/>
      <c r="S25"/>
      <c r="T25"/>
      <c r="U25"/>
      <c r="V25"/>
    </row>
    <row r="26" spans="1:22" ht="13.9" hidden="1" customHeight="1" x14ac:dyDescent="0.25">
      <c r="C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3.9" hidden="1" customHeight="1" x14ac:dyDescent="0.25">
      <c r="C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3.9" hidden="1" customHeight="1" x14ac:dyDescent="0.25">
      <c r="C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3.9" hidden="1" customHeight="1" x14ac:dyDescent="0.25">
      <c r="C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3.9" hidden="1" customHeight="1" x14ac:dyDescent="0.25">
      <c r="C30"/>
      <c r="J30" s="84">
        <f>30/7</f>
        <v>4.2857142857142856</v>
      </c>
      <c r="K30" s="84">
        <v>40</v>
      </c>
      <c r="L30" s="84">
        <f>J30*K30</f>
        <v>171.42857142857142</v>
      </c>
      <c r="M30" s="84"/>
      <c r="N30" s="84"/>
      <c r="O30" s="84"/>
      <c r="P30" s="84"/>
      <c r="Q30" s="84"/>
      <c r="R30" s="84"/>
      <c r="S30" s="84"/>
      <c r="T30" s="84"/>
      <c r="U30" s="84"/>
      <c r="V30"/>
    </row>
    <row r="31" spans="1:22" ht="13.9" hidden="1" customHeight="1" x14ac:dyDescent="0.25">
      <c r="C31"/>
      <c r="J31" s="84"/>
      <c r="K31" s="84"/>
      <c r="L31" s="84">
        <f>L30*6</f>
        <v>1028.5714285714284</v>
      </c>
      <c r="M31" s="84" t="s">
        <v>447</v>
      </c>
      <c r="N31" s="84"/>
      <c r="O31" s="84"/>
      <c r="P31" s="84"/>
      <c r="Q31" s="84"/>
      <c r="R31" s="84"/>
      <c r="S31" s="84"/>
      <c r="T31" s="84"/>
      <c r="U31" s="84"/>
      <c r="V31" s="84" t="s">
        <v>448</v>
      </c>
    </row>
    <row r="32" spans="1:22" x14ac:dyDescent="0.25">
      <c r="A32" s="233" t="s">
        <v>438</v>
      </c>
      <c r="B32" s="675"/>
      <c r="C32" s="228" t="s">
        <v>439</v>
      </c>
      <c r="D32" s="228" t="s">
        <v>440</v>
      </c>
      <c r="E32" s="228" t="s">
        <v>441</v>
      </c>
      <c r="F32" s="228" t="s">
        <v>442</v>
      </c>
      <c r="G32" s="229" t="s">
        <v>443</v>
      </c>
      <c r="H32" s="234">
        <v>100000</v>
      </c>
      <c r="I32" s="229" t="s">
        <v>444</v>
      </c>
      <c r="J32" s="229" t="s">
        <v>445</v>
      </c>
      <c r="K32" s="230" t="s">
        <v>446</v>
      </c>
      <c r="L32" s="231" t="s">
        <v>446</v>
      </c>
    </row>
  </sheetData>
  <mergeCells count="18">
    <mergeCell ref="M2:M3"/>
    <mergeCell ref="N2:P2"/>
    <mergeCell ref="Q2:R2"/>
    <mergeCell ref="C1:F1"/>
    <mergeCell ref="G1:I1"/>
    <mergeCell ref="J1:L1"/>
    <mergeCell ref="G2:G3"/>
    <mergeCell ref="H2:H3"/>
    <mergeCell ref="I2:I3"/>
    <mergeCell ref="J2:J3"/>
    <mergeCell ref="K2:K3"/>
    <mergeCell ref="L2:L3"/>
    <mergeCell ref="A2:A3"/>
    <mergeCell ref="C2:C3"/>
    <mergeCell ref="D2:D3"/>
    <mergeCell ref="E2:E3"/>
    <mergeCell ref="F2:F3"/>
    <mergeCell ref="B2:B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H192"/>
  <sheetViews>
    <sheetView zoomScale="80" zoomScaleNormal="80" workbookViewId="0">
      <selection activeCell="M148" sqref="M148:S194"/>
    </sheetView>
  </sheetViews>
  <sheetFormatPr defaultRowHeight="14.25" x14ac:dyDescent="0.2"/>
  <cols>
    <col min="1" max="1" width="50.25" style="84" customWidth="1"/>
    <col min="2" max="2" width="12.875" style="84" customWidth="1"/>
    <col min="3" max="3" width="13" style="84" customWidth="1"/>
    <col min="4" max="5" width="13.875" style="84" customWidth="1"/>
    <col min="6" max="6" width="15.375" style="84" customWidth="1"/>
    <col min="7" max="7" width="15" style="84" customWidth="1"/>
    <col min="8" max="1022" width="9" style="84"/>
  </cols>
  <sheetData>
    <row r="1" spans="1:7" ht="15.75" x14ac:dyDescent="0.2">
      <c r="A1" s="1010" t="s">
        <v>449</v>
      </c>
      <c r="B1" s="1010"/>
      <c r="C1" s="1010"/>
      <c r="D1" s="1010"/>
      <c r="E1" s="1010"/>
      <c r="F1" s="1010"/>
      <c r="G1" s="1010"/>
    </row>
    <row r="2" spans="1:7" ht="15.75" x14ac:dyDescent="0.2">
      <c r="A2" s="1011" t="s">
        <v>450</v>
      </c>
      <c r="B2" s="1011"/>
      <c r="C2" s="1011"/>
      <c r="D2" s="1011"/>
      <c r="E2" s="1011"/>
      <c r="F2" s="1011"/>
      <c r="G2" s="1011"/>
    </row>
    <row r="3" spans="1:7" ht="15.75" customHeight="1" x14ac:dyDescent="0.2">
      <c r="A3" s="1011" t="s">
        <v>451</v>
      </c>
      <c r="B3" s="1011"/>
      <c r="C3" s="1011"/>
      <c r="D3" s="1011"/>
      <c r="E3" s="1011"/>
      <c r="F3" s="1011"/>
      <c r="G3" s="1011"/>
    </row>
    <row r="4" spans="1:7" ht="15.75" x14ac:dyDescent="0.2">
      <c r="A4" s="85"/>
      <c r="B4" s="86"/>
      <c r="C4" s="87" t="s">
        <v>452</v>
      </c>
      <c r="D4" s="236" t="s">
        <v>453</v>
      </c>
      <c r="E4" s="236" t="s">
        <v>600</v>
      </c>
      <c r="F4" s="237" t="s">
        <v>454</v>
      </c>
      <c r="G4" s="237" t="s">
        <v>455</v>
      </c>
    </row>
    <row r="5" spans="1:7" x14ac:dyDescent="0.2">
      <c r="A5" s="88"/>
      <c r="B5" s="89" t="s">
        <v>456</v>
      </c>
      <c r="C5" s="90">
        <f>MC!D11</f>
        <v>0</v>
      </c>
      <c r="D5" s="238">
        <f>MC!E11</f>
        <v>0</v>
      </c>
      <c r="E5" s="238">
        <f>MC!F11</f>
        <v>0</v>
      </c>
      <c r="F5" s="239">
        <f>MC!C11</f>
        <v>0</v>
      </c>
      <c r="G5" s="239">
        <f>MC!D12</f>
        <v>0</v>
      </c>
    </row>
    <row r="6" spans="1:7" x14ac:dyDescent="0.2">
      <c r="A6" s="88"/>
      <c r="B6" s="89" t="s">
        <v>457</v>
      </c>
      <c r="C6" s="91">
        <f>MC!D8</f>
        <v>0</v>
      </c>
      <c r="D6" s="240">
        <f>MC!D8</f>
        <v>0</v>
      </c>
      <c r="E6" s="240">
        <f>MC!E8</f>
        <v>0</v>
      </c>
      <c r="F6" s="241">
        <f>MC!D8</f>
        <v>0</v>
      </c>
      <c r="G6" s="241">
        <f>MC!D8</f>
        <v>0</v>
      </c>
    </row>
    <row r="7" spans="1:7" x14ac:dyDescent="0.2">
      <c r="A7" s="88"/>
      <c r="B7" s="89" t="s">
        <v>458</v>
      </c>
      <c r="C7" s="91">
        <f>MC!C8</f>
        <v>0</v>
      </c>
      <c r="D7" s="240">
        <f>MC!C8</f>
        <v>0</v>
      </c>
      <c r="E7" s="240">
        <f>MC!D8</f>
        <v>0</v>
      </c>
      <c r="F7" s="241">
        <f>MC!C8</f>
        <v>0</v>
      </c>
      <c r="G7" s="241">
        <f>MC!C8</f>
        <v>0</v>
      </c>
    </row>
    <row r="8" spans="1:7" x14ac:dyDescent="0.2">
      <c r="A8" s="88"/>
      <c r="B8" s="89" t="s">
        <v>459</v>
      </c>
      <c r="C8" s="92">
        <f>MC!E8</f>
        <v>0</v>
      </c>
      <c r="D8" s="242">
        <f>MC!E8</f>
        <v>0</v>
      </c>
      <c r="E8" s="242">
        <f>MC!F8</f>
        <v>0</v>
      </c>
      <c r="F8" s="243">
        <f>MC!E8</f>
        <v>0</v>
      </c>
      <c r="G8" s="243">
        <f>MC!E8</f>
        <v>0</v>
      </c>
    </row>
    <row r="9" spans="1:7" x14ac:dyDescent="0.2">
      <c r="A9" s="1017"/>
      <c r="B9" s="1017"/>
      <c r="C9" s="1017"/>
      <c r="D9" s="1017"/>
      <c r="E9" s="1017"/>
      <c r="F9" s="1017"/>
      <c r="G9" s="1017"/>
    </row>
    <row r="10" spans="1:7" ht="66.75" customHeight="1" x14ac:dyDescent="0.2">
      <c r="A10" s="630" t="s">
        <v>460</v>
      </c>
      <c r="B10" s="245" t="s">
        <v>461</v>
      </c>
      <c r="C10" s="245" t="s">
        <v>462</v>
      </c>
      <c r="D10" s="322" t="s">
        <v>463</v>
      </c>
      <c r="E10" s="322" t="s">
        <v>601</v>
      </c>
      <c r="F10" s="245" t="s">
        <v>464</v>
      </c>
      <c r="G10" s="245" t="s">
        <v>465</v>
      </c>
    </row>
    <row r="11" spans="1:7" ht="15.75" customHeight="1" x14ac:dyDescent="0.2">
      <c r="A11" s="441" t="s">
        <v>466</v>
      </c>
      <c r="B11" s="395"/>
      <c r="C11" s="395"/>
      <c r="D11" s="395"/>
      <c r="E11" s="395"/>
      <c r="F11" s="395"/>
      <c r="G11" s="442"/>
    </row>
    <row r="12" spans="1:7" ht="15.75" customHeight="1" x14ac:dyDescent="0.2">
      <c r="A12" s="443" t="s">
        <v>467</v>
      </c>
      <c r="B12" s="94" t="s">
        <v>468</v>
      </c>
      <c r="C12" s="94" t="s">
        <v>469</v>
      </c>
      <c r="D12" s="94" t="s">
        <v>469</v>
      </c>
      <c r="E12" s="94" t="s">
        <v>469</v>
      </c>
      <c r="F12" s="246"/>
      <c r="G12" s="444" t="s">
        <v>469</v>
      </c>
    </row>
    <row r="13" spans="1:7" ht="15.75" customHeight="1" x14ac:dyDescent="0.2">
      <c r="A13" s="445" t="s">
        <v>470</v>
      </c>
      <c r="B13" s="97"/>
      <c r="C13" s="98">
        <f>C5</f>
        <v>0</v>
      </c>
      <c r="D13" s="247">
        <f>D5</f>
        <v>0</v>
      </c>
      <c r="E13" s="247">
        <f>E5</f>
        <v>0</v>
      </c>
      <c r="F13" s="247">
        <f>F5</f>
        <v>0</v>
      </c>
      <c r="G13" s="446">
        <f>G5</f>
        <v>0</v>
      </c>
    </row>
    <row r="14" spans="1:7" ht="15.75" customHeight="1" x14ac:dyDescent="0.2">
      <c r="A14" s="445" t="s">
        <v>471</v>
      </c>
      <c r="B14" s="100">
        <v>0</v>
      </c>
      <c r="C14" s="98">
        <f>C13*$B$14</f>
        <v>0</v>
      </c>
      <c r="D14" s="98">
        <f>D13*$B$14</f>
        <v>0</v>
      </c>
      <c r="E14" s="98"/>
      <c r="F14" s="98">
        <f>F13*$B$14</f>
        <v>0</v>
      </c>
      <c r="G14" s="446">
        <f>G13*$B$14</f>
        <v>0</v>
      </c>
    </row>
    <row r="15" spans="1:7" ht="15.75" customHeight="1" x14ac:dyDescent="0.2">
      <c r="A15" s="445" t="s">
        <v>472</v>
      </c>
      <c r="B15" s="101"/>
      <c r="C15" s="98"/>
      <c r="D15" s="247"/>
      <c r="E15" s="247"/>
      <c r="F15" s="247"/>
      <c r="G15" s="446"/>
    </row>
    <row r="16" spans="1:7" ht="15.75" customHeight="1" x14ac:dyDescent="0.2">
      <c r="A16" s="445" t="s">
        <v>473</v>
      </c>
      <c r="B16" s="101"/>
      <c r="C16" s="98"/>
      <c r="D16" s="247"/>
      <c r="E16" s="247"/>
      <c r="F16" s="247"/>
      <c r="G16" s="446"/>
    </row>
    <row r="17" spans="1:33" ht="15.75" customHeight="1" x14ac:dyDescent="0.2">
      <c r="A17" s="445" t="s">
        <v>474</v>
      </c>
      <c r="B17" s="101"/>
      <c r="C17" s="98"/>
      <c r="D17" s="247"/>
      <c r="E17" s="247"/>
      <c r="F17" s="247"/>
      <c r="G17" s="446"/>
    </row>
    <row r="18" spans="1:33" ht="15.75" customHeight="1" x14ac:dyDescent="0.2">
      <c r="A18" s="445" t="s">
        <v>475</v>
      </c>
      <c r="B18" s="102"/>
      <c r="C18" s="98"/>
      <c r="D18" s="98"/>
      <c r="E18" s="247"/>
      <c r="F18" s="247">
        <f>MC!C13</f>
        <v>0</v>
      </c>
      <c r="G18" s="446"/>
    </row>
    <row r="19" spans="1:33" ht="15.75" customHeight="1" x14ac:dyDescent="0.2">
      <c r="A19" s="447" t="s">
        <v>476</v>
      </c>
      <c r="B19" s="104"/>
      <c r="C19" s="113">
        <f>SUM(C13:C18)</f>
        <v>0</v>
      </c>
      <c r="D19" s="248">
        <f>SUM(D13:D18)</f>
        <v>0</v>
      </c>
      <c r="E19" s="248">
        <f>SUM(E13:E18)</f>
        <v>0</v>
      </c>
      <c r="F19" s="248">
        <f>SUM(F13:F18)</f>
        <v>0</v>
      </c>
      <c r="G19" s="448">
        <f>SUM(G13:G18)</f>
        <v>0</v>
      </c>
    </row>
    <row r="20" spans="1:33" ht="15.75" customHeight="1" x14ac:dyDescent="0.2">
      <c r="A20" s="1048"/>
      <c r="B20" s="1013"/>
      <c r="C20" s="106"/>
      <c r="D20" s="249"/>
      <c r="E20" s="249"/>
      <c r="F20" s="249"/>
      <c r="G20" s="450"/>
    </row>
    <row r="21" spans="1:33" ht="15.75" customHeight="1" x14ac:dyDescent="0.2">
      <c r="A21" s="1039" t="s">
        <v>477</v>
      </c>
      <c r="B21" s="1014"/>
      <c r="C21" s="1014"/>
      <c r="D21" s="1014"/>
      <c r="E21" s="1014"/>
      <c r="F21" s="1014"/>
      <c r="G21" s="1040"/>
    </row>
    <row r="22" spans="1:33" ht="15.75" customHeight="1" x14ac:dyDescent="0.2">
      <c r="A22" s="451" t="s">
        <v>478</v>
      </c>
      <c r="B22" s="109" t="s">
        <v>468</v>
      </c>
      <c r="C22" s="109" t="s">
        <v>469</v>
      </c>
      <c r="D22" s="109" t="s">
        <v>469</v>
      </c>
      <c r="E22" s="109" t="s">
        <v>469</v>
      </c>
      <c r="F22" s="109" t="s">
        <v>469</v>
      </c>
      <c r="G22" s="452" t="s">
        <v>469</v>
      </c>
    </row>
    <row r="23" spans="1:33" ht="15.75" customHeight="1" x14ac:dyDescent="0.2">
      <c r="A23" s="453" t="s">
        <v>479</v>
      </c>
      <c r="B23" s="100">
        <f>1/12</f>
        <v>8.3333333333333329E-2</v>
      </c>
      <c r="C23" s="98">
        <f>ROUND($B23*C$19,2)</f>
        <v>0</v>
      </c>
      <c r="D23" s="98">
        <f>ROUND($B23*D$19,2)</f>
        <v>0</v>
      </c>
      <c r="E23" s="98">
        <f>ROUND($B23*E$19,2)</f>
        <v>0</v>
      </c>
      <c r="F23" s="98">
        <f>ROUND($B23*F$19,2)</f>
        <v>0</v>
      </c>
      <c r="G23" s="446">
        <f>ROUND($B23*G$19,2)</f>
        <v>0</v>
      </c>
    </row>
    <row r="24" spans="1:33" ht="15.75" customHeight="1" x14ac:dyDescent="0.2">
      <c r="A24" s="453" t="s">
        <v>480</v>
      </c>
      <c r="B24" s="100">
        <f>1/3*1/12</f>
        <v>2.7777777777777776E-2</v>
      </c>
      <c r="C24" s="98">
        <f>C$19*$B$24</f>
        <v>0</v>
      </c>
      <c r="D24" s="98">
        <f>D$19*$B$24</f>
        <v>0</v>
      </c>
      <c r="E24" s="98">
        <f>E$19*$B$24</f>
        <v>0</v>
      </c>
      <c r="F24" s="98">
        <f>F$19*$B$24</f>
        <v>0</v>
      </c>
      <c r="G24" s="446">
        <f>G$19*$B$24</f>
        <v>0</v>
      </c>
    </row>
    <row r="25" spans="1:33" ht="15.75" customHeight="1" x14ac:dyDescent="0.2">
      <c r="A25" s="447" t="s">
        <v>476</v>
      </c>
      <c r="B25" s="112">
        <f t="shared" ref="B25:G25" si="0">SUM(B23:B24)</f>
        <v>0.1111111111111111</v>
      </c>
      <c r="C25" s="113">
        <f t="shared" si="0"/>
        <v>0</v>
      </c>
      <c r="D25" s="113">
        <f t="shared" si="0"/>
        <v>0</v>
      </c>
      <c r="E25" s="113">
        <f t="shared" si="0"/>
        <v>0</v>
      </c>
      <c r="F25" s="113">
        <f t="shared" si="0"/>
        <v>0</v>
      </c>
      <c r="G25" s="448">
        <f t="shared" si="0"/>
        <v>0</v>
      </c>
    </row>
    <row r="26" spans="1:33" ht="15.75" customHeight="1" x14ac:dyDescent="0.2">
      <c r="A26" s="451" t="s">
        <v>481</v>
      </c>
      <c r="B26" s="109" t="s">
        <v>468</v>
      </c>
      <c r="C26" s="109" t="s">
        <v>469</v>
      </c>
      <c r="D26" s="109" t="s">
        <v>469</v>
      </c>
      <c r="E26" s="109" t="s">
        <v>469</v>
      </c>
      <c r="F26" s="109" t="s">
        <v>469</v>
      </c>
      <c r="G26" s="452" t="s">
        <v>469</v>
      </c>
      <c r="AG26" s="84" t="s">
        <v>602</v>
      </c>
    </row>
    <row r="27" spans="1:33" ht="15.75" customHeight="1" x14ac:dyDescent="0.2">
      <c r="A27" s="451" t="s">
        <v>482</v>
      </c>
      <c r="B27" s="115"/>
      <c r="C27" s="115"/>
      <c r="D27" s="115"/>
      <c r="E27" s="250"/>
      <c r="F27" s="250"/>
      <c r="G27" s="454"/>
    </row>
    <row r="28" spans="1:33" ht="15.75" customHeight="1" x14ac:dyDescent="0.2">
      <c r="A28" s="453" t="s">
        <v>483</v>
      </c>
      <c r="B28" s="100">
        <v>0.2</v>
      </c>
      <c r="C28" s="117">
        <f t="shared" ref="C28:C35" si="1">ROUND(($C$19+$C$25)*B28,2)</f>
        <v>0</v>
      </c>
      <c r="D28" s="117">
        <f t="shared" ref="D28:D35" si="2">ROUND(($D$19+$D$25)*B28,2)</f>
        <v>0</v>
      </c>
      <c r="E28" s="117">
        <f>ROUND(($E$19+$E$25)*B28,2)</f>
        <v>0</v>
      </c>
      <c r="F28" s="117">
        <f t="shared" ref="F28:F35" si="3">ROUND(($F$19+$F$25)*B28,2)</f>
        <v>0</v>
      </c>
      <c r="G28" s="455">
        <f t="shared" ref="G28:G35" si="4">ROUND(($G$19+$G$25)*B28,2)</f>
        <v>0</v>
      </c>
    </row>
    <row r="29" spans="1:33" ht="15.75" customHeight="1" x14ac:dyDescent="0.2">
      <c r="A29" s="453" t="s">
        <v>484</v>
      </c>
      <c r="B29" s="100">
        <v>2.5000000000000001E-2</v>
      </c>
      <c r="C29" s="117">
        <f t="shared" si="1"/>
        <v>0</v>
      </c>
      <c r="D29" s="117">
        <f t="shared" si="2"/>
        <v>0</v>
      </c>
      <c r="E29" s="117">
        <f t="shared" ref="E29:E35" si="5">ROUND(($E$19+$E$25)*B29,2)</f>
        <v>0</v>
      </c>
      <c r="F29" s="117">
        <f t="shared" si="3"/>
        <v>0</v>
      </c>
      <c r="G29" s="455">
        <f t="shared" si="4"/>
        <v>0</v>
      </c>
    </row>
    <row r="30" spans="1:33" ht="15.75" customHeight="1" x14ac:dyDescent="0.2">
      <c r="A30" s="453" t="s">
        <v>485</v>
      </c>
      <c r="B30" s="100">
        <v>0.03</v>
      </c>
      <c r="C30" s="117">
        <f t="shared" si="1"/>
        <v>0</v>
      </c>
      <c r="D30" s="117">
        <f t="shared" si="2"/>
        <v>0</v>
      </c>
      <c r="E30" s="117">
        <f t="shared" si="5"/>
        <v>0</v>
      </c>
      <c r="F30" s="117">
        <f t="shared" si="3"/>
        <v>0</v>
      </c>
      <c r="G30" s="455">
        <f t="shared" si="4"/>
        <v>0</v>
      </c>
    </row>
    <row r="31" spans="1:33" ht="15.75" customHeight="1" x14ac:dyDescent="0.2">
      <c r="A31" s="453" t="s">
        <v>486</v>
      </c>
      <c r="B31" s="100">
        <v>1.4999999999999999E-2</v>
      </c>
      <c r="C31" s="117">
        <f t="shared" si="1"/>
        <v>0</v>
      </c>
      <c r="D31" s="117">
        <f t="shared" si="2"/>
        <v>0</v>
      </c>
      <c r="E31" s="117">
        <f t="shared" si="5"/>
        <v>0</v>
      </c>
      <c r="F31" s="117">
        <f t="shared" si="3"/>
        <v>0</v>
      </c>
      <c r="G31" s="455">
        <f t="shared" si="4"/>
        <v>0</v>
      </c>
    </row>
    <row r="32" spans="1:33" ht="15.75" customHeight="1" x14ac:dyDescent="0.2">
      <c r="A32" s="453" t="s">
        <v>487</v>
      </c>
      <c r="B32" s="100">
        <v>0.01</v>
      </c>
      <c r="C32" s="117">
        <f t="shared" si="1"/>
        <v>0</v>
      </c>
      <c r="D32" s="117">
        <f t="shared" si="2"/>
        <v>0</v>
      </c>
      <c r="E32" s="117">
        <f t="shared" si="5"/>
        <v>0</v>
      </c>
      <c r="F32" s="117">
        <f t="shared" si="3"/>
        <v>0</v>
      </c>
      <c r="G32" s="455">
        <f t="shared" si="4"/>
        <v>0</v>
      </c>
    </row>
    <row r="33" spans="1:7" ht="15.75" customHeight="1" x14ac:dyDescent="0.2">
      <c r="A33" s="453" t="s">
        <v>488</v>
      </c>
      <c r="B33" s="100">
        <v>6.0000000000000001E-3</v>
      </c>
      <c r="C33" s="117">
        <f t="shared" si="1"/>
        <v>0</v>
      </c>
      <c r="D33" s="117">
        <f t="shared" si="2"/>
        <v>0</v>
      </c>
      <c r="E33" s="117">
        <f t="shared" si="5"/>
        <v>0</v>
      </c>
      <c r="F33" s="117">
        <f t="shared" si="3"/>
        <v>0</v>
      </c>
      <c r="G33" s="455">
        <f t="shared" si="4"/>
        <v>0</v>
      </c>
    </row>
    <row r="34" spans="1:7" ht="15.75" customHeight="1" x14ac:dyDescent="0.2">
      <c r="A34" s="453" t="s">
        <v>489</v>
      </c>
      <c r="B34" s="100">
        <v>2E-3</v>
      </c>
      <c r="C34" s="117">
        <f t="shared" si="1"/>
        <v>0</v>
      </c>
      <c r="D34" s="117">
        <f t="shared" si="2"/>
        <v>0</v>
      </c>
      <c r="E34" s="117">
        <f t="shared" si="5"/>
        <v>0</v>
      </c>
      <c r="F34" s="117">
        <f t="shared" si="3"/>
        <v>0</v>
      </c>
      <c r="G34" s="455">
        <f t="shared" si="4"/>
        <v>0</v>
      </c>
    </row>
    <row r="35" spans="1:7" ht="15.75" customHeight="1" x14ac:dyDescent="0.2">
      <c r="A35" s="453" t="s">
        <v>490</v>
      </c>
      <c r="B35" s="100">
        <v>0.08</v>
      </c>
      <c r="C35" s="117">
        <f t="shared" si="1"/>
        <v>0</v>
      </c>
      <c r="D35" s="117">
        <f t="shared" si="2"/>
        <v>0</v>
      </c>
      <c r="E35" s="117">
        <f t="shared" si="5"/>
        <v>0</v>
      </c>
      <c r="F35" s="117">
        <f t="shared" si="3"/>
        <v>0</v>
      </c>
      <c r="G35" s="455">
        <f t="shared" si="4"/>
        <v>0</v>
      </c>
    </row>
    <row r="36" spans="1:7" ht="15.75" customHeight="1" x14ac:dyDescent="0.2">
      <c r="A36" s="447" t="s">
        <v>476</v>
      </c>
      <c r="B36" s="112">
        <f>SUM(B28:B35)</f>
        <v>0.36800000000000005</v>
      </c>
      <c r="C36" s="113">
        <f>SUM(C27:C35)</f>
        <v>0</v>
      </c>
      <c r="D36" s="113">
        <f>SUM(D27:D35)</f>
        <v>0</v>
      </c>
      <c r="E36" s="113">
        <f>SUM(E27:E35)</f>
        <v>0</v>
      </c>
      <c r="F36" s="248">
        <f>SUM(F28:F35)</f>
        <v>0</v>
      </c>
      <c r="G36" s="448">
        <f>SUM(G27:G35)</f>
        <v>0</v>
      </c>
    </row>
    <row r="37" spans="1:7" ht="15.75" customHeight="1" x14ac:dyDescent="0.2">
      <c r="A37" s="451" t="s">
        <v>491</v>
      </c>
      <c r="B37" s="109" t="s">
        <v>492</v>
      </c>
      <c r="C37" s="109" t="s">
        <v>469</v>
      </c>
      <c r="D37" s="109" t="s">
        <v>469</v>
      </c>
      <c r="E37" s="109" t="s">
        <v>469</v>
      </c>
      <c r="F37" s="109" t="s">
        <v>469</v>
      </c>
      <c r="G37" s="452" t="s">
        <v>469</v>
      </c>
    </row>
    <row r="38" spans="1:7" ht="15.75" customHeight="1" x14ac:dyDescent="0.2">
      <c r="A38" s="453" t="s">
        <v>493</v>
      </c>
      <c r="B38" s="119">
        <f>MC!J84</f>
        <v>0</v>
      </c>
      <c r="C38" s="98">
        <f>ROUND(((2*22*$B$38)-0.06*C$13),2)</f>
        <v>0</v>
      </c>
      <c r="D38" s="98">
        <f>ROUND(((2*22*$B$38)-0.06*D$13),2)</f>
        <v>0</v>
      </c>
      <c r="E38" s="98">
        <f>ROUND(((2*22*$B$38)-0.06*E$13),2)</f>
        <v>0</v>
      </c>
      <c r="F38" s="98">
        <f>ROUND(((2*22*$B$38)-0.06*F$13),2)</f>
        <v>0</v>
      </c>
      <c r="G38" s="446">
        <f>ROUND(((2*22*$B$38)-0.06*G$13),2)</f>
        <v>0</v>
      </c>
    </row>
    <row r="39" spans="1:7" ht="15.75" customHeight="1" x14ac:dyDescent="0.2">
      <c r="A39" s="453" t="s">
        <v>494</v>
      </c>
      <c r="B39" s="120"/>
      <c r="C39" s="117">
        <f>MC!E16</f>
        <v>0</v>
      </c>
      <c r="D39" s="117">
        <f>MC!E17</f>
        <v>0</v>
      </c>
      <c r="E39" s="117">
        <f>MC!E16</f>
        <v>0</v>
      </c>
      <c r="F39" s="117">
        <f>MC!E16</f>
        <v>0</v>
      </c>
      <c r="G39" s="455">
        <f>MC!E16</f>
        <v>0</v>
      </c>
    </row>
    <row r="40" spans="1:7" ht="15.75" customHeight="1" x14ac:dyDescent="0.2">
      <c r="A40" s="453" t="s">
        <v>495</v>
      </c>
      <c r="B40" s="100">
        <f>MC!C21</f>
        <v>0</v>
      </c>
      <c r="C40" s="117"/>
      <c r="D40" s="117"/>
      <c r="E40" s="117"/>
      <c r="F40" s="117">
        <f>MC!E21</f>
        <v>0</v>
      </c>
      <c r="G40" s="455"/>
    </row>
    <row r="41" spans="1:7" ht="15.75" customHeight="1" x14ac:dyDescent="0.2">
      <c r="A41" s="453" t="s">
        <v>496</v>
      </c>
      <c r="B41" s="121">
        <f>MC!E23</f>
        <v>0</v>
      </c>
      <c r="C41" s="117">
        <f>B41</f>
        <v>0</v>
      </c>
      <c r="D41" s="117">
        <f>B41</f>
        <v>0</v>
      </c>
      <c r="E41" s="251">
        <f>B41</f>
        <v>0</v>
      </c>
      <c r="F41" s="251">
        <f>B41</f>
        <v>0</v>
      </c>
      <c r="G41" s="455">
        <f>B41</f>
        <v>0</v>
      </c>
    </row>
    <row r="42" spans="1:7" ht="15.75" customHeight="1" x14ac:dyDescent="0.2">
      <c r="A42" s="453" t="s">
        <v>497</v>
      </c>
      <c r="B42" s="121">
        <f>MC!E24</f>
        <v>0</v>
      </c>
      <c r="C42" s="117">
        <f>B42</f>
        <v>0</v>
      </c>
      <c r="D42" s="117">
        <f>B42</f>
        <v>0</v>
      </c>
      <c r="E42" s="251">
        <f>B42</f>
        <v>0</v>
      </c>
      <c r="F42" s="251">
        <f>B42</f>
        <v>0</v>
      </c>
      <c r="G42" s="455">
        <f>B42</f>
        <v>0</v>
      </c>
    </row>
    <row r="43" spans="1:7" ht="15.75" customHeight="1" x14ac:dyDescent="0.2">
      <c r="A43" s="453" t="s">
        <v>498</v>
      </c>
      <c r="B43" s="100"/>
      <c r="C43" s="117"/>
      <c r="D43" s="117"/>
      <c r="E43" s="251"/>
      <c r="F43" s="251"/>
      <c r="G43" s="455"/>
    </row>
    <row r="44" spans="1:7" ht="15.75" customHeight="1" x14ac:dyDescent="0.2">
      <c r="A44" s="447" t="s">
        <v>476</v>
      </c>
      <c r="B44" s="104"/>
      <c r="C44" s="113">
        <f>SUM(C38:C43)</f>
        <v>0</v>
      </c>
      <c r="D44" s="113">
        <f>SUM(D38:D43)</f>
        <v>0</v>
      </c>
      <c r="E44" s="113">
        <f>SUM(E38:E43)</f>
        <v>0</v>
      </c>
      <c r="F44" s="248">
        <f>SUM(F38:F43)</f>
        <v>0</v>
      </c>
      <c r="G44" s="448">
        <f>SUM(G38:G43)</f>
        <v>0</v>
      </c>
    </row>
    <row r="45" spans="1:7" ht="15.75" customHeight="1" x14ac:dyDescent="0.2">
      <c r="A45" s="443" t="s">
        <v>499</v>
      </c>
      <c r="B45" s="94" t="s">
        <v>468</v>
      </c>
      <c r="C45" s="94" t="s">
        <v>469</v>
      </c>
      <c r="D45" s="94" t="s">
        <v>469</v>
      </c>
      <c r="E45" s="94" t="s">
        <v>469</v>
      </c>
      <c r="F45" s="94" t="s">
        <v>469</v>
      </c>
      <c r="G45" s="444" t="s">
        <v>469</v>
      </c>
    </row>
    <row r="46" spans="1:7" ht="15.75" customHeight="1" x14ac:dyDescent="0.2">
      <c r="A46" s="453" t="s">
        <v>478</v>
      </c>
      <c r="B46" s="122">
        <f t="shared" ref="B46:G46" si="6">B25</f>
        <v>0.1111111111111111</v>
      </c>
      <c r="C46" s="123">
        <f t="shared" si="6"/>
        <v>0</v>
      </c>
      <c r="D46" s="123">
        <f t="shared" si="6"/>
        <v>0</v>
      </c>
      <c r="E46" s="123">
        <f t="shared" si="6"/>
        <v>0</v>
      </c>
      <c r="F46" s="123">
        <f t="shared" si="6"/>
        <v>0</v>
      </c>
      <c r="G46" s="456">
        <f t="shared" si="6"/>
        <v>0</v>
      </c>
    </row>
    <row r="47" spans="1:7" ht="15.75" customHeight="1" x14ac:dyDescent="0.2">
      <c r="A47" s="453" t="s">
        <v>500</v>
      </c>
      <c r="B47" s="122">
        <f t="shared" ref="B47:G47" si="7">B36</f>
        <v>0.36800000000000005</v>
      </c>
      <c r="C47" s="123">
        <f t="shared" si="7"/>
        <v>0</v>
      </c>
      <c r="D47" s="123">
        <f t="shared" si="7"/>
        <v>0</v>
      </c>
      <c r="E47" s="123">
        <f t="shared" si="7"/>
        <v>0</v>
      </c>
      <c r="F47" s="123">
        <f t="shared" si="7"/>
        <v>0</v>
      </c>
      <c r="G47" s="456">
        <f t="shared" si="7"/>
        <v>0</v>
      </c>
    </row>
    <row r="48" spans="1:7" ht="15.75" customHeight="1" x14ac:dyDescent="0.2">
      <c r="A48" s="453" t="s">
        <v>491</v>
      </c>
      <c r="B48" s="122"/>
      <c r="C48" s="123">
        <f>C44</f>
        <v>0</v>
      </c>
      <c r="D48" s="123">
        <f>D44</f>
        <v>0</v>
      </c>
      <c r="E48" s="123">
        <f>E44</f>
        <v>0</v>
      </c>
      <c r="F48" s="123">
        <f>F44</f>
        <v>0</v>
      </c>
      <c r="G48" s="456">
        <f>G44</f>
        <v>0</v>
      </c>
    </row>
    <row r="49" spans="1:7" ht="15.75" customHeight="1" x14ac:dyDescent="0.2">
      <c r="A49" s="447" t="s">
        <v>476</v>
      </c>
      <c r="B49" s="104"/>
      <c r="C49" s="113">
        <f>SUM(C46:C48)</f>
        <v>0</v>
      </c>
      <c r="D49" s="113">
        <f>SUM(D46:D48)</f>
        <v>0</v>
      </c>
      <c r="E49" s="113">
        <f>SUM(E46:E48)</f>
        <v>0</v>
      </c>
      <c r="F49" s="248">
        <f>SUM(F46:F48)</f>
        <v>0</v>
      </c>
      <c r="G49" s="448">
        <f>SUM(G46:G48)</f>
        <v>0</v>
      </c>
    </row>
    <row r="50" spans="1:7" ht="15.75" customHeight="1" x14ac:dyDescent="0.2">
      <c r="A50" s="1048"/>
      <c r="B50" s="1013"/>
      <c r="C50" s="106"/>
      <c r="D50" s="107"/>
      <c r="E50" s="107"/>
      <c r="F50" s="107"/>
      <c r="G50" s="450"/>
    </row>
    <row r="51" spans="1:7" s="125" customFormat="1" ht="15.75" customHeight="1" x14ac:dyDescent="0.2">
      <c r="A51" s="1039" t="s">
        <v>501</v>
      </c>
      <c r="B51" s="1014"/>
      <c r="C51" s="1014"/>
      <c r="D51" s="1014"/>
      <c r="E51" s="1014"/>
      <c r="F51" s="1014"/>
      <c r="G51" s="1040"/>
    </row>
    <row r="52" spans="1:7" ht="15.75" customHeight="1" x14ac:dyDescent="0.2">
      <c r="A52" s="443" t="s">
        <v>502</v>
      </c>
      <c r="B52" s="94" t="s">
        <v>468</v>
      </c>
      <c r="C52" s="94" t="s">
        <v>469</v>
      </c>
      <c r="D52" s="94" t="s">
        <v>469</v>
      </c>
      <c r="E52" s="94" t="s">
        <v>469</v>
      </c>
      <c r="F52" s="94" t="s">
        <v>469</v>
      </c>
      <c r="G52" s="444" t="s">
        <v>469</v>
      </c>
    </row>
    <row r="53" spans="1:7" ht="15.75" customHeight="1" x14ac:dyDescent="0.2">
      <c r="A53" s="451" t="s">
        <v>503</v>
      </c>
      <c r="B53" s="126"/>
      <c r="C53" s="126"/>
      <c r="D53" s="126"/>
      <c r="E53" s="252"/>
      <c r="F53" s="252"/>
      <c r="G53" s="457"/>
    </row>
    <row r="54" spans="1:7" ht="15.75" customHeight="1" x14ac:dyDescent="0.2">
      <c r="A54" s="453" t="s">
        <v>504</v>
      </c>
      <c r="B54" s="122">
        <f>1/12*0.05</f>
        <v>4.1666666666666666E-3</v>
      </c>
      <c r="C54" s="128">
        <f>C19*$B54</f>
        <v>0</v>
      </c>
      <c r="D54" s="128">
        <f t="shared" ref="D54:G54" si="8">D19*$B54</f>
        <v>0</v>
      </c>
      <c r="E54" s="128">
        <f t="shared" si="8"/>
        <v>0</v>
      </c>
      <c r="F54" s="128">
        <f t="shared" si="8"/>
        <v>0</v>
      </c>
      <c r="G54" s="458">
        <f t="shared" si="8"/>
        <v>0</v>
      </c>
    </row>
    <row r="55" spans="1:7" ht="15.75" customHeight="1" x14ac:dyDescent="0.2">
      <c r="A55" s="453" t="s">
        <v>505</v>
      </c>
      <c r="B55" s="122">
        <f>B35*B54</f>
        <v>3.3333333333333332E-4</v>
      </c>
      <c r="C55" s="128">
        <f>$B$55*C19</f>
        <v>0</v>
      </c>
      <c r="D55" s="128">
        <f t="shared" ref="D55:G55" si="9">$B$55*D19</f>
        <v>0</v>
      </c>
      <c r="E55" s="128">
        <f t="shared" si="9"/>
        <v>0</v>
      </c>
      <c r="F55" s="128">
        <f t="shared" si="9"/>
        <v>0</v>
      </c>
      <c r="G55" s="458">
        <f t="shared" si="9"/>
        <v>0</v>
      </c>
    </row>
    <row r="56" spans="1:7" ht="15.75" customHeight="1" x14ac:dyDescent="0.2">
      <c r="A56" s="453" t="s">
        <v>506</v>
      </c>
      <c r="B56" s="122">
        <v>0</v>
      </c>
      <c r="C56" s="128">
        <f>C35*$B56</f>
        <v>0</v>
      </c>
      <c r="D56" s="128">
        <f t="shared" ref="D56:G56" si="10">D35*$B56</f>
        <v>0</v>
      </c>
      <c r="E56" s="128">
        <f t="shared" si="10"/>
        <v>0</v>
      </c>
      <c r="F56" s="128">
        <f t="shared" si="10"/>
        <v>0</v>
      </c>
      <c r="G56" s="458">
        <f t="shared" si="10"/>
        <v>0</v>
      </c>
    </row>
    <row r="57" spans="1:7" ht="15.75" customHeight="1" x14ac:dyDescent="0.2">
      <c r="A57" s="453" t="s">
        <v>507</v>
      </c>
      <c r="B57" s="122">
        <f>1/12*1/30*7</f>
        <v>1.9444444444444441E-2</v>
      </c>
      <c r="C57" s="123">
        <f>C19*$B57</f>
        <v>0</v>
      </c>
      <c r="D57" s="123">
        <f t="shared" ref="D57:G57" si="11">D19*$B57</f>
        <v>0</v>
      </c>
      <c r="E57" s="123">
        <f t="shared" si="11"/>
        <v>0</v>
      </c>
      <c r="F57" s="123">
        <f t="shared" si="11"/>
        <v>0</v>
      </c>
      <c r="G57" s="456">
        <f t="shared" si="11"/>
        <v>0</v>
      </c>
    </row>
    <row r="58" spans="1:7" ht="15.75" customHeight="1" x14ac:dyDescent="0.2">
      <c r="A58" s="453" t="s">
        <v>508</v>
      </c>
      <c r="B58" s="122">
        <f>B36*B57</f>
        <v>7.1555555555555556E-3</v>
      </c>
      <c r="C58" s="123">
        <f>$B58*C19</f>
        <v>0</v>
      </c>
      <c r="D58" s="123">
        <f t="shared" ref="D58:G58" si="12">$B58*D19</f>
        <v>0</v>
      </c>
      <c r="E58" s="123">
        <f t="shared" si="12"/>
        <v>0</v>
      </c>
      <c r="F58" s="123">
        <f t="shared" si="12"/>
        <v>0</v>
      </c>
      <c r="G58" s="456">
        <f t="shared" si="12"/>
        <v>0</v>
      </c>
    </row>
    <row r="59" spans="1:7" ht="15.75" customHeight="1" x14ac:dyDescent="0.2">
      <c r="A59" s="453" t="s">
        <v>509</v>
      </c>
      <c r="B59" s="122">
        <f>B35*40/100*90/100*(1+1/12+1/12+1/3*1/12)</f>
        <v>3.4399999999999993E-2</v>
      </c>
      <c r="C59" s="123">
        <f>C19*$B59</f>
        <v>0</v>
      </c>
      <c r="D59" s="123">
        <f t="shared" ref="D59:G59" si="13">D19*$B59</f>
        <v>0</v>
      </c>
      <c r="E59" s="123">
        <f t="shared" si="13"/>
        <v>0</v>
      </c>
      <c r="F59" s="123">
        <f t="shared" si="13"/>
        <v>0</v>
      </c>
      <c r="G59" s="456">
        <f t="shared" si="13"/>
        <v>0</v>
      </c>
    </row>
    <row r="60" spans="1:7" ht="15.75" customHeight="1" x14ac:dyDescent="0.2">
      <c r="A60" s="447" t="s">
        <v>476</v>
      </c>
      <c r="B60" s="112">
        <f t="shared" ref="B60:G60" si="14">SUM(B54:B59)</f>
        <v>6.5499999999999989E-2</v>
      </c>
      <c r="C60" s="129">
        <f t="shared" si="14"/>
        <v>0</v>
      </c>
      <c r="D60" s="129">
        <f t="shared" si="14"/>
        <v>0</v>
      </c>
      <c r="E60" s="129">
        <f t="shared" si="14"/>
        <v>0</v>
      </c>
      <c r="F60" s="253">
        <f t="shared" si="14"/>
        <v>0</v>
      </c>
      <c r="G60" s="459">
        <f t="shared" si="14"/>
        <v>0</v>
      </c>
    </row>
    <row r="61" spans="1:7" ht="15.75" customHeight="1" x14ac:dyDescent="0.2">
      <c r="A61" s="1048"/>
      <c r="B61" s="1013"/>
      <c r="C61" s="396"/>
      <c r="D61" s="396"/>
      <c r="E61" s="397"/>
      <c r="F61" s="397"/>
      <c r="G61" s="460"/>
    </row>
    <row r="62" spans="1:7" ht="15.75" customHeight="1" x14ac:dyDescent="0.2">
      <c r="A62" s="1039" t="s">
        <v>510</v>
      </c>
      <c r="B62" s="1014"/>
      <c r="C62" s="1014"/>
      <c r="D62" s="1014"/>
      <c r="E62" s="1014"/>
      <c r="F62" s="1014"/>
      <c r="G62" s="1040"/>
    </row>
    <row r="63" spans="1:7" ht="15.75" customHeight="1" x14ac:dyDescent="0.2">
      <c r="A63" s="451" t="s">
        <v>39</v>
      </c>
      <c r="B63" s="109" t="s">
        <v>492</v>
      </c>
      <c r="C63" s="109" t="s">
        <v>469</v>
      </c>
      <c r="D63" s="109" t="s">
        <v>469</v>
      </c>
      <c r="E63" s="109" t="s">
        <v>469</v>
      </c>
      <c r="F63" s="109" t="s">
        <v>469</v>
      </c>
      <c r="G63" s="452" t="s">
        <v>469</v>
      </c>
    </row>
    <row r="64" spans="1:7" ht="15.75" customHeight="1" x14ac:dyDescent="0.2">
      <c r="A64" s="453" t="s">
        <v>40</v>
      </c>
      <c r="B64" s="100">
        <f>1/12</f>
        <v>8.3333333333333329E-2</v>
      </c>
      <c r="C64" s="117">
        <f>B64*($C$19+$C$49+$C$60)</f>
        <v>0</v>
      </c>
      <c r="D64" s="117">
        <f>B64*($D$19+$D$49+$D$60)</f>
        <v>0</v>
      </c>
      <c r="E64" s="117">
        <f>B64*($E$19+$E$49+$E$60)</f>
        <v>0</v>
      </c>
      <c r="F64" s="251">
        <f>B64*($F$19+$F$49+$F$60)</f>
        <v>0</v>
      </c>
      <c r="G64" s="455">
        <f>B64*($G$19+$G$49+$G$60)</f>
        <v>0</v>
      </c>
    </row>
    <row r="65" spans="1:7" ht="15.75" customHeight="1" x14ac:dyDescent="0.2">
      <c r="A65" s="453" t="s">
        <v>511</v>
      </c>
      <c r="B65" s="100">
        <f>MC!E51/30/12</f>
        <v>1.3538888888888885E-2</v>
      </c>
      <c r="C65" s="117">
        <f>B65*($C$19+$C$49+$C$60)</f>
        <v>0</v>
      </c>
      <c r="D65" s="117">
        <f>B65*($D$19+$D$49+$D$60)</f>
        <v>0</v>
      </c>
      <c r="E65" s="117">
        <f t="shared" ref="E65:E67" si="15">B65*($E$19+$E$49+$E$60)</f>
        <v>0</v>
      </c>
      <c r="F65" s="251">
        <f>B65*($F$19+$F$49+$F$60)</f>
        <v>0</v>
      </c>
      <c r="G65" s="455">
        <f>B65*($G$19+$G$49+$G$60)</f>
        <v>0</v>
      </c>
    </row>
    <row r="66" spans="1:7" ht="15.75" customHeight="1" x14ac:dyDescent="0.2">
      <c r="A66" s="453" t="s">
        <v>512</v>
      </c>
      <c r="B66" s="131">
        <f>(5/30)/12*MC!F53*MC!C54</f>
        <v>1.0764583333333333E-4</v>
      </c>
      <c r="C66" s="117">
        <f>B66*($C$19+$C$49+$C$60)</f>
        <v>0</v>
      </c>
      <c r="D66" s="117">
        <f>B66*($D$19+$D$49+$D$60)</f>
        <v>0</v>
      </c>
      <c r="E66" s="117">
        <f t="shared" si="15"/>
        <v>0</v>
      </c>
      <c r="F66" s="251">
        <f>B66*($F$19+$F$49+$F$60)</f>
        <v>0</v>
      </c>
      <c r="G66" s="455">
        <f>B66*($G$19+$G$49+$G$60)</f>
        <v>0</v>
      </c>
    </row>
    <row r="67" spans="1:7" ht="15.75" customHeight="1" x14ac:dyDescent="0.2">
      <c r="A67" s="453" t="s">
        <v>513</v>
      </c>
      <c r="B67" s="131">
        <f>MC!C56/30/12</f>
        <v>2.6830555555555553E-3</v>
      </c>
      <c r="C67" s="117">
        <f>B67*($C$19+$C$49+$C$60)</f>
        <v>0</v>
      </c>
      <c r="D67" s="117">
        <f>B67*($D$19+$D$49+$D$60)</f>
        <v>0</v>
      </c>
      <c r="E67" s="117">
        <f t="shared" si="15"/>
        <v>0</v>
      </c>
      <c r="F67" s="251">
        <f>B67*($F$19+$F$49+$F$60)</f>
        <v>0</v>
      </c>
      <c r="G67" s="455">
        <f>B67*($G$19+$G$49+$G$60)</f>
        <v>0</v>
      </c>
    </row>
    <row r="68" spans="1:7" ht="15.75" customHeight="1" x14ac:dyDescent="0.2">
      <c r="A68" s="453" t="s">
        <v>514</v>
      </c>
      <c r="B68" s="100"/>
      <c r="C68" s="117"/>
      <c r="D68" s="117"/>
      <c r="E68" s="251"/>
      <c r="F68" s="251">
        <f>B68*($F$19+$F$49+$F$60)</f>
        <v>0</v>
      </c>
      <c r="G68" s="455"/>
    </row>
    <row r="69" spans="1:7" ht="15.75" customHeight="1" x14ac:dyDescent="0.2">
      <c r="A69" s="461" t="s">
        <v>515</v>
      </c>
      <c r="B69" s="133">
        <f t="shared" ref="B69:G69" si="16">SUM(B64:B68)</f>
        <v>9.9662923611111107E-2</v>
      </c>
      <c r="C69" s="134">
        <f t="shared" si="16"/>
        <v>0</v>
      </c>
      <c r="D69" s="134">
        <f t="shared" si="16"/>
        <v>0</v>
      </c>
      <c r="E69" s="134">
        <f t="shared" si="16"/>
        <v>0</v>
      </c>
      <c r="F69" s="255">
        <f t="shared" si="16"/>
        <v>0</v>
      </c>
      <c r="G69" s="462">
        <f t="shared" si="16"/>
        <v>0</v>
      </c>
    </row>
    <row r="70" spans="1:7" ht="15.75" customHeight="1" x14ac:dyDescent="0.2">
      <c r="A70" s="451" t="s">
        <v>516</v>
      </c>
      <c r="B70" s="109" t="s">
        <v>492</v>
      </c>
      <c r="C70" s="109" t="s">
        <v>469</v>
      </c>
      <c r="D70" s="109" t="s">
        <v>469</v>
      </c>
      <c r="E70" s="109" t="s">
        <v>469</v>
      </c>
      <c r="F70" s="109" t="s">
        <v>469</v>
      </c>
      <c r="G70" s="452" t="s">
        <v>469</v>
      </c>
    </row>
    <row r="71" spans="1:7" ht="15.75" customHeight="1" x14ac:dyDescent="0.2">
      <c r="A71" s="453" t="s">
        <v>517</v>
      </c>
      <c r="B71" s="100"/>
      <c r="C71" s="117"/>
      <c r="D71" s="117"/>
      <c r="E71" s="251"/>
      <c r="F71" s="251"/>
      <c r="G71" s="455"/>
    </row>
    <row r="72" spans="1:7" ht="15.75" customHeight="1" x14ac:dyDescent="0.2">
      <c r="A72" s="461" t="s">
        <v>515</v>
      </c>
      <c r="B72" s="133"/>
      <c r="C72" s="134">
        <f>C71</f>
        <v>0</v>
      </c>
      <c r="D72" s="134"/>
      <c r="E72" s="255"/>
      <c r="F72" s="255"/>
      <c r="G72" s="462"/>
    </row>
    <row r="73" spans="1:7" ht="15.75" customHeight="1" x14ac:dyDescent="0.2">
      <c r="A73" s="451" t="s">
        <v>61</v>
      </c>
      <c r="B73" s="109" t="s">
        <v>492</v>
      </c>
      <c r="C73" s="109" t="s">
        <v>469</v>
      </c>
      <c r="D73" s="109" t="s">
        <v>469</v>
      </c>
      <c r="E73" s="109" t="s">
        <v>469</v>
      </c>
      <c r="F73" s="109" t="s">
        <v>469</v>
      </c>
      <c r="G73" s="452" t="s">
        <v>469</v>
      </c>
    </row>
    <row r="74" spans="1:7" ht="15.75" customHeight="1" x14ac:dyDescent="0.2">
      <c r="A74" s="453" t="s">
        <v>62</v>
      </c>
      <c r="B74" s="100">
        <f>120/30*MC!C59*MC!C60</f>
        <v>6.18624E-3</v>
      </c>
      <c r="C74" s="117">
        <f>(((C19*2)+ (C19*1/3))+(C36)+(C44-C38-C39))*$B$74</f>
        <v>0</v>
      </c>
      <c r="D74" s="117">
        <f>(((D19*2)+ (D19*1/3))+(D36)+(D44-D38-D39))*$B$74</f>
        <v>0</v>
      </c>
      <c r="E74" s="117">
        <f>(((E19*2)+ (E19*1/3))+(E36)+(E44-E38-E39))*$B$74</f>
        <v>0</v>
      </c>
      <c r="F74" s="117">
        <f>(((F19*2)+ (F19*1/3))+(F36)+(F44-F38-F39))*$B$74</f>
        <v>0</v>
      </c>
      <c r="G74" s="455">
        <f>(((G19*2)+ (G19*1/3))+(G36)+(G44-G38-G39))*$B$74</f>
        <v>0</v>
      </c>
    </row>
    <row r="75" spans="1:7" ht="15.75" customHeight="1" x14ac:dyDescent="0.2">
      <c r="A75" s="461" t="s">
        <v>476</v>
      </c>
      <c r="B75" s="133"/>
      <c r="C75" s="134"/>
      <c r="D75" s="134"/>
      <c r="E75" s="255"/>
      <c r="F75" s="255"/>
      <c r="G75" s="462"/>
    </row>
    <row r="76" spans="1:7" ht="15.75" customHeight="1" x14ac:dyDescent="0.2">
      <c r="A76" s="443" t="s">
        <v>518</v>
      </c>
      <c r="B76" s="94" t="s">
        <v>492</v>
      </c>
      <c r="C76" s="94" t="s">
        <v>469</v>
      </c>
      <c r="D76" s="94" t="s">
        <v>469</v>
      </c>
      <c r="E76" s="94" t="s">
        <v>469</v>
      </c>
      <c r="F76" s="94" t="s">
        <v>469</v>
      </c>
      <c r="G76" s="444" t="s">
        <v>469</v>
      </c>
    </row>
    <row r="77" spans="1:7" ht="15.75" customHeight="1" x14ac:dyDescent="0.2">
      <c r="A77" s="453" t="s">
        <v>39</v>
      </c>
      <c r="B77" s="122">
        <f t="shared" ref="B77:G77" si="17">B69</f>
        <v>9.9662923611111107E-2</v>
      </c>
      <c r="C77" s="123">
        <f t="shared" si="17"/>
        <v>0</v>
      </c>
      <c r="D77" s="123">
        <f t="shared" si="17"/>
        <v>0</v>
      </c>
      <c r="E77" s="123">
        <f t="shared" si="17"/>
        <v>0</v>
      </c>
      <c r="F77" s="123">
        <f t="shared" si="17"/>
        <v>0</v>
      </c>
      <c r="G77" s="456">
        <f t="shared" si="17"/>
        <v>0</v>
      </c>
    </row>
    <row r="78" spans="1:7" ht="15.75" customHeight="1" x14ac:dyDescent="0.2">
      <c r="A78" s="453" t="s">
        <v>516</v>
      </c>
      <c r="B78" s="122">
        <f t="shared" ref="B78:G78" si="18">B72</f>
        <v>0</v>
      </c>
      <c r="C78" s="123">
        <f t="shared" si="18"/>
        <v>0</v>
      </c>
      <c r="D78" s="123">
        <f t="shared" si="18"/>
        <v>0</v>
      </c>
      <c r="E78" s="123">
        <f t="shared" si="18"/>
        <v>0</v>
      </c>
      <c r="F78" s="123">
        <f t="shared" si="18"/>
        <v>0</v>
      </c>
      <c r="G78" s="456">
        <f t="shared" si="18"/>
        <v>0</v>
      </c>
    </row>
    <row r="79" spans="1:7" ht="15.75" customHeight="1" x14ac:dyDescent="0.2">
      <c r="A79" s="453" t="s">
        <v>61</v>
      </c>
      <c r="B79" s="122">
        <f t="shared" ref="B79:G79" si="19">B74</f>
        <v>6.18624E-3</v>
      </c>
      <c r="C79" s="123">
        <f t="shared" si="19"/>
        <v>0</v>
      </c>
      <c r="D79" s="123">
        <f t="shared" si="19"/>
        <v>0</v>
      </c>
      <c r="E79" s="123">
        <f t="shared" si="19"/>
        <v>0</v>
      </c>
      <c r="F79" s="123">
        <f t="shared" si="19"/>
        <v>0</v>
      </c>
      <c r="G79" s="456">
        <f t="shared" si="19"/>
        <v>0</v>
      </c>
    </row>
    <row r="80" spans="1:7" ht="15.75" customHeight="1" x14ac:dyDescent="0.2">
      <c r="A80" s="447" t="s">
        <v>476</v>
      </c>
      <c r="B80" s="104"/>
      <c r="C80" s="113">
        <f>SUM(C77:C79)</f>
        <v>0</v>
      </c>
      <c r="D80" s="113">
        <f>SUM(D77:D79)</f>
        <v>0</v>
      </c>
      <c r="E80" s="113">
        <f>SUM(E77:E79)</f>
        <v>0</v>
      </c>
      <c r="F80" s="248">
        <f>SUM(F77:F79)</f>
        <v>0</v>
      </c>
      <c r="G80" s="448">
        <f>SUM(G77:G79)</f>
        <v>0</v>
      </c>
    </row>
    <row r="81" spans="1:7" ht="15.75" customHeight="1" x14ac:dyDescent="0.2">
      <c r="A81" s="449"/>
      <c r="B81" s="106"/>
      <c r="C81" s="106"/>
      <c r="D81" s="106"/>
      <c r="E81" s="249"/>
      <c r="F81" s="249"/>
      <c r="G81" s="450"/>
    </row>
    <row r="82" spans="1:7" ht="15.75" customHeight="1" x14ac:dyDescent="0.2">
      <c r="A82" s="463" t="s">
        <v>519</v>
      </c>
      <c r="B82" s="257"/>
      <c r="C82" s="257"/>
      <c r="D82" s="257"/>
      <c r="E82" s="257"/>
      <c r="F82" s="257"/>
      <c r="G82" s="464"/>
    </row>
    <row r="83" spans="1:7" ht="15.75" customHeight="1" x14ac:dyDescent="0.2">
      <c r="A83" s="443" t="s">
        <v>520</v>
      </c>
      <c r="B83" s="94" t="s">
        <v>492</v>
      </c>
      <c r="C83" s="94" t="s">
        <v>469</v>
      </c>
      <c r="D83" s="94" t="s">
        <v>469</v>
      </c>
      <c r="E83" s="94" t="s">
        <v>469</v>
      </c>
      <c r="F83" s="94" t="s">
        <v>469</v>
      </c>
      <c r="G83" s="444" t="s">
        <v>469</v>
      </c>
    </row>
    <row r="84" spans="1:7" ht="15.75" customHeight="1" x14ac:dyDescent="0.2">
      <c r="A84" s="768" t="s">
        <v>521</v>
      </c>
      <c r="B84" s="769">
        <f>Insumos!G117</f>
        <v>0</v>
      </c>
      <c r="C84" s="779">
        <f>B84</f>
        <v>0</v>
      </c>
      <c r="D84" s="780">
        <f>B84</f>
        <v>0</v>
      </c>
      <c r="E84" s="781">
        <f>B84</f>
        <v>0</v>
      </c>
      <c r="F84" s="778">
        <f>B84</f>
        <v>0</v>
      </c>
      <c r="G84" s="446">
        <f>Insumos!G118</f>
        <v>0</v>
      </c>
    </row>
    <row r="85" spans="1:7" ht="15.75" customHeight="1" x14ac:dyDescent="0.2">
      <c r="A85" s="770" t="s">
        <v>522</v>
      </c>
      <c r="B85" s="772">
        <f>Insumos!G59</f>
        <v>0</v>
      </c>
      <c r="C85" s="783">
        <f>B85</f>
        <v>0</v>
      </c>
      <c r="D85" s="783">
        <f>B85</f>
        <v>0</v>
      </c>
      <c r="E85" s="784">
        <f>B85</f>
        <v>0</v>
      </c>
      <c r="F85" s="776" t="s">
        <v>429</v>
      </c>
      <c r="G85" s="446"/>
    </row>
    <row r="86" spans="1:7" ht="15.75" customHeight="1" x14ac:dyDescent="0.2">
      <c r="A86" s="770" t="s">
        <v>523</v>
      </c>
      <c r="B86" s="772">
        <f>Insumos!J99</f>
        <v>0</v>
      </c>
      <c r="C86" s="783">
        <f>B86</f>
        <v>0</v>
      </c>
      <c r="D86" s="783">
        <f>B86</f>
        <v>0</v>
      </c>
      <c r="E86" s="784">
        <f>B86</f>
        <v>0</v>
      </c>
      <c r="F86" s="776" t="s">
        <v>429</v>
      </c>
      <c r="G86" s="446"/>
    </row>
    <row r="87" spans="1:7" ht="15.75" customHeight="1" x14ac:dyDescent="0.2">
      <c r="A87" s="770" t="s">
        <v>524</v>
      </c>
      <c r="B87" s="771" t="s">
        <v>429</v>
      </c>
      <c r="C87" s="785">
        <f>Insumos!I129</f>
        <v>0</v>
      </c>
      <c r="D87" s="785">
        <f>Insumos!H129</f>
        <v>0</v>
      </c>
      <c r="E87" s="786">
        <f>Insumos!H129</f>
        <v>0</v>
      </c>
      <c r="F87" s="776" t="s">
        <v>429</v>
      </c>
      <c r="G87" s="446"/>
    </row>
    <row r="88" spans="1:7" ht="15.75" customHeight="1" x14ac:dyDescent="0.2">
      <c r="A88" s="770" t="s">
        <v>525</v>
      </c>
      <c r="B88" s="775">
        <v>0.12</v>
      </c>
      <c r="C88" s="773" t="s">
        <v>429</v>
      </c>
      <c r="D88" s="773" t="s">
        <v>429</v>
      </c>
      <c r="E88" s="784"/>
      <c r="F88" s="787">
        <f>B88*(F84+F123+F124)</f>
        <v>0</v>
      </c>
      <c r="G88" s="446"/>
    </row>
    <row r="89" spans="1:7" ht="15.75" customHeight="1" x14ac:dyDescent="0.2">
      <c r="A89" s="770" t="s">
        <v>526</v>
      </c>
      <c r="B89" s="772">
        <f>Insumos!H145</f>
        <v>0</v>
      </c>
      <c r="C89" s="773" t="s">
        <v>429</v>
      </c>
      <c r="D89" s="773" t="s">
        <v>429</v>
      </c>
      <c r="E89" s="774" t="s">
        <v>429</v>
      </c>
      <c r="F89" s="776"/>
      <c r="G89" s="446">
        <f>B89</f>
        <v>0</v>
      </c>
    </row>
    <row r="90" spans="1:7" ht="15.75" customHeight="1" x14ac:dyDescent="0.2">
      <c r="A90" s="770" t="s">
        <v>527</v>
      </c>
      <c r="B90" s="771" t="s">
        <v>429</v>
      </c>
      <c r="C90" s="773" t="s">
        <v>429</v>
      </c>
      <c r="D90" s="773" t="s">
        <v>429</v>
      </c>
      <c r="E90" s="774" t="s">
        <v>429</v>
      </c>
      <c r="F90" s="777"/>
      <c r="G90" s="446" t="str">
        <f>B90</f>
        <v> </v>
      </c>
    </row>
    <row r="91" spans="1:7" ht="15.75" customHeight="1" x14ac:dyDescent="0.2">
      <c r="A91" s="461" t="s">
        <v>476</v>
      </c>
      <c r="B91" s="136"/>
      <c r="C91" s="134">
        <f>SUM(C84:C90)</f>
        <v>0</v>
      </c>
      <c r="D91" s="134">
        <f t="shared" ref="D91:G91" si="20">SUM(D84:D90)</f>
        <v>0</v>
      </c>
      <c r="E91" s="134">
        <f t="shared" si="20"/>
        <v>0</v>
      </c>
      <c r="F91" s="134">
        <f t="shared" si="20"/>
        <v>0</v>
      </c>
      <c r="G91" s="462">
        <f t="shared" si="20"/>
        <v>0</v>
      </c>
    </row>
    <row r="92" spans="1:7" ht="15.75" customHeight="1" x14ac:dyDescent="0.2">
      <c r="A92" s="1048"/>
      <c r="B92" s="1013"/>
      <c r="C92" s="137"/>
      <c r="D92" s="137"/>
      <c r="E92" s="259"/>
      <c r="F92" s="259"/>
      <c r="G92" s="466"/>
    </row>
    <row r="93" spans="1:7" ht="15.75" customHeight="1" x14ac:dyDescent="0.2">
      <c r="A93" s="463" t="s">
        <v>528</v>
      </c>
      <c r="B93" s="257"/>
      <c r="C93" s="257"/>
      <c r="D93" s="257"/>
      <c r="E93" s="257"/>
      <c r="F93" s="257"/>
      <c r="G93" s="464"/>
    </row>
    <row r="94" spans="1:7" ht="15.75" customHeight="1" x14ac:dyDescent="0.2">
      <c r="A94" s="443" t="s">
        <v>529</v>
      </c>
      <c r="B94" s="94" t="s">
        <v>468</v>
      </c>
      <c r="C94" s="94" t="s">
        <v>469</v>
      </c>
      <c r="D94" s="94" t="s">
        <v>469</v>
      </c>
      <c r="E94" s="94" t="s">
        <v>469</v>
      </c>
      <c r="F94" s="94" t="s">
        <v>469</v>
      </c>
      <c r="G94" s="444"/>
    </row>
    <row r="95" spans="1:7" ht="15.75" customHeight="1" x14ac:dyDescent="0.2">
      <c r="A95" s="445" t="s">
        <v>67</v>
      </c>
      <c r="B95" s="100">
        <f>MC!C63</f>
        <v>0</v>
      </c>
      <c r="C95" s="117">
        <f>($C$19+$C$49+$C$60+$C$80+$C$91)*$B$95</f>
        <v>0</v>
      </c>
      <c r="D95" s="117">
        <f>($D$19+$D$49+$D$60+$D$80+$D$91)*$B$95</f>
        <v>0</v>
      </c>
      <c r="E95" s="117">
        <f>($E$19+$E$49+$E$60+$E$80+$E$91)*$B$95</f>
        <v>0</v>
      </c>
      <c r="F95" s="251">
        <f>($F$19+$F$49+$F$60+$F$80+$F$91)*$B$95</f>
        <v>0</v>
      </c>
      <c r="G95" s="455">
        <f>($G$19+$G$49+$G$60+$G$80+$G$91)*$B$95</f>
        <v>0</v>
      </c>
    </row>
    <row r="96" spans="1:7" ht="15.75" customHeight="1" x14ac:dyDescent="0.2">
      <c r="A96" s="445" t="s">
        <v>68</v>
      </c>
      <c r="B96" s="100">
        <f>MC!C64</f>
        <v>0</v>
      </c>
      <c r="C96" s="117">
        <f>($C$19+$C$49+$C$60+$C$80+$C$91+C95)*B96</f>
        <v>0</v>
      </c>
      <c r="D96" s="117">
        <f>($D$19+$D$49+$D$60+$D$80+$D$91+$D$95)*$B$96</f>
        <v>0</v>
      </c>
      <c r="E96" s="117">
        <f>($E$19+$E$49+$E$60+$E$80+$E$91+$E$95)*$B$96</f>
        <v>0</v>
      </c>
      <c r="F96" s="117">
        <f>($F$19+$F$49+$F$60+$F$80+$F$91+$F$95)*$B$96</f>
        <v>0</v>
      </c>
      <c r="G96" s="455">
        <f>($G$19+$G$49+$G$60+$G$80+$G$91+G95)*$B$96</f>
        <v>0</v>
      </c>
    </row>
    <row r="97" spans="1:8" ht="15.75" customHeight="1" x14ac:dyDescent="0.2">
      <c r="A97" s="467" t="s">
        <v>530</v>
      </c>
      <c r="B97" s="261">
        <f>B98+B99</f>
        <v>0.1125</v>
      </c>
      <c r="C97" s="262">
        <f>((C19+C49+C60+C80+C91+C95+C96)/(1-($B$97)))*$B$97</f>
        <v>0</v>
      </c>
      <c r="D97" s="262">
        <f>((D19+D49+D60+D80+D91+D95+D96)/(1-($B$97)))*$B$97</f>
        <v>0</v>
      </c>
      <c r="E97" s="262">
        <f>((E19+E49+E60+E80+E91+E95+E96)/(1-($B$97)))*$B$97</f>
        <v>0</v>
      </c>
      <c r="F97" s="262">
        <f>((F19+F49+F60+F80+F91+F95+F96)/(1-($B$97)))*$B$97</f>
        <v>0</v>
      </c>
      <c r="G97" s="468">
        <f>((G19+G49+G60+G80+G91+G95+G96)/(1-($B$97)))*$B$97</f>
        <v>0</v>
      </c>
    </row>
    <row r="98" spans="1:8" ht="15.75" customHeight="1" x14ac:dyDescent="0.2">
      <c r="A98" s="445" t="s">
        <v>531</v>
      </c>
      <c r="B98" s="100">
        <f>0.0165+0.076</f>
        <v>9.2499999999999999E-2</v>
      </c>
      <c r="C98" s="263">
        <f>((C$19+C$49+C$60+C$80+C$91+C$95+C$96)/(1-($B$97)))*$B$98</f>
        <v>0</v>
      </c>
      <c r="D98" s="263">
        <f t="shared" ref="D98:G98" si="21">((D$19+D$49+D$60+D$80+D$91+D$95+D$96)/(1-($B$97)))*$B$98</f>
        <v>0</v>
      </c>
      <c r="E98" s="263">
        <f t="shared" si="21"/>
        <v>0</v>
      </c>
      <c r="F98" s="263">
        <f t="shared" si="21"/>
        <v>0</v>
      </c>
      <c r="G98" s="469">
        <f t="shared" si="21"/>
        <v>0</v>
      </c>
    </row>
    <row r="99" spans="1:8" ht="15.75" customHeight="1" x14ac:dyDescent="0.2">
      <c r="A99" s="445" t="s">
        <v>532</v>
      </c>
      <c r="B99" s="100">
        <v>0.02</v>
      </c>
      <c r="C99" s="264">
        <f>((C$19+C$49+C$60+C$80+C$91+C$95+C$96)/(1-($B$97)))*$B$99</f>
        <v>0</v>
      </c>
      <c r="D99" s="264">
        <f t="shared" ref="D99:G99" si="22">((D$19+D$49+D$60+D$80+D$91+D$95+D$96)/(1-($B$97)))*$B$99</f>
        <v>0</v>
      </c>
      <c r="E99" s="264">
        <f t="shared" si="22"/>
        <v>0</v>
      </c>
      <c r="F99" s="264">
        <f t="shared" si="22"/>
        <v>0</v>
      </c>
      <c r="G99" s="470">
        <f t="shared" si="22"/>
        <v>0</v>
      </c>
    </row>
    <row r="100" spans="1:8" ht="15.75" customHeight="1" x14ac:dyDescent="0.2">
      <c r="A100" s="467" t="s">
        <v>533</v>
      </c>
      <c r="B100" s="261">
        <f>B101+B102</f>
        <v>0.11749999999999999</v>
      </c>
      <c r="C100" s="262">
        <f>((C19+C49+C60+C80+C91+C95+C96)/(1-($B$100)))*$B$100</f>
        <v>0</v>
      </c>
      <c r="D100" s="262">
        <f t="shared" ref="D100:G100" si="23">((D19+D49+D60+D80+D91+D95+D96)/(1-($B$100)))*$B$100</f>
        <v>0</v>
      </c>
      <c r="E100" s="262">
        <f t="shared" si="23"/>
        <v>0</v>
      </c>
      <c r="F100" s="262">
        <f t="shared" si="23"/>
        <v>0</v>
      </c>
      <c r="G100" s="468">
        <f t="shared" si="23"/>
        <v>0</v>
      </c>
    </row>
    <row r="101" spans="1:8" ht="15.75" customHeight="1" x14ac:dyDescent="0.2">
      <c r="A101" s="445" t="s">
        <v>531</v>
      </c>
      <c r="B101" s="100">
        <f>0.0165+0.076</f>
        <v>9.2499999999999999E-2</v>
      </c>
      <c r="C101" s="263">
        <f>((C19+C49+C60+C80+C91+C95+C96)/(1-($B$100)))*$B$101</f>
        <v>0</v>
      </c>
      <c r="D101" s="263">
        <f t="shared" ref="D101:G101" si="24">((D19+D49+D60+D80+D91+D95+D96)/(1-($B$100)))*$B$101</f>
        <v>0</v>
      </c>
      <c r="E101" s="263">
        <f t="shared" si="24"/>
        <v>0</v>
      </c>
      <c r="F101" s="263">
        <f t="shared" si="24"/>
        <v>0</v>
      </c>
      <c r="G101" s="469">
        <f t="shared" si="24"/>
        <v>0</v>
      </c>
    </row>
    <row r="102" spans="1:8" ht="15.75" customHeight="1" x14ac:dyDescent="0.2">
      <c r="A102" s="445" t="s">
        <v>532</v>
      </c>
      <c r="B102" s="100">
        <v>2.5000000000000001E-2</v>
      </c>
      <c r="C102" s="264">
        <f>((C$19+C$49+C$60+C$80+C$91+C$95+C$96)/(1-($B$100)))*$B$102</f>
        <v>0</v>
      </c>
      <c r="D102" s="264">
        <f t="shared" ref="D102:G102" si="25">((D$19+D$49+D$60+D$80+D$91+D$95+D$96)/(1-($B$100)))*$B$102</f>
        <v>0</v>
      </c>
      <c r="E102" s="264">
        <f t="shared" si="25"/>
        <v>0</v>
      </c>
      <c r="F102" s="264">
        <f t="shared" si="25"/>
        <v>0</v>
      </c>
      <c r="G102" s="470">
        <f t="shared" si="25"/>
        <v>0</v>
      </c>
    </row>
    <row r="103" spans="1:8" ht="15.75" customHeight="1" x14ac:dyDescent="0.2">
      <c r="A103" s="467" t="s">
        <v>534</v>
      </c>
      <c r="B103" s="261">
        <f>B104+B105</f>
        <v>0.1225</v>
      </c>
      <c r="C103" s="262">
        <f>((C19+C49+C60+C80+C91+C95+C96)/(1-($B$103)))*$B$103</f>
        <v>0</v>
      </c>
      <c r="D103" s="262">
        <f t="shared" ref="D103:G103" si="26">((D19+D49+D60+D80+D91+D95+D96)/(1-($B$103)))*$B$103</f>
        <v>0</v>
      </c>
      <c r="E103" s="262">
        <f t="shared" si="26"/>
        <v>0</v>
      </c>
      <c r="F103" s="262">
        <f t="shared" si="26"/>
        <v>0</v>
      </c>
      <c r="G103" s="468">
        <f t="shared" si="26"/>
        <v>0</v>
      </c>
    </row>
    <row r="104" spans="1:8" ht="15.75" customHeight="1" x14ac:dyDescent="0.2">
      <c r="A104" s="445" t="s">
        <v>531</v>
      </c>
      <c r="B104" s="100">
        <f>0.0165+0.076</f>
        <v>9.2499999999999999E-2</v>
      </c>
      <c r="C104" s="263">
        <f>((C19+C49+C60+C80+C91+C95+C96)/(1-($B$103)))*$B$104</f>
        <v>0</v>
      </c>
      <c r="D104" s="263">
        <f t="shared" ref="D104:G104" si="27">((D19+D49+D60+D80+D91+D95+D96)/(1-($B$103)))*$B$104</f>
        <v>0</v>
      </c>
      <c r="E104" s="263">
        <f t="shared" si="27"/>
        <v>0</v>
      </c>
      <c r="F104" s="263">
        <f t="shared" si="27"/>
        <v>0</v>
      </c>
      <c r="G104" s="469">
        <f t="shared" si="27"/>
        <v>0</v>
      </c>
    </row>
    <row r="105" spans="1:8" ht="15.75" customHeight="1" x14ac:dyDescent="0.2">
      <c r="A105" s="445" t="s">
        <v>532</v>
      </c>
      <c r="B105" s="100">
        <v>0.03</v>
      </c>
      <c r="C105" s="264">
        <f>((C19+C49+C60+C80+C91+C95+C96)/(1-($B$103)))*$B$105</f>
        <v>0</v>
      </c>
      <c r="D105" s="264">
        <f t="shared" ref="D105:G105" si="28">((D19+D49+D60+D80+D91+D95+D96)/(1-($B$103)))*$B$105</f>
        <v>0</v>
      </c>
      <c r="E105" s="264">
        <f t="shared" si="28"/>
        <v>0</v>
      </c>
      <c r="F105" s="264">
        <f t="shared" si="28"/>
        <v>0</v>
      </c>
      <c r="G105" s="470">
        <f t="shared" si="28"/>
        <v>0</v>
      </c>
      <c r="H105" s="265"/>
    </row>
    <row r="106" spans="1:8" ht="15.75" customHeight="1" x14ac:dyDescent="0.2">
      <c r="A106" s="467" t="s">
        <v>535</v>
      </c>
      <c r="B106" s="261">
        <f>B107+B108</f>
        <v>0.13250000000000001</v>
      </c>
      <c r="C106" s="262">
        <f>((C19+C49+C60+C80+C91+C95+C96)/(1-($B$106)))*$B$106</f>
        <v>0</v>
      </c>
      <c r="D106" s="262">
        <f t="shared" ref="D106:G106" si="29">((D19+D49+D60+D80+D91+D95+D96)/(1-($B$106)))*$B$106</f>
        <v>0</v>
      </c>
      <c r="E106" s="262">
        <f t="shared" si="29"/>
        <v>0</v>
      </c>
      <c r="F106" s="262">
        <f t="shared" si="29"/>
        <v>0</v>
      </c>
      <c r="G106" s="468">
        <f t="shared" si="29"/>
        <v>0</v>
      </c>
    </row>
    <row r="107" spans="1:8" ht="15.75" customHeight="1" x14ac:dyDescent="0.2">
      <c r="A107" s="445" t="s">
        <v>531</v>
      </c>
      <c r="B107" s="100">
        <f>0.0165+0.076</f>
        <v>9.2499999999999999E-2</v>
      </c>
      <c r="C107" s="263">
        <f>((C19+C49+C60+C80+C91+C95+C96)/(1-($B$106)))*$B$107</f>
        <v>0</v>
      </c>
      <c r="D107" s="263">
        <f t="shared" ref="D107:G107" si="30">((D19+D49+D60+D80+D91+D95+D96)/(1-($B$106)))*$B$107</f>
        <v>0</v>
      </c>
      <c r="E107" s="263">
        <f t="shared" si="30"/>
        <v>0</v>
      </c>
      <c r="F107" s="263">
        <f t="shared" si="30"/>
        <v>0</v>
      </c>
      <c r="G107" s="469">
        <f t="shared" si="30"/>
        <v>0</v>
      </c>
    </row>
    <row r="108" spans="1:8" ht="15.75" customHeight="1" x14ac:dyDescent="0.2">
      <c r="A108" s="445" t="s">
        <v>532</v>
      </c>
      <c r="B108" s="100">
        <v>0.04</v>
      </c>
      <c r="C108" s="264">
        <f>((C19+C49+C60+C80+C91+C95+C96)/(1-($B$106)))*$B$108</f>
        <v>0</v>
      </c>
      <c r="D108" s="264">
        <f t="shared" ref="D108:G108" si="31">((D19+D49+D60+D80+D91+D95+D96)/(1-($B$106)))*$B$108</f>
        <v>0</v>
      </c>
      <c r="E108" s="264">
        <f t="shared" si="31"/>
        <v>0</v>
      </c>
      <c r="F108" s="264">
        <f t="shared" si="31"/>
        <v>0</v>
      </c>
      <c r="G108" s="470">
        <f t="shared" si="31"/>
        <v>0</v>
      </c>
    </row>
    <row r="109" spans="1:8" ht="15.75" customHeight="1" x14ac:dyDescent="0.2">
      <c r="A109" s="467" t="s">
        <v>536</v>
      </c>
      <c r="B109" s="261">
        <f>B110+B111</f>
        <v>0.14250000000000002</v>
      </c>
      <c r="C109" s="262">
        <f>((C19+C49+C60+C80+C91+C95+C96)/(1-($B$109)))*$B$109</f>
        <v>0</v>
      </c>
      <c r="D109" s="262">
        <f t="shared" ref="D109:G109" si="32">((D19+D49+D60+D80+D91+D95+D96)/(1-($B$109)))*$B$109</f>
        <v>0</v>
      </c>
      <c r="E109" s="262">
        <f t="shared" si="32"/>
        <v>0</v>
      </c>
      <c r="F109" s="262">
        <f t="shared" si="32"/>
        <v>0</v>
      </c>
      <c r="G109" s="468">
        <f t="shared" si="32"/>
        <v>0</v>
      </c>
    </row>
    <row r="110" spans="1:8" ht="15.75" customHeight="1" x14ac:dyDescent="0.2">
      <c r="A110" s="445" t="s">
        <v>531</v>
      </c>
      <c r="B110" s="100">
        <f>0.0165+0.076</f>
        <v>9.2499999999999999E-2</v>
      </c>
      <c r="C110" s="263">
        <f>((C19+C49+C60+C80+C91+C95+C96)/(1-($B$109)))*$B$110</f>
        <v>0</v>
      </c>
      <c r="D110" s="263">
        <f t="shared" ref="D110:G110" si="33">((D19+D49+D60+D80+D91+D95+D96)/(1-($B$109)))*$B$110</f>
        <v>0</v>
      </c>
      <c r="E110" s="263">
        <f t="shared" si="33"/>
        <v>0</v>
      </c>
      <c r="F110" s="263">
        <f t="shared" si="33"/>
        <v>0</v>
      </c>
      <c r="G110" s="469">
        <f t="shared" si="33"/>
        <v>0</v>
      </c>
    </row>
    <row r="111" spans="1:8" ht="15.75" customHeight="1" x14ac:dyDescent="0.2">
      <c r="A111" s="445" t="s">
        <v>532</v>
      </c>
      <c r="B111" s="266">
        <v>0.05</v>
      </c>
      <c r="C111" s="264">
        <f>((C19+C49+C60+C80+C91+C95+C96)/(1-($B$109)))*$B$111</f>
        <v>0</v>
      </c>
      <c r="D111" s="264">
        <f t="shared" ref="D111:G111" si="34">((D19+D49+D60+D80+D91+D95+D96)/(1-($B$109)))*$B$111</f>
        <v>0</v>
      </c>
      <c r="E111" s="264">
        <f t="shared" si="34"/>
        <v>0</v>
      </c>
      <c r="F111" s="264">
        <f t="shared" si="34"/>
        <v>0</v>
      </c>
      <c r="G111" s="470">
        <f t="shared" si="34"/>
        <v>0</v>
      </c>
    </row>
    <row r="112" spans="1:8" ht="15.75" customHeight="1" x14ac:dyDescent="0.2">
      <c r="A112" s="1050" t="s">
        <v>537</v>
      </c>
      <c r="B112" s="267">
        <v>0.02</v>
      </c>
      <c r="C112" s="268">
        <f>C95+C96+C97</f>
        <v>0</v>
      </c>
      <c r="D112" s="268">
        <f>D95+D96+D97</f>
        <v>0</v>
      </c>
      <c r="E112" s="268">
        <f>E95+E96+E97</f>
        <v>0</v>
      </c>
      <c r="F112" s="268">
        <f>F95+F96+F97</f>
        <v>0</v>
      </c>
      <c r="G112" s="471">
        <f>G95+G96+G97</f>
        <v>0</v>
      </c>
    </row>
    <row r="113" spans="1:8" ht="15.75" customHeight="1" x14ac:dyDescent="0.2">
      <c r="A113" s="1050"/>
      <c r="B113" s="269">
        <v>2.5000000000000001E-2</v>
      </c>
      <c r="C113" s="270">
        <f>C95+C96+C100</f>
        <v>0</v>
      </c>
      <c r="D113" s="270">
        <f>D95+D96+D100</f>
        <v>0</v>
      </c>
      <c r="E113" s="270">
        <f>E95+E96+E100</f>
        <v>0</v>
      </c>
      <c r="F113" s="270">
        <f>F95+F96+F100</f>
        <v>0</v>
      </c>
      <c r="G113" s="472">
        <f>G95+G96+G100</f>
        <v>0</v>
      </c>
    </row>
    <row r="114" spans="1:8" ht="15.75" customHeight="1" x14ac:dyDescent="0.2">
      <c r="A114" s="1050"/>
      <c r="B114" s="269">
        <v>0.03</v>
      </c>
      <c r="C114" s="270">
        <f>C95+C96+C103</f>
        <v>0</v>
      </c>
      <c r="D114" s="270">
        <f>D95+D96+D103</f>
        <v>0</v>
      </c>
      <c r="E114" s="270">
        <f>E95+E96+E103</f>
        <v>0</v>
      </c>
      <c r="F114" s="270">
        <f>F95+F96+F103</f>
        <v>0</v>
      </c>
      <c r="G114" s="472">
        <f>G95+G96+G103</f>
        <v>0</v>
      </c>
      <c r="H114" s="265"/>
    </row>
    <row r="115" spans="1:8" ht="15.75" customHeight="1" x14ac:dyDescent="0.2">
      <c r="A115" s="1050"/>
      <c r="B115" s="269">
        <v>0.04</v>
      </c>
      <c r="C115" s="270">
        <f>C95+C96+C106</f>
        <v>0</v>
      </c>
      <c r="D115" s="270">
        <f>D95+D96+D106</f>
        <v>0</v>
      </c>
      <c r="E115" s="270">
        <f>E95+E96+E106</f>
        <v>0</v>
      </c>
      <c r="F115" s="270">
        <f>F95+F96+F106</f>
        <v>0</v>
      </c>
      <c r="G115" s="472">
        <f>G95+G96+G106</f>
        <v>0</v>
      </c>
    </row>
    <row r="116" spans="1:8" ht="15.75" customHeight="1" x14ac:dyDescent="0.2">
      <c r="A116" s="1066"/>
      <c r="B116" s="631">
        <v>0.05</v>
      </c>
      <c r="C116" s="632">
        <f>C95+C96+C109</f>
        <v>0</v>
      </c>
      <c r="D116" s="632">
        <f>D95+D96+D109</f>
        <v>0</v>
      </c>
      <c r="E116" s="632">
        <f>E95+E96+E109</f>
        <v>0</v>
      </c>
      <c r="F116" s="632">
        <f>F95+F96+F109</f>
        <v>0</v>
      </c>
      <c r="G116" s="633">
        <f>G95+G96+G109</f>
        <v>0</v>
      </c>
    </row>
    <row r="117" spans="1:8" ht="15.75" customHeight="1" x14ac:dyDescent="0.2">
      <c r="A117" s="634" t="s">
        <v>538</v>
      </c>
      <c r="B117" s="273"/>
      <c r="C117" s="274"/>
      <c r="D117" s="274"/>
      <c r="E117" s="275"/>
      <c r="F117" s="275"/>
      <c r="G117" s="276"/>
    </row>
    <row r="118" spans="1:8" ht="15.75" customHeight="1" x14ac:dyDescent="0.2">
      <c r="A118" s="143"/>
      <c r="B118" s="277"/>
      <c r="C118" s="278"/>
      <c r="D118" s="278"/>
      <c r="E118" s="279"/>
      <c r="F118" s="279"/>
      <c r="G118" s="280"/>
    </row>
    <row r="119" spans="1:8" ht="15.75" customHeight="1" x14ac:dyDescent="0.2">
      <c r="A119" s="1016"/>
      <c r="B119" s="1016"/>
      <c r="C119" s="1016"/>
      <c r="D119" s="1016"/>
      <c r="E119" s="1016"/>
      <c r="F119" s="1016"/>
      <c r="G119" s="1016"/>
    </row>
    <row r="120" spans="1:8" ht="15.75" customHeight="1" x14ac:dyDescent="0.2">
      <c r="A120" s="1017"/>
      <c r="B120" s="1017"/>
      <c r="C120" s="1017"/>
      <c r="D120" s="1017"/>
      <c r="E120" s="1017"/>
      <c r="F120" s="1017"/>
      <c r="G120" s="1017"/>
    </row>
    <row r="121" spans="1:8" ht="45.75" customHeight="1" x14ac:dyDescent="0.2">
      <c r="A121" s="1018" t="s">
        <v>539</v>
      </c>
      <c r="B121" s="1018"/>
      <c r="C121" s="281" t="str">
        <f>C10</f>
        <v xml:space="preserve">Servente 40h </v>
      </c>
      <c r="D121" s="281" t="str">
        <f>D10</f>
        <v xml:space="preserve">Servente 30h </v>
      </c>
      <c r="E121" s="282"/>
      <c r="F121" s="282" t="str">
        <f>F10</f>
        <v>Servente 44h limpeza de esquadrias com risco</v>
      </c>
      <c r="G121" s="283" t="str">
        <f>G10</f>
        <v>Encarregada 40h</v>
      </c>
    </row>
    <row r="122" spans="1:8" ht="15.75" customHeight="1" x14ac:dyDescent="0.2">
      <c r="A122" s="1019" t="s">
        <v>540</v>
      </c>
      <c r="B122" s="1019"/>
      <c r="C122" s="284" t="s">
        <v>469</v>
      </c>
      <c r="D122" s="284" t="s">
        <v>469</v>
      </c>
      <c r="E122" s="284" t="s">
        <v>469</v>
      </c>
      <c r="F122" s="284" t="s">
        <v>469</v>
      </c>
      <c r="G122" s="285" t="s">
        <v>469</v>
      </c>
    </row>
    <row r="123" spans="1:8" ht="15.75" customHeight="1" x14ac:dyDescent="0.2">
      <c r="A123" s="1020" t="s">
        <v>541</v>
      </c>
      <c r="B123" s="1020"/>
      <c r="C123" s="286">
        <f>C19</f>
        <v>0</v>
      </c>
      <c r="D123" s="286">
        <f>D19</f>
        <v>0</v>
      </c>
      <c r="E123" s="286">
        <f>E19</f>
        <v>0</v>
      </c>
      <c r="F123" s="286">
        <f>F19</f>
        <v>0</v>
      </c>
      <c r="G123" s="287">
        <f>G19</f>
        <v>0</v>
      </c>
    </row>
    <row r="124" spans="1:8" ht="15.75" customHeight="1" x14ac:dyDescent="0.2">
      <c r="A124" s="1021" t="s">
        <v>542</v>
      </c>
      <c r="B124" s="1021"/>
      <c r="C124" s="139">
        <f>C49</f>
        <v>0</v>
      </c>
      <c r="D124" s="139">
        <f>D49</f>
        <v>0</v>
      </c>
      <c r="E124" s="139">
        <f>E49</f>
        <v>0</v>
      </c>
      <c r="F124" s="139">
        <f>F49</f>
        <v>0</v>
      </c>
      <c r="G124" s="140">
        <f>G49</f>
        <v>0</v>
      </c>
    </row>
    <row r="125" spans="1:8" ht="15.75" customHeight="1" x14ac:dyDescent="0.2">
      <c r="A125" s="1021" t="s">
        <v>543</v>
      </c>
      <c r="B125" s="1021"/>
      <c r="C125" s="139">
        <f>C60</f>
        <v>0</v>
      </c>
      <c r="D125" s="139">
        <f>D60</f>
        <v>0</v>
      </c>
      <c r="E125" s="139">
        <f>E60</f>
        <v>0</v>
      </c>
      <c r="F125" s="139">
        <f>F60</f>
        <v>0</v>
      </c>
      <c r="G125" s="140">
        <f>G60</f>
        <v>0</v>
      </c>
    </row>
    <row r="126" spans="1:8" ht="15.75" customHeight="1" x14ac:dyDescent="0.2">
      <c r="A126" s="1021" t="s">
        <v>544</v>
      </c>
      <c r="B126" s="1021"/>
      <c r="C126" s="139">
        <f>C80</f>
        <v>0</v>
      </c>
      <c r="D126" s="139">
        <f>D80</f>
        <v>0</v>
      </c>
      <c r="E126" s="139">
        <f>E80</f>
        <v>0</v>
      </c>
      <c r="F126" s="139">
        <f>F80</f>
        <v>0</v>
      </c>
      <c r="G126" s="140">
        <f>G69</f>
        <v>0</v>
      </c>
    </row>
    <row r="127" spans="1:8" ht="15.75" customHeight="1" x14ac:dyDescent="0.2">
      <c r="A127" s="1021" t="s">
        <v>545</v>
      </c>
      <c r="B127" s="1021"/>
      <c r="C127" s="139">
        <f>C91</f>
        <v>0</v>
      </c>
      <c r="D127" s="139">
        <f>D91</f>
        <v>0</v>
      </c>
      <c r="E127" s="139">
        <f>E91</f>
        <v>0</v>
      </c>
      <c r="F127" s="139">
        <f>F91</f>
        <v>0</v>
      </c>
      <c r="G127" s="140">
        <f>G91</f>
        <v>0</v>
      </c>
    </row>
    <row r="128" spans="1:8" ht="15.75" customHeight="1" x14ac:dyDescent="0.2">
      <c r="A128" s="1024" t="s">
        <v>546</v>
      </c>
      <c r="B128" s="1024"/>
      <c r="C128" s="141">
        <f>SUM(C123:C127)</f>
        <v>0</v>
      </c>
      <c r="D128" s="141">
        <f>SUM(D123:D127)</f>
        <v>0</v>
      </c>
      <c r="E128" s="141">
        <f>SUM(E123:E127)</f>
        <v>0</v>
      </c>
      <c r="F128" s="288">
        <f>SUM(F123:F127)</f>
        <v>0</v>
      </c>
      <c r="G128" s="142">
        <f>SUM(G123:G127)</f>
        <v>0</v>
      </c>
    </row>
    <row r="129" spans="1:13" ht="15.75" customHeight="1" x14ac:dyDescent="0.2">
      <c r="A129" s="1022" t="s">
        <v>547</v>
      </c>
      <c r="B129" s="1022"/>
      <c r="C129" s="289">
        <f t="shared" ref="C129:G133" si="35">C112</f>
        <v>0</v>
      </c>
      <c r="D129" s="289">
        <f t="shared" si="35"/>
        <v>0</v>
      </c>
      <c r="E129" s="289">
        <f t="shared" si="35"/>
        <v>0</v>
      </c>
      <c r="F129" s="289">
        <f t="shared" si="35"/>
        <v>0</v>
      </c>
      <c r="G129" s="290">
        <f t="shared" si="35"/>
        <v>0</v>
      </c>
    </row>
    <row r="130" spans="1:13" ht="15.75" customHeight="1" x14ac:dyDescent="0.2">
      <c r="A130" s="1021" t="s">
        <v>548</v>
      </c>
      <c r="B130" s="1021"/>
      <c r="C130" s="291">
        <f t="shared" si="35"/>
        <v>0</v>
      </c>
      <c r="D130" s="291">
        <f t="shared" si="35"/>
        <v>0</v>
      </c>
      <c r="E130" s="291">
        <f t="shared" si="35"/>
        <v>0</v>
      </c>
      <c r="F130" s="291">
        <f t="shared" si="35"/>
        <v>0</v>
      </c>
      <c r="G130" s="292">
        <f t="shared" si="35"/>
        <v>0</v>
      </c>
    </row>
    <row r="131" spans="1:13" ht="15.75" customHeight="1" x14ac:dyDescent="0.2">
      <c r="A131" s="1021" t="s">
        <v>549</v>
      </c>
      <c r="B131" s="1021"/>
      <c r="C131" s="291">
        <f t="shared" si="35"/>
        <v>0</v>
      </c>
      <c r="D131" s="291">
        <f t="shared" si="35"/>
        <v>0</v>
      </c>
      <c r="E131" s="291">
        <f t="shared" si="35"/>
        <v>0</v>
      </c>
      <c r="F131" s="291">
        <f t="shared" si="35"/>
        <v>0</v>
      </c>
      <c r="G131" s="292">
        <f t="shared" si="35"/>
        <v>0</v>
      </c>
    </row>
    <row r="132" spans="1:13" ht="15.75" customHeight="1" x14ac:dyDescent="0.2">
      <c r="A132" s="1021" t="s">
        <v>550</v>
      </c>
      <c r="B132" s="1021"/>
      <c r="C132" s="291">
        <f t="shared" si="35"/>
        <v>0</v>
      </c>
      <c r="D132" s="291">
        <f t="shared" si="35"/>
        <v>0</v>
      </c>
      <c r="E132" s="291">
        <f t="shared" si="35"/>
        <v>0</v>
      </c>
      <c r="F132" s="291">
        <f t="shared" si="35"/>
        <v>0</v>
      </c>
      <c r="G132" s="292">
        <f t="shared" si="35"/>
        <v>0</v>
      </c>
    </row>
    <row r="133" spans="1:13" ht="15.75" customHeight="1" x14ac:dyDescent="0.2">
      <c r="A133" s="1022" t="s">
        <v>551</v>
      </c>
      <c r="B133" s="1022"/>
      <c r="C133" s="291">
        <f t="shared" si="35"/>
        <v>0</v>
      </c>
      <c r="D133" s="291">
        <f t="shared" si="35"/>
        <v>0</v>
      </c>
      <c r="E133" s="291">
        <f t="shared" si="35"/>
        <v>0</v>
      </c>
      <c r="F133" s="291">
        <f t="shared" si="35"/>
        <v>0</v>
      </c>
      <c r="G133" s="292">
        <f t="shared" si="35"/>
        <v>0</v>
      </c>
    </row>
    <row r="134" spans="1:13" ht="15.75" customHeight="1" x14ac:dyDescent="0.2">
      <c r="A134" s="293" t="s">
        <v>552</v>
      </c>
      <c r="B134" s="294"/>
      <c r="C134" s="295">
        <f>C128+C129</f>
        <v>0</v>
      </c>
      <c r="D134" s="295">
        <f>D128+D129</f>
        <v>0</v>
      </c>
      <c r="E134" s="295">
        <f>E128+E129</f>
        <v>0</v>
      </c>
      <c r="F134" s="295">
        <f>F128+F129</f>
        <v>0</v>
      </c>
      <c r="G134" s="296">
        <f>G128+G129</f>
        <v>0</v>
      </c>
    </row>
    <row r="135" spans="1:13" ht="15.75" customHeight="1" x14ac:dyDescent="0.2">
      <c r="A135" s="297" t="s">
        <v>553</v>
      </c>
      <c r="B135" s="298"/>
      <c r="C135" s="299">
        <f>C128+C130</f>
        <v>0</v>
      </c>
      <c r="D135" s="299">
        <f>D128+D130</f>
        <v>0</v>
      </c>
      <c r="E135" s="299">
        <f>E128+E130</f>
        <v>0</v>
      </c>
      <c r="F135" s="299">
        <f>F128+F130</f>
        <v>0</v>
      </c>
      <c r="G135" s="300">
        <f>G128+G130</f>
        <v>0</v>
      </c>
    </row>
    <row r="136" spans="1:13" ht="15.75" customHeight="1" x14ac:dyDescent="0.2">
      <c r="A136" s="297" t="s">
        <v>554</v>
      </c>
      <c r="B136" s="298"/>
      <c r="C136" s="299">
        <f>C128+C131</f>
        <v>0</v>
      </c>
      <c r="D136" s="299">
        <f>D128+D131</f>
        <v>0</v>
      </c>
      <c r="E136" s="299">
        <f>E128+E131</f>
        <v>0</v>
      </c>
      <c r="F136" s="299">
        <f>F128+F131</f>
        <v>0</v>
      </c>
      <c r="G136" s="300">
        <f>G128+G131</f>
        <v>0</v>
      </c>
    </row>
    <row r="137" spans="1:13" ht="15.75" customHeight="1" x14ac:dyDescent="0.2">
      <c r="A137" s="297" t="s">
        <v>555</v>
      </c>
      <c r="B137" s="298"/>
      <c r="C137" s="299">
        <f>C128+C132</f>
        <v>0</v>
      </c>
      <c r="D137" s="299">
        <f>D128+D132</f>
        <v>0</v>
      </c>
      <c r="E137" s="299">
        <f>E128+E132</f>
        <v>0</v>
      </c>
      <c r="F137" s="299">
        <f>F128+F132</f>
        <v>0</v>
      </c>
      <c r="G137" s="300">
        <f>G128+G132</f>
        <v>0</v>
      </c>
    </row>
    <row r="138" spans="1:13" ht="15.75" customHeight="1" x14ac:dyDescent="0.2">
      <c r="A138" s="297" t="s">
        <v>556</v>
      </c>
      <c r="B138" s="298"/>
      <c r="C138" s="299">
        <f>C128+C133</f>
        <v>0</v>
      </c>
      <c r="D138" s="299">
        <f>D128+D133</f>
        <v>0</v>
      </c>
      <c r="E138" s="299">
        <f>E128+E133</f>
        <v>0</v>
      </c>
      <c r="F138" s="299">
        <f>F128+F133</f>
        <v>0</v>
      </c>
      <c r="G138" s="300">
        <f>G128+G133</f>
        <v>0</v>
      </c>
    </row>
    <row r="139" spans="1:13" ht="15.75" customHeight="1" x14ac:dyDescent="0.2">
      <c r="A139" s="301" t="s">
        <v>557</v>
      </c>
      <c r="B139" s="302"/>
      <c r="C139" s="303">
        <f>C134/200</f>
        <v>0</v>
      </c>
      <c r="D139" s="303"/>
      <c r="E139" s="303"/>
      <c r="F139" s="304"/>
      <c r="G139" s="305"/>
    </row>
    <row r="140" spans="1:13" ht="15.75" customHeight="1" x14ac:dyDescent="0.2">
      <c r="A140" s="306" t="s">
        <v>558</v>
      </c>
      <c r="B140" s="307"/>
      <c r="C140" s="308">
        <f>C135/200</f>
        <v>0</v>
      </c>
      <c r="D140" s="308"/>
      <c r="E140" s="308"/>
      <c r="F140" s="309"/>
      <c r="G140" s="310"/>
    </row>
    <row r="141" spans="1:13" ht="15.75" customHeight="1" x14ac:dyDescent="0.2">
      <c r="A141" s="306" t="s">
        <v>559</v>
      </c>
      <c r="B141" s="307"/>
      <c r="C141" s="308">
        <f>C136/200</f>
        <v>0</v>
      </c>
      <c r="D141" s="308"/>
      <c r="E141" s="308"/>
      <c r="F141" s="309"/>
      <c r="G141" s="310"/>
    </row>
    <row r="142" spans="1:13" ht="15.75" customHeight="1" x14ac:dyDescent="0.2">
      <c r="A142" s="306" t="s">
        <v>560</v>
      </c>
      <c r="B142" s="307"/>
      <c r="C142" s="308">
        <f>C137/200</f>
        <v>0</v>
      </c>
      <c r="D142" s="308"/>
      <c r="E142" s="308"/>
      <c r="F142" s="309"/>
      <c r="G142" s="310"/>
    </row>
    <row r="143" spans="1:13" ht="15.75" customHeight="1" x14ac:dyDescent="0.2">
      <c r="A143" s="311" t="s">
        <v>561</v>
      </c>
      <c r="B143" s="312"/>
      <c r="C143" s="313">
        <f>C138/200</f>
        <v>0</v>
      </c>
      <c r="D143" s="313"/>
      <c r="E143" s="313"/>
      <c r="F143" s="314"/>
      <c r="G143" s="315"/>
    </row>
    <row r="144" spans="1:13" x14ac:dyDescent="0.2">
      <c r="A144" s="316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022" ht="14.25" customHeight="1" x14ac:dyDescent="0.2">
      <c r="A145" s="1023" t="s">
        <v>562</v>
      </c>
      <c r="B145" s="1023"/>
      <c r="C145" s="1023" t="s">
        <v>563</v>
      </c>
      <c r="D145" s="1023"/>
      <c r="E145" s="1029" t="s">
        <v>564</v>
      </c>
      <c r="F145" s="1030"/>
      <c r="G145" s="1025" t="s">
        <v>565</v>
      </c>
      <c r="H145" s="1025"/>
      <c r="I145" s="1025" t="s">
        <v>566</v>
      </c>
      <c r="J145" s="1025"/>
      <c r="K145" s="1025" t="s">
        <v>567</v>
      </c>
      <c r="L145" s="1025"/>
      <c r="AMH145"/>
    </row>
    <row r="146" spans="1:1022" ht="38.25" x14ac:dyDescent="0.2">
      <c r="A146" s="347" t="s">
        <v>568</v>
      </c>
      <c r="B146" s="348" t="s">
        <v>569</v>
      </c>
      <c r="C146" s="348" t="s">
        <v>570</v>
      </c>
      <c r="D146" s="348" t="s">
        <v>571</v>
      </c>
      <c r="E146" s="348" t="s">
        <v>570</v>
      </c>
      <c r="F146" s="348" t="s">
        <v>571</v>
      </c>
      <c r="G146" s="348" t="s">
        <v>570</v>
      </c>
      <c r="H146" s="348" t="s">
        <v>571</v>
      </c>
      <c r="I146" s="348" t="s">
        <v>570</v>
      </c>
      <c r="J146" s="348" t="s">
        <v>571</v>
      </c>
      <c r="K146" s="348" t="s">
        <v>570</v>
      </c>
      <c r="L146" s="348" t="s">
        <v>571</v>
      </c>
      <c r="AMH146"/>
    </row>
    <row r="147" spans="1:1022" x14ac:dyDescent="0.2">
      <c r="A147" s="349" t="s">
        <v>572</v>
      </c>
      <c r="B147" s="350">
        <f>1/'Prod. GEXLON'!C20</f>
        <v>1.25E-3</v>
      </c>
      <c r="C147" s="351">
        <f>C134</f>
        <v>0</v>
      </c>
      <c r="D147" s="351">
        <f>B147*C147</f>
        <v>0</v>
      </c>
      <c r="E147" s="351">
        <f>C135</f>
        <v>0</v>
      </c>
      <c r="F147" s="351">
        <f>B147*E147</f>
        <v>0</v>
      </c>
      <c r="G147" s="351">
        <f>C136</f>
        <v>0</v>
      </c>
      <c r="H147" s="351">
        <f>B147*G147</f>
        <v>0</v>
      </c>
      <c r="I147" s="351">
        <f>C137</f>
        <v>0</v>
      </c>
      <c r="J147" s="351">
        <f>B147*I147</f>
        <v>0</v>
      </c>
      <c r="K147" s="351">
        <f>C138</f>
        <v>0</v>
      </c>
      <c r="L147" s="351">
        <f>B147*K147</f>
        <v>0</v>
      </c>
      <c r="AMH147"/>
    </row>
    <row r="148" spans="1:1022" x14ac:dyDescent="0.2">
      <c r="A148" s="352" t="s">
        <v>573</v>
      </c>
      <c r="B148" s="350">
        <f>B147/'Prod. GEXLON'!P20</f>
        <v>4.3103448275862072E-5</v>
      </c>
      <c r="C148" s="351">
        <f>G138</f>
        <v>0</v>
      </c>
      <c r="D148" s="351">
        <f>C148*B148</f>
        <v>0</v>
      </c>
      <c r="E148" s="351">
        <f>G138</f>
        <v>0</v>
      </c>
      <c r="F148" s="351">
        <f>B148*E148</f>
        <v>0</v>
      </c>
      <c r="G148" s="351">
        <f>G138</f>
        <v>0</v>
      </c>
      <c r="H148" s="351">
        <f>B148*G148</f>
        <v>0</v>
      </c>
      <c r="I148" s="351">
        <f>G138</f>
        <v>0</v>
      </c>
      <c r="J148" s="351">
        <f>B148*I148</f>
        <v>0</v>
      </c>
      <c r="K148" s="351">
        <f>G138</f>
        <v>0</v>
      </c>
      <c r="L148" s="351">
        <f>B148*K148</f>
        <v>0</v>
      </c>
      <c r="M148" s="1037"/>
      <c r="N148" s="1038"/>
      <c r="O148" s="517"/>
      <c r="AMH148"/>
    </row>
    <row r="149" spans="1:1022" x14ac:dyDescent="0.2">
      <c r="A149" s="353" t="s">
        <v>576</v>
      </c>
      <c r="B149" s="354"/>
      <c r="C149" s="355"/>
      <c r="D149" s="355">
        <f>SUM(D147:D148)</f>
        <v>0</v>
      </c>
      <c r="E149" s="355"/>
      <c r="F149" s="355">
        <f>SUM(F147:F148)</f>
        <v>0</v>
      </c>
      <c r="G149" s="355"/>
      <c r="H149" s="355">
        <f>SUM(H147:H148)</f>
        <v>0</v>
      </c>
      <c r="I149" s="355"/>
      <c r="J149" s="355">
        <f>SUM(J147:J148)</f>
        <v>0</v>
      </c>
      <c r="K149" s="355"/>
      <c r="L149" s="355">
        <f>SUM(L147:L148)</f>
        <v>0</v>
      </c>
      <c r="M149" s="515"/>
      <c r="N149" s="516"/>
      <c r="AMH149"/>
    </row>
    <row r="150" spans="1:1022" x14ac:dyDescent="0.2">
      <c r="A150" s="317"/>
      <c r="B150" s="318"/>
      <c r="C150" s="318"/>
      <c r="D150" s="319"/>
      <c r="E150" s="319"/>
      <c r="F150"/>
      <c r="G150"/>
      <c r="H150"/>
      <c r="I150"/>
      <c r="J150"/>
      <c r="K150"/>
      <c r="L150"/>
      <c r="AMH150"/>
    </row>
    <row r="151" spans="1:1022" ht="14.25" customHeight="1" x14ac:dyDescent="0.2">
      <c r="A151" s="1026" t="s">
        <v>577</v>
      </c>
      <c r="B151" s="1026"/>
      <c r="C151" s="1026" t="s">
        <v>563</v>
      </c>
      <c r="D151" s="1026"/>
      <c r="E151" s="1027" t="s">
        <v>564</v>
      </c>
      <c r="F151" s="1028"/>
      <c r="G151" s="1026" t="s">
        <v>565</v>
      </c>
      <c r="H151" s="1026"/>
      <c r="I151" s="1026" t="s">
        <v>566</v>
      </c>
      <c r="J151" s="1026"/>
      <c r="K151" s="1026" t="s">
        <v>567</v>
      </c>
      <c r="L151" s="1026"/>
      <c r="AMH151"/>
    </row>
    <row r="152" spans="1:1022" ht="38.25" x14ac:dyDescent="0.2">
      <c r="A152" s="347" t="s">
        <v>568</v>
      </c>
      <c r="B152" s="348" t="s">
        <v>578</v>
      </c>
      <c r="C152" s="348" t="s">
        <v>570</v>
      </c>
      <c r="D152" s="348" t="s">
        <v>571</v>
      </c>
      <c r="E152" s="348" t="s">
        <v>570</v>
      </c>
      <c r="F152" s="348" t="s">
        <v>571</v>
      </c>
      <c r="G152" s="348" t="s">
        <v>570</v>
      </c>
      <c r="H152" s="348" t="s">
        <v>571</v>
      </c>
      <c r="I152" s="348" t="s">
        <v>570</v>
      </c>
      <c r="J152" s="348" t="s">
        <v>571</v>
      </c>
      <c r="K152" s="348" t="s">
        <v>570</v>
      </c>
      <c r="L152" s="348" t="s">
        <v>571</v>
      </c>
      <c r="AMH152"/>
    </row>
    <row r="153" spans="1:1022" x14ac:dyDescent="0.2">
      <c r="A153" s="349" t="s">
        <v>572</v>
      </c>
      <c r="B153" s="356">
        <f>1/'Prod. GEXLON'!D20</f>
        <v>6.6666666666666664E-4</v>
      </c>
      <c r="C153" s="357">
        <f>C134</f>
        <v>0</v>
      </c>
      <c r="D153" s="351">
        <f>B153*C153</f>
        <v>0</v>
      </c>
      <c r="E153" s="351">
        <f>C135</f>
        <v>0</v>
      </c>
      <c r="F153" s="351">
        <f>B153*E153</f>
        <v>0</v>
      </c>
      <c r="G153" s="351">
        <f>C136</f>
        <v>0</v>
      </c>
      <c r="H153" s="351">
        <f>B153*G153</f>
        <v>0</v>
      </c>
      <c r="I153" s="351">
        <f>C137</f>
        <v>0</v>
      </c>
      <c r="J153" s="351">
        <f>B153*I153</f>
        <v>0</v>
      </c>
      <c r="K153" s="351">
        <f>C138</f>
        <v>0</v>
      </c>
      <c r="L153" s="351">
        <f>B153*K153</f>
        <v>0</v>
      </c>
      <c r="AMH153"/>
    </row>
    <row r="154" spans="1:1022" x14ac:dyDescent="0.2">
      <c r="A154" s="352" t="s">
        <v>573</v>
      </c>
      <c r="B154" s="350">
        <f>B153/'Prod. GEXLON'!P20</f>
        <v>2.2988505747126437E-5</v>
      </c>
      <c r="C154" s="351">
        <f>G138</f>
        <v>0</v>
      </c>
      <c r="D154" s="351">
        <f>B154*C154</f>
        <v>0</v>
      </c>
      <c r="E154" s="351">
        <f>G138</f>
        <v>0</v>
      </c>
      <c r="F154" s="351">
        <f>B154*E154</f>
        <v>0</v>
      </c>
      <c r="G154" s="351">
        <f>G138</f>
        <v>0</v>
      </c>
      <c r="H154" s="351">
        <f>B154*G154</f>
        <v>0</v>
      </c>
      <c r="I154" s="351">
        <f>G138</f>
        <v>0</v>
      </c>
      <c r="J154" s="351">
        <f>B154*I154</f>
        <v>0</v>
      </c>
      <c r="K154" s="351">
        <f>G138</f>
        <v>0</v>
      </c>
      <c r="L154" s="351">
        <f>B154*K154</f>
        <v>0</v>
      </c>
      <c r="AMH154"/>
    </row>
    <row r="155" spans="1:1022" x14ac:dyDescent="0.2">
      <c r="A155" s="353" t="s">
        <v>579</v>
      </c>
      <c r="B155" s="354"/>
      <c r="C155" s="355"/>
      <c r="D155" s="355">
        <f>SUM(D153:D154)</f>
        <v>0</v>
      </c>
      <c r="E155" s="355"/>
      <c r="F155" s="355">
        <f>SUM(F153:F154)</f>
        <v>0</v>
      </c>
      <c r="G155" s="355"/>
      <c r="H155" s="355">
        <f>SUM(H153:H154)</f>
        <v>0</v>
      </c>
      <c r="I155" s="355"/>
      <c r="J155" s="355">
        <f>SUM(J153:J154)</f>
        <v>0</v>
      </c>
      <c r="K155" s="355"/>
      <c r="L155" s="355">
        <f>SUM(L153:L154)</f>
        <v>0</v>
      </c>
      <c r="AMH155"/>
    </row>
    <row r="156" spans="1:1022" x14ac:dyDescent="0.2">
      <c r="A156" s="317"/>
      <c r="B156" s="320"/>
      <c r="C156" s="320"/>
      <c r="D156" s="320"/>
      <c r="E156" s="320"/>
      <c r="F156"/>
      <c r="G156"/>
      <c r="H156"/>
      <c r="I156"/>
      <c r="J156"/>
      <c r="K156"/>
      <c r="L156"/>
      <c r="AMH156"/>
    </row>
    <row r="157" spans="1:1022" ht="14.25" customHeight="1" x14ac:dyDescent="0.2">
      <c r="A157" s="1026" t="s">
        <v>580</v>
      </c>
      <c r="B157" s="1026"/>
      <c r="C157" s="1026" t="s">
        <v>563</v>
      </c>
      <c r="D157" s="1026"/>
      <c r="E157" s="1027" t="s">
        <v>564</v>
      </c>
      <c r="F157" s="1028"/>
      <c r="G157" s="1026" t="s">
        <v>565</v>
      </c>
      <c r="H157" s="1026"/>
      <c r="I157" s="1026" t="s">
        <v>566</v>
      </c>
      <c r="J157" s="1026"/>
      <c r="K157" s="1026" t="s">
        <v>567</v>
      </c>
      <c r="L157" s="1026"/>
      <c r="AMH157"/>
    </row>
    <row r="158" spans="1:1022" ht="38.25" x14ac:dyDescent="0.2">
      <c r="A158" s="347" t="s">
        <v>568</v>
      </c>
      <c r="B158" s="348" t="s">
        <v>578</v>
      </c>
      <c r="C158" s="348" t="s">
        <v>570</v>
      </c>
      <c r="D158" s="348" t="s">
        <v>571</v>
      </c>
      <c r="E158" s="348" t="s">
        <v>570</v>
      </c>
      <c r="F158" s="348" t="s">
        <v>571</v>
      </c>
      <c r="G158" s="348" t="s">
        <v>570</v>
      </c>
      <c r="H158" s="348" t="s">
        <v>571</v>
      </c>
      <c r="I158" s="348" t="s">
        <v>570</v>
      </c>
      <c r="J158" s="348" t="s">
        <v>571</v>
      </c>
      <c r="K158" s="348" t="s">
        <v>570</v>
      </c>
      <c r="L158" s="348" t="s">
        <v>571</v>
      </c>
      <c r="AMH158"/>
    </row>
    <row r="159" spans="1:1022" x14ac:dyDescent="0.2">
      <c r="A159" s="349" t="s">
        <v>572</v>
      </c>
      <c r="B159" s="356">
        <f>1/'Prod. GEXLON'!E20</f>
        <v>1E-3</v>
      </c>
      <c r="C159" s="357">
        <f>C134</f>
        <v>0</v>
      </c>
      <c r="D159" s="351">
        <f>B159*C159</f>
        <v>0</v>
      </c>
      <c r="E159" s="351">
        <f>C135</f>
        <v>0</v>
      </c>
      <c r="F159" s="351">
        <f>B159*E159</f>
        <v>0</v>
      </c>
      <c r="G159" s="351">
        <f>C136</f>
        <v>0</v>
      </c>
      <c r="H159" s="351">
        <f>B159*G159</f>
        <v>0</v>
      </c>
      <c r="I159" s="351">
        <f>C137</f>
        <v>0</v>
      </c>
      <c r="J159" s="351">
        <f>B159*I159</f>
        <v>0</v>
      </c>
      <c r="K159" s="351">
        <f>C138</f>
        <v>0</v>
      </c>
      <c r="L159" s="351">
        <f>B159*K159</f>
        <v>0</v>
      </c>
      <c r="AMH159"/>
    </row>
    <row r="160" spans="1:1022" x14ac:dyDescent="0.2">
      <c r="A160" s="352" t="s">
        <v>573</v>
      </c>
      <c r="B160" s="350">
        <f>B159/'Prod. GEXLON'!P20</f>
        <v>3.4482758620689657E-5</v>
      </c>
      <c r="C160" s="351">
        <f>G138</f>
        <v>0</v>
      </c>
      <c r="D160" s="351">
        <f>B160*C160</f>
        <v>0</v>
      </c>
      <c r="E160" s="351">
        <f>G138</f>
        <v>0</v>
      </c>
      <c r="F160" s="351">
        <f>B160*E160</f>
        <v>0</v>
      </c>
      <c r="G160" s="351">
        <f>G138</f>
        <v>0</v>
      </c>
      <c r="H160" s="351">
        <f>B160*G160</f>
        <v>0</v>
      </c>
      <c r="I160" s="351">
        <f>G138</f>
        <v>0</v>
      </c>
      <c r="J160" s="351">
        <f>B160*I160</f>
        <v>0</v>
      </c>
      <c r="K160" s="351">
        <f>G138</f>
        <v>0</v>
      </c>
      <c r="L160" s="351">
        <f>B160*K160</f>
        <v>0</v>
      </c>
      <c r="AMH160"/>
    </row>
    <row r="161" spans="1:1022" x14ac:dyDescent="0.2">
      <c r="A161" s="353" t="s">
        <v>579</v>
      </c>
      <c r="B161" s="354"/>
      <c r="C161" s="355"/>
      <c r="D161" s="355">
        <f>SUM(D159:D160)</f>
        <v>0</v>
      </c>
      <c r="E161" s="355"/>
      <c r="F161" s="355">
        <f>SUM(F159:F160)</f>
        <v>0</v>
      </c>
      <c r="G161" s="355"/>
      <c r="H161" s="355">
        <f>SUM(H159:H160)</f>
        <v>0</v>
      </c>
      <c r="I161" s="355"/>
      <c r="J161" s="355">
        <f>SUM(J159:J160)</f>
        <v>0</v>
      </c>
      <c r="K161" s="355"/>
      <c r="L161" s="355">
        <f>SUM(L159:L160)</f>
        <v>0</v>
      </c>
      <c r="AMH161"/>
    </row>
    <row r="162" spans="1:1022" x14ac:dyDescent="0.2">
      <c r="A162" s="317"/>
      <c r="B162" s="320"/>
      <c r="C162" s="320"/>
      <c r="D162" s="320"/>
      <c r="E162" s="320"/>
      <c r="F162"/>
      <c r="G162"/>
      <c r="H162"/>
      <c r="I162"/>
      <c r="J162"/>
      <c r="K162"/>
      <c r="L162"/>
      <c r="AMH162"/>
    </row>
    <row r="163" spans="1:1022" ht="14.25" customHeight="1" x14ac:dyDescent="0.2">
      <c r="A163" s="1026" t="s">
        <v>581</v>
      </c>
      <c r="B163" s="1026"/>
      <c r="C163" s="1026" t="s">
        <v>563</v>
      </c>
      <c r="D163" s="1026"/>
      <c r="E163" s="1027" t="s">
        <v>564</v>
      </c>
      <c r="F163" s="1028"/>
      <c r="G163" s="1026" t="s">
        <v>565</v>
      </c>
      <c r="H163" s="1026"/>
      <c r="I163" s="1026" t="s">
        <v>566</v>
      </c>
      <c r="J163" s="1026"/>
      <c r="K163" s="1026" t="s">
        <v>567</v>
      </c>
      <c r="L163" s="1026"/>
      <c r="AMH163"/>
    </row>
    <row r="164" spans="1:1022" ht="38.25" x14ac:dyDescent="0.2">
      <c r="A164" s="347" t="s">
        <v>568</v>
      </c>
      <c r="B164" s="348" t="s">
        <v>578</v>
      </c>
      <c r="C164" s="348" t="s">
        <v>570</v>
      </c>
      <c r="D164" s="348" t="s">
        <v>571</v>
      </c>
      <c r="E164" s="348" t="s">
        <v>570</v>
      </c>
      <c r="F164" s="348" t="s">
        <v>571</v>
      </c>
      <c r="G164" s="348" t="s">
        <v>570</v>
      </c>
      <c r="H164" s="348" t="s">
        <v>571</v>
      </c>
      <c r="I164" s="348" t="s">
        <v>570</v>
      </c>
      <c r="J164" s="348" t="s">
        <v>571</v>
      </c>
      <c r="K164" s="348" t="s">
        <v>570</v>
      </c>
      <c r="L164" s="348" t="s">
        <v>571</v>
      </c>
      <c r="AMH164"/>
    </row>
    <row r="165" spans="1:1022" x14ac:dyDescent="0.2">
      <c r="A165" s="349" t="s">
        <v>572</v>
      </c>
      <c r="B165" s="356">
        <f>1/'Prod. GEXLON'!F20</f>
        <v>5.0000000000000001E-3</v>
      </c>
      <c r="C165" s="351">
        <f>C134</f>
        <v>0</v>
      </c>
      <c r="D165" s="351">
        <f>B165*C165</f>
        <v>0</v>
      </c>
      <c r="E165" s="351">
        <f>C135</f>
        <v>0</v>
      </c>
      <c r="F165" s="351">
        <f>B165*E165</f>
        <v>0</v>
      </c>
      <c r="G165" s="351">
        <f>C136</f>
        <v>0</v>
      </c>
      <c r="H165" s="351">
        <f>B165*G165</f>
        <v>0</v>
      </c>
      <c r="I165" s="351">
        <f>C137</f>
        <v>0</v>
      </c>
      <c r="J165" s="351">
        <f>B165*I165</f>
        <v>0</v>
      </c>
      <c r="K165" s="351">
        <f>C138</f>
        <v>0</v>
      </c>
      <c r="L165" s="351">
        <f>B165*K165</f>
        <v>0</v>
      </c>
      <c r="AMH165"/>
    </row>
    <row r="166" spans="1:1022" x14ac:dyDescent="0.2">
      <c r="A166" s="352" t="s">
        <v>573</v>
      </c>
      <c r="B166" s="350">
        <f>B165/'Prod. GEXLON'!P20</f>
        <v>1.7241379310344829E-4</v>
      </c>
      <c r="C166" s="351">
        <f>G138</f>
        <v>0</v>
      </c>
      <c r="D166" s="351">
        <f>C166*B166</f>
        <v>0</v>
      </c>
      <c r="E166" s="351">
        <f>G138</f>
        <v>0</v>
      </c>
      <c r="F166" s="351">
        <f>B166*E166</f>
        <v>0</v>
      </c>
      <c r="G166" s="351">
        <f>G138</f>
        <v>0</v>
      </c>
      <c r="H166" s="351">
        <f>B166*G166</f>
        <v>0</v>
      </c>
      <c r="I166" s="351">
        <f>G138</f>
        <v>0</v>
      </c>
      <c r="J166" s="351">
        <f>B166*I166</f>
        <v>0</v>
      </c>
      <c r="K166" s="351">
        <f>G138</f>
        <v>0</v>
      </c>
      <c r="L166" s="351">
        <f>B166*K166</f>
        <v>0</v>
      </c>
      <c r="AMH166"/>
    </row>
    <row r="167" spans="1:1022" x14ac:dyDescent="0.2">
      <c r="A167" s="353" t="s">
        <v>579</v>
      </c>
      <c r="B167" s="354"/>
      <c r="C167" s="355"/>
      <c r="D167" s="355">
        <f>SUM(D165:D166)</f>
        <v>0</v>
      </c>
      <c r="E167" s="355"/>
      <c r="F167" s="355">
        <f>SUM(F165:F166)</f>
        <v>0</v>
      </c>
      <c r="G167" s="355"/>
      <c r="H167" s="355">
        <f>SUM(H165:H166)</f>
        <v>0</v>
      </c>
      <c r="I167" s="355"/>
      <c r="J167" s="355">
        <f>SUM(J165:J166)</f>
        <v>0</v>
      </c>
      <c r="K167" s="355"/>
      <c r="L167" s="355">
        <f>SUM(L165:L166)</f>
        <v>0</v>
      </c>
      <c r="AMH167"/>
    </row>
    <row r="168" spans="1:1022" x14ac:dyDescent="0.2">
      <c r="A168" s="317"/>
      <c r="B168" s="321"/>
      <c r="C168" s="321"/>
      <c r="D168" s="321"/>
      <c r="E168" s="321"/>
      <c r="AMH168"/>
    </row>
    <row r="169" spans="1:1022" ht="14.25" customHeight="1" x14ac:dyDescent="0.2">
      <c r="A169" s="1031" t="s">
        <v>582</v>
      </c>
      <c r="B169" s="1031"/>
      <c r="C169" s="1031" t="s">
        <v>563</v>
      </c>
      <c r="D169" s="1031"/>
      <c r="E169" s="1035" t="s">
        <v>564</v>
      </c>
      <c r="F169" s="1036"/>
      <c r="G169" s="1031" t="s">
        <v>565</v>
      </c>
      <c r="H169" s="1031"/>
      <c r="I169" s="1031" t="s">
        <v>566</v>
      </c>
      <c r="J169" s="1031"/>
      <c r="K169" s="1031" t="s">
        <v>567</v>
      </c>
      <c r="L169" s="1031"/>
      <c r="AMH169"/>
    </row>
    <row r="170" spans="1:1022" ht="38.25" x14ac:dyDescent="0.2">
      <c r="A170" s="347" t="s">
        <v>568</v>
      </c>
      <c r="B170" s="348" t="s">
        <v>578</v>
      </c>
      <c r="C170" s="348" t="s">
        <v>570</v>
      </c>
      <c r="D170" s="348" t="s">
        <v>571</v>
      </c>
      <c r="E170" s="348" t="s">
        <v>570</v>
      </c>
      <c r="F170" s="348" t="s">
        <v>571</v>
      </c>
      <c r="G170" s="348" t="s">
        <v>570</v>
      </c>
      <c r="H170" s="348" t="s">
        <v>571</v>
      </c>
      <c r="I170" s="348" t="s">
        <v>570</v>
      </c>
      <c r="J170" s="348" t="s">
        <v>571</v>
      </c>
      <c r="K170" s="348" t="s">
        <v>570</v>
      </c>
      <c r="L170" s="348" t="s">
        <v>571</v>
      </c>
      <c r="AMH170"/>
    </row>
    <row r="171" spans="1:1022" x14ac:dyDescent="0.2">
      <c r="A171" s="349" t="s">
        <v>583</v>
      </c>
      <c r="B171" s="356">
        <f>1/'Prod. GEXLON'!G20</f>
        <v>3.7037037037037035E-4</v>
      </c>
      <c r="C171" s="351">
        <f>C134</f>
        <v>0</v>
      </c>
      <c r="D171" s="351">
        <f>B171*C171</f>
        <v>0</v>
      </c>
      <c r="E171" s="351">
        <f>C135</f>
        <v>0</v>
      </c>
      <c r="F171" s="351">
        <f>B171*E171</f>
        <v>0</v>
      </c>
      <c r="G171" s="351">
        <f>C136</f>
        <v>0</v>
      </c>
      <c r="H171" s="351">
        <f>B171*G171</f>
        <v>0</v>
      </c>
      <c r="I171" s="351">
        <f>C137</f>
        <v>0</v>
      </c>
      <c r="J171" s="351">
        <f>B171*I171</f>
        <v>0</v>
      </c>
      <c r="K171" s="351">
        <f>C138</f>
        <v>0</v>
      </c>
      <c r="L171" s="351">
        <f>B171*K171</f>
        <v>0</v>
      </c>
      <c r="AMH171"/>
    </row>
    <row r="172" spans="1:1022" x14ac:dyDescent="0.2">
      <c r="A172" s="352" t="s">
        <v>573</v>
      </c>
      <c r="B172" s="350">
        <f>B171/'Prod. GEXLON'!P20</f>
        <v>1.2771392081736908E-5</v>
      </c>
      <c r="C172" s="351">
        <f>G138</f>
        <v>0</v>
      </c>
      <c r="D172" s="351">
        <f>B172*C172</f>
        <v>0</v>
      </c>
      <c r="E172" s="351">
        <f>G138</f>
        <v>0</v>
      </c>
      <c r="F172" s="351">
        <f>B172*E172</f>
        <v>0</v>
      </c>
      <c r="G172" s="351">
        <f>G138</f>
        <v>0</v>
      </c>
      <c r="H172" s="351">
        <f>B172*G172</f>
        <v>0</v>
      </c>
      <c r="I172" s="351">
        <f>G138</f>
        <v>0</v>
      </c>
      <c r="J172" s="351">
        <f>B172*I172</f>
        <v>0</v>
      </c>
      <c r="K172" s="351">
        <f>G138</f>
        <v>0</v>
      </c>
      <c r="L172" s="351">
        <f>B172*K172</f>
        <v>0</v>
      </c>
      <c r="M172" s="1037"/>
      <c r="N172" s="1038"/>
      <c r="AMH172"/>
    </row>
    <row r="173" spans="1:1022" x14ac:dyDescent="0.2">
      <c r="A173" s="358" t="s">
        <v>584</v>
      </c>
      <c r="B173" s="359"/>
      <c r="C173" s="360"/>
      <c r="D173" s="361">
        <f>SUM(D171:D172)</f>
        <v>0</v>
      </c>
      <c r="E173" s="360"/>
      <c r="F173" s="361">
        <f>SUM(F171:F172)</f>
        <v>0</v>
      </c>
      <c r="G173" s="360"/>
      <c r="H173" s="361">
        <f>SUM(H171:H172)</f>
        <v>0</v>
      </c>
      <c r="I173" s="360"/>
      <c r="J173" s="361">
        <f>SUM(J171:J172)</f>
        <v>0</v>
      </c>
      <c r="K173" s="360"/>
      <c r="L173" s="361">
        <f>SUM(L171:L172)</f>
        <v>0</v>
      </c>
      <c r="M173" s="515"/>
      <c r="N173" s="516"/>
      <c r="AMH173"/>
    </row>
    <row r="174" spans="1:1022" x14ac:dyDescent="0.2">
      <c r="A174" s="349" t="s">
        <v>585</v>
      </c>
      <c r="B174" s="356">
        <f>1/'Prod. GEXLON'!H20</f>
        <v>1.0000000000000001E-5</v>
      </c>
      <c r="C174" s="351">
        <f>C134</f>
        <v>0</v>
      </c>
      <c r="D174" s="351">
        <f>B174*C174</f>
        <v>0</v>
      </c>
      <c r="E174" s="351">
        <f>C135</f>
        <v>0</v>
      </c>
      <c r="F174" s="351">
        <f>B174*E174</f>
        <v>0</v>
      </c>
      <c r="G174" s="351">
        <f>C136</f>
        <v>0</v>
      </c>
      <c r="H174" s="351">
        <f>B174*G174</f>
        <v>0</v>
      </c>
      <c r="I174" s="351">
        <f>C137</f>
        <v>0</v>
      </c>
      <c r="J174" s="351">
        <f>B174*I174</f>
        <v>0</v>
      </c>
      <c r="K174" s="351">
        <f>C138</f>
        <v>0</v>
      </c>
      <c r="L174" s="351">
        <f>B174*K174</f>
        <v>0</v>
      </c>
      <c r="AMH174"/>
    </row>
    <row r="175" spans="1:1022" x14ac:dyDescent="0.2">
      <c r="A175" s="352" t="s">
        <v>573</v>
      </c>
      <c r="B175" s="350">
        <f>B174/'Prod. GEXLON'!P20</f>
        <v>3.4482758620689656E-7</v>
      </c>
      <c r="C175" s="351">
        <f>G138</f>
        <v>0</v>
      </c>
      <c r="D175" s="351">
        <f>B175*C175</f>
        <v>0</v>
      </c>
      <c r="E175" s="351">
        <f>G138</f>
        <v>0</v>
      </c>
      <c r="F175" s="351">
        <f>B175*E175</f>
        <v>0</v>
      </c>
      <c r="G175" s="351">
        <f>G138</f>
        <v>0</v>
      </c>
      <c r="H175" s="351">
        <f>B175*G175</f>
        <v>0</v>
      </c>
      <c r="I175" s="351">
        <f>G138</f>
        <v>0</v>
      </c>
      <c r="J175" s="351">
        <f>B175*I175</f>
        <v>0</v>
      </c>
      <c r="K175" s="351">
        <f>G138</f>
        <v>0</v>
      </c>
      <c r="L175" s="351">
        <f>B175*K175</f>
        <v>0</v>
      </c>
      <c r="AMH175"/>
    </row>
    <row r="176" spans="1:1022" x14ac:dyDescent="0.2">
      <c r="A176" s="358" t="s">
        <v>586</v>
      </c>
      <c r="B176" s="362"/>
      <c r="C176" s="360"/>
      <c r="D176" s="361">
        <f>SUM(D174:D175)</f>
        <v>0</v>
      </c>
      <c r="E176" s="360"/>
      <c r="F176" s="361">
        <f>SUM(F174:F175)</f>
        <v>0</v>
      </c>
      <c r="G176" s="360"/>
      <c r="H176" s="361">
        <f>SUM(H174:H175)</f>
        <v>0</v>
      </c>
      <c r="I176" s="360"/>
      <c r="J176" s="361">
        <f>SUM(J174:J175)</f>
        <v>0</v>
      </c>
      <c r="K176" s="360"/>
      <c r="L176" s="361">
        <f>SUM(L174:L175)</f>
        <v>0</v>
      </c>
      <c r="AMH176"/>
    </row>
    <row r="177" spans="1:1022" x14ac:dyDescent="0.2">
      <c r="A177" s="349" t="s">
        <v>587</v>
      </c>
      <c r="B177" s="356">
        <f>1/'Prod. GEXLON'!I20</f>
        <v>1.1111111111111112E-4</v>
      </c>
      <c r="C177" s="351">
        <f>C134</f>
        <v>0</v>
      </c>
      <c r="D177" s="351">
        <f>B177*C177</f>
        <v>0</v>
      </c>
      <c r="E177" s="351">
        <f>C135</f>
        <v>0</v>
      </c>
      <c r="F177" s="351">
        <f>B177*E177</f>
        <v>0</v>
      </c>
      <c r="G177" s="351">
        <f>C136</f>
        <v>0</v>
      </c>
      <c r="H177" s="351">
        <f>B177*G177</f>
        <v>0</v>
      </c>
      <c r="I177" s="351">
        <f>C137</f>
        <v>0</v>
      </c>
      <c r="J177" s="351">
        <f>B177*I177</f>
        <v>0</v>
      </c>
      <c r="K177" s="351">
        <f>C138</f>
        <v>0</v>
      </c>
      <c r="L177" s="351">
        <f>B177*K177</f>
        <v>0</v>
      </c>
      <c r="AMH177"/>
    </row>
    <row r="178" spans="1:1022" x14ac:dyDescent="0.2">
      <c r="A178" s="352" t="s">
        <v>573</v>
      </c>
      <c r="B178" s="350">
        <f>B177/'Prod. GEXLON'!P20</f>
        <v>3.8314176245210733E-6</v>
      </c>
      <c r="C178" s="351">
        <f>G138</f>
        <v>0</v>
      </c>
      <c r="D178" s="351">
        <f>B178*C178</f>
        <v>0</v>
      </c>
      <c r="E178" s="351">
        <f>G138</f>
        <v>0</v>
      </c>
      <c r="F178" s="351">
        <f>B178*E178</f>
        <v>0</v>
      </c>
      <c r="G178" s="351">
        <f>G138</f>
        <v>0</v>
      </c>
      <c r="H178" s="351">
        <f>B178*G178</f>
        <v>0</v>
      </c>
      <c r="I178" s="351">
        <f>G138</f>
        <v>0</v>
      </c>
      <c r="J178" s="351">
        <f>B178*I178</f>
        <v>0</v>
      </c>
      <c r="K178" s="351">
        <f>G138</f>
        <v>0</v>
      </c>
      <c r="L178" s="351">
        <f>B178*K178</f>
        <v>0</v>
      </c>
      <c r="AMH178"/>
    </row>
    <row r="179" spans="1:1022" x14ac:dyDescent="0.2">
      <c r="A179" s="358" t="s">
        <v>588</v>
      </c>
      <c r="B179" s="362"/>
      <c r="C179" s="360"/>
      <c r="D179" s="361">
        <f>SUM(D177:D178)</f>
        <v>0</v>
      </c>
      <c r="E179" s="360"/>
      <c r="F179" s="361">
        <f>SUM(F177:F178)</f>
        <v>0</v>
      </c>
      <c r="G179" s="360"/>
      <c r="H179" s="361">
        <f>SUM(H177:H178)</f>
        <v>0</v>
      </c>
      <c r="I179" s="360"/>
      <c r="J179" s="361">
        <f>SUM(J177:J178)</f>
        <v>0</v>
      </c>
      <c r="K179" s="360"/>
      <c r="L179" s="361">
        <f>SUM(L177:L178)</f>
        <v>0</v>
      </c>
      <c r="AMH179"/>
    </row>
    <row r="180" spans="1:1022" x14ac:dyDescent="0.2">
      <c r="A180" s="317"/>
      <c r="B180" s="320"/>
      <c r="C180" s="320"/>
      <c r="D180" s="320"/>
      <c r="E180" s="320"/>
      <c r="AMH180"/>
    </row>
    <row r="181" spans="1:1022" ht="14.25" customHeight="1" x14ac:dyDescent="0.2">
      <c r="A181" s="1034" t="s">
        <v>589</v>
      </c>
      <c r="B181" s="1034"/>
      <c r="C181" s="1034" t="s">
        <v>563</v>
      </c>
      <c r="D181" s="1034"/>
      <c r="E181" s="1032" t="s">
        <v>564</v>
      </c>
      <c r="F181" s="1033"/>
      <c r="G181" s="1034" t="s">
        <v>565</v>
      </c>
      <c r="H181" s="1034"/>
      <c r="I181" s="1034" t="s">
        <v>566</v>
      </c>
      <c r="J181" s="1034"/>
      <c r="K181" s="1034" t="s">
        <v>567</v>
      </c>
      <c r="L181" s="1034"/>
      <c r="AMH181"/>
    </row>
    <row r="182" spans="1:1022" ht="38.25" x14ac:dyDescent="0.2">
      <c r="A182" s="347" t="s">
        <v>568</v>
      </c>
      <c r="B182" s="348" t="s">
        <v>578</v>
      </c>
      <c r="C182" s="348" t="s">
        <v>570</v>
      </c>
      <c r="D182" s="348" t="s">
        <v>571</v>
      </c>
      <c r="E182" s="348" t="s">
        <v>570</v>
      </c>
      <c r="F182" s="348" t="s">
        <v>571</v>
      </c>
      <c r="G182" s="348" t="s">
        <v>570</v>
      </c>
      <c r="H182" s="348" t="s">
        <v>571</v>
      </c>
      <c r="I182" s="348" t="s">
        <v>570</v>
      </c>
      <c r="J182" s="348" t="s">
        <v>571</v>
      </c>
      <c r="K182" s="348" t="s">
        <v>570</v>
      </c>
      <c r="L182" s="348" t="s">
        <v>571</v>
      </c>
      <c r="AMH182"/>
    </row>
    <row r="183" spans="1:1022" x14ac:dyDescent="0.2">
      <c r="A183" s="363" t="s">
        <v>590</v>
      </c>
      <c r="B183" s="356">
        <f>(1/'Prod. GEXLON'!J20)*(1/(30/7*44*6))*8</f>
        <v>4.4191919191919199E-5</v>
      </c>
      <c r="C183" s="788">
        <f>F134</f>
        <v>0</v>
      </c>
      <c r="D183" s="351">
        <f>B183*C183</f>
        <v>0</v>
      </c>
      <c r="E183" s="788">
        <f>F135</f>
        <v>0</v>
      </c>
      <c r="F183" s="351">
        <f>B183*E183</f>
        <v>0</v>
      </c>
      <c r="G183" s="788">
        <f>F136</f>
        <v>0</v>
      </c>
      <c r="H183" s="351">
        <f>B183*G183</f>
        <v>0</v>
      </c>
      <c r="I183" s="788">
        <f>F137</f>
        <v>0</v>
      </c>
      <c r="J183" s="351">
        <f>B183*I183</f>
        <v>0</v>
      </c>
      <c r="K183" s="788">
        <f>F138</f>
        <v>0</v>
      </c>
      <c r="L183" s="351">
        <f>B183*K183</f>
        <v>0</v>
      </c>
      <c r="AMH183"/>
    </row>
    <row r="184" spans="1:1022" x14ac:dyDescent="0.2">
      <c r="A184" s="352" t="s">
        <v>573</v>
      </c>
      <c r="B184" s="356">
        <f>B183/4</f>
        <v>1.10479797979798E-5</v>
      </c>
      <c r="C184" s="351">
        <f>G138</f>
        <v>0</v>
      </c>
      <c r="D184" s="351">
        <f>B184*C184</f>
        <v>0</v>
      </c>
      <c r="E184" s="351">
        <f>G138</f>
        <v>0</v>
      </c>
      <c r="F184" s="351">
        <f>B184*E184</f>
        <v>0</v>
      </c>
      <c r="G184" s="351">
        <f>G138</f>
        <v>0</v>
      </c>
      <c r="H184" s="351">
        <f>B184*G184</f>
        <v>0</v>
      </c>
      <c r="I184" s="789">
        <f>G138</f>
        <v>0</v>
      </c>
      <c r="J184" s="351">
        <f>B184*I184</f>
        <v>0</v>
      </c>
      <c r="K184" s="351">
        <f>G138</f>
        <v>0</v>
      </c>
      <c r="L184" s="351">
        <f>B184*K184</f>
        <v>0</v>
      </c>
      <c r="M184" s="1037"/>
      <c r="N184" s="1038"/>
      <c r="AMH184"/>
    </row>
    <row r="185" spans="1:1022" ht="15.75" customHeight="1" x14ac:dyDescent="0.2">
      <c r="A185" s="364" t="s">
        <v>591</v>
      </c>
      <c r="B185" s="365"/>
      <c r="C185" s="366"/>
      <c r="D185" s="367">
        <f>SUM(D183:D184)</f>
        <v>0</v>
      </c>
      <c r="E185" s="366"/>
      <c r="F185" s="367">
        <f>SUM(F183:F184)</f>
        <v>0</v>
      </c>
      <c r="G185" s="366"/>
      <c r="H185" s="367">
        <f>SUM(H183:H184)</f>
        <v>0</v>
      </c>
      <c r="I185" s="366"/>
      <c r="J185" s="367">
        <f>SUM(J183:J184)</f>
        <v>0</v>
      </c>
      <c r="K185" s="366"/>
      <c r="L185" s="367">
        <f>SUM(L183:L184)</f>
        <v>0</v>
      </c>
      <c r="M185" s="515"/>
      <c r="N185" s="516"/>
      <c r="AMH185"/>
    </row>
    <row r="186" spans="1:1022" x14ac:dyDescent="0.2">
      <c r="A186" s="363" t="s">
        <v>592</v>
      </c>
      <c r="B186" s="356">
        <f>1/'Prod. GEXLON'!K20*16*(1/188.76)</f>
        <v>2.2306242401936183E-4</v>
      </c>
      <c r="C186" s="351">
        <f>C134</f>
        <v>0</v>
      </c>
      <c r="D186" s="351">
        <f>B186*C186</f>
        <v>0</v>
      </c>
      <c r="E186" s="351">
        <f>C135</f>
        <v>0</v>
      </c>
      <c r="F186" s="351">
        <f>B186*E186</f>
        <v>0</v>
      </c>
      <c r="G186" s="351">
        <f>C136</f>
        <v>0</v>
      </c>
      <c r="H186" s="351">
        <f>B186*G186</f>
        <v>0</v>
      </c>
      <c r="I186" s="351">
        <f>C137</f>
        <v>0</v>
      </c>
      <c r="J186" s="351">
        <f>B186*I186</f>
        <v>0</v>
      </c>
      <c r="K186" s="351">
        <f>C138</f>
        <v>0</v>
      </c>
      <c r="L186" s="351">
        <f>B186*K186</f>
        <v>0</v>
      </c>
      <c r="AMH186"/>
    </row>
    <row r="187" spans="1:1022" x14ac:dyDescent="0.2">
      <c r="A187" s="352" t="s">
        <v>573</v>
      </c>
      <c r="B187" s="356">
        <f>1/('Prod. GEXLON'!P20*'Prod. GEXLON'!K20)*16*(1/188.76)</f>
        <v>7.6918077248055803E-6</v>
      </c>
      <c r="C187" s="351">
        <f>G138</f>
        <v>0</v>
      </c>
      <c r="D187" s="351">
        <f>B187*C187</f>
        <v>0</v>
      </c>
      <c r="E187" s="351">
        <f>G138</f>
        <v>0</v>
      </c>
      <c r="F187" s="351">
        <f>B187*E187</f>
        <v>0</v>
      </c>
      <c r="G187" s="351">
        <f>G138</f>
        <v>0</v>
      </c>
      <c r="H187" s="351">
        <f>B187*G187</f>
        <v>0</v>
      </c>
      <c r="I187" s="351">
        <f>G138</f>
        <v>0</v>
      </c>
      <c r="J187" s="351">
        <f>B187*I187</f>
        <v>0</v>
      </c>
      <c r="K187" s="351">
        <f>G138</f>
        <v>0</v>
      </c>
      <c r="L187" s="351">
        <f>B187*K187</f>
        <v>0</v>
      </c>
      <c r="M187" s="1037"/>
      <c r="N187" s="1038"/>
      <c r="AMH187"/>
    </row>
    <row r="188" spans="1:1022" x14ac:dyDescent="0.2">
      <c r="A188" s="364" t="s">
        <v>593</v>
      </c>
      <c r="B188" s="365"/>
      <c r="C188" s="366"/>
      <c r="D188" s="367">
        <f>SUM(D186:D187)</f>
        <v>0</v>
      </c>
      <c r="E188" s="366"/>
      <c r="F188" s="367">
        <f>SUM(F186:F187)</f>
        <v>0</v>
      </c>
      <c r="G188" s="366"/>
      <c r="H188" s="367">
        <f>SUM(H186:H187)</f>
        <v>0</v>
      </c>
      <c r="I188" s="366"/>
      <c r="J188" s="367">
        <f>SUM(J186:J187)</f>
        <v>0</v>
      </c>
      <c r="K188" s="366"/>
      <c r="L188" s="367">
        <f>SUM(L186:L187)</f>
        <v>0</v>
      </c>
      <c r="M188" s="515"/>
      <c r="N188" s="516"/>
      <c r="AMH188"/>
    </row>
    <row r="189" spans="1:1022" x14ac:dyDescent="0.2">
      <c r="A189" s="349" t="s">
        <v>594</v>
      </c>
      <c r="B189" s="356">
        <f>1/'Prod. GEXLON'!L20*16*(1/188.76)</f>
        <v>2.2306242401936183E-4</v>
      </c>
      <c r="C189" s="351">
        <f>C134</f>
        <v>0</v>
      </c>
      <c r="D189" s="351">
        <f>B189*C189</f>
        <v>0</v>
      </c>
      <c r="E189" s="351">
        <f>C135</f>
        <v>0</v>
      </c>
      <c r="F189" s="351">
        <f>B189*E189</f>
        <v>0</v>
      </c>
      <c r="G189" s="351">
        <f>C136</f>
        <v>0</v>
      </c>
      <c r="H189" s="351">
        <f>B189*G189</f>
        <v>0</v>
      </c>
      <c r="I189" s="351">
        <f>C137</f>
        <v>0</v>
      </c>
      <c r="J189" s="351">
        <f>B189*I189</f>
        <v>0</v>
      </c>
      <c r="K189" s="351">
        <f>C138</f>
        <v>0</v>
      </c>
      <c r="L189" s="351">
        <f>B189*K189</f>
        <v>0</v>
      </c>
      <c r="AMH189"/>
    </row>
    <row r="190" spans="1:1022" x14ac:dyDescent="0.2">
      <c r="A190" s="352" t="s">
        <v>573</v>
      </c>
      <c r="B190" s="356">
        <f>1/('Prod. GEXLON'!P20*'Prod. GEXLON'!L20)*16*(1/188.76)</f>
        <v>7.6918077248055803E-6</v>
      </c>
      <c r="C190" s="351">
        <f>G138</f>
        <v>0</v>
      </c>
      <c r="D190" s="351">
        <f>B190*C190</f>
        <v>0</v>
      </c>
      <c r="E190" s="351">
        <f>G138</f>
        <v>0</v>
      </c>
      <c r="F190" s="351">
        <f>B190*E190</f>
        <v>0</v>
      </c>
      <c r="G190" s="351">
        <f>G138</f>
        <v>0</v>
      </c>
      <c r="H190" s="351">
        <f>B190*G190</f>
        <v>0</v>
      </c>
      <c r="I190" s="351">
        <f>G138</f>
        <v>0</v>
      </c>
      <c r="J190" s="351">
        <f>B190*I190</f>
        <v>0</v>
      </c>
      <c r="K190" s="351">
        <f>G138</f>
        <v>0</v>
      </c>
      <c r="L190" s="351">
        <f>B190*K190</f>
        <v>0</v>
      </c>
      <c r="M190" s="1037"/>
      <c r="N190" s="1038"/>
      <c r="AMH190"/>
    </row>
    <row r="191" spans="1:1022" x14ac:dyDescent="0.2">
      <c r="A191" s="364" t="s">
        <v>595</v>
      </c>
      <c r="B191" s="365"/>
      <c r="C191" s="366"/>
      <c r="D191" s="367">
        <f>SUM(D189:D190)</f>
        <v>0</v>
      </c>
      <c r="E191" s="366"/>
      <c r="F191" s="367">
        <f>SUM(F189:F190)</f>
        <v>0</v>
      </c>
      <c r="G191" s="366"/>
      <c r="H191" s="367">
        <f>SUM(H189:H190)</f>
        <v>0</v>
      </c>
      <c r="I191" s="366"/>
      <c r="J191" s="367">
        <f>SUM(J189:J190)</f>
        <v>0</v>
      </c>
      <c r="K191" s="366"/>
      <c r="L191" s="367">
        <f>SUM(L189:L190)</f>
        <v>0</v>
      </c>
      <c r="M191" s="515"/>
      <c r="N191" s="516"/>
      <c r="AMH191"/>
    </row>
    <row r="192" spans="1:1022" x14ac:dyDescent="0.2">
      <c r="A192" s="316"/>
    </row>
  </sheetData>
  <mergeCells count="68">
    <mergeCell ref="M184:N184"/>
    <mergeCell ref="M187:N187"/>
    <mergeCell ref="M190:N190"/>
    <mergeCell ref="M172:N172"/>
    <mergeCell ref="A181:B181"/>
    <mergeCell ref="C181:D181"/>
    <mergeCell ref="E181:F181"/>
    <mergeCell ref="G181:H181"/>
    <mergeCell ref="I181:J181"/>
    <mergeCell ref="K181:L181"/>
    <mergeCell ref="K169:L169"/>
    <mergeCell ref="A163:B163"/>
    <mergeCell ref="C163:D163"/>
    <mergeCell ref="E163:F163"/>
    <mergeCell ref="G163:H163"/>
    <mergeCell ref="I163:J163"/>
    <mergeCell ref="K163:L163"/>
    <mergeCell ref="A169:B169"/>
    <mergeCell ref="C169:D169"/>
    <mergeCell ref="E169:F169"/>
    <mergeCell ref="G169:H169"/>
    <mergeCell ref="I169:J169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K151:L151"/>
    <mergeCell ref="A151:B151"/>
    <mergeCell ref="C151:D151"/>
    <mergeCell ref="E151:F151"/>
    <mergeCell ref="G151:H151"/>
    <mergeCell ref="I151:J151"/>
    <mergeCell ref="E145:F145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45:B145"/>
    <mergeCell ref="C145:D145"/>
    <mergeCell ref="A124:B124"/>
    <mergeCell ref="A50:B50"/>
    <mergeCell ref="A51:G51"/>
    <mergeCell ref="A61:B61"/>
    <mergeCell ref="A62:G62"/>
    <mergeCell ref="A92:B92"/>
    <mergeCell ref="A112:A116"/>
    <mergeCell ref="A119:G119"/>
    <mergeCell ref="A120:G120"/>
    <mergeCell ref="A121:B121"/>
    <mergeCell ref="A122:B122"/>
    <mergeCell ref="A123:B123"/>
    <mergeCell ref="A21:G21"/>
    <mergeCell ref="A1:G1"/>
    <mergeCell ref="A2:G2"/>
    <mergeCell ref="A3:G3"/>
    <mergeCell ref="A9:G9"/>
    <mergeCell ref="A20:B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2779F605D534DA1B3FC3D1B1B4DA1" ma:contentTypeVersion="4" ma:contentTypeDescription="Create a new document." ma:contentTypeScope="" ma:versionID="792bdeb3ee64891d3fd5aa3829d0a470">
  <xsd:schema xmlns:xsd="http://www.w3.org/2001/XMLSchema" xmlns:xs="http://www.w3.org/2001/XMLSchema" xmlns:p="http://schemas.microsoft.com/office/2006/metadata/properties" xmlns:ns2="c3daeb68-ee4a-4fef-ab94-779009af24c2" xmlns:ns3="a1fdbba4-714c-4189-ada0-32d20d17b811" targetNamespace="http://schemas.microsoft.com/office/2006/metadata/properties" ma:root="true" ma:fieldsID="dcda8fd05be29a03d07af7c7ebb24494" ns2:_="" ns3:_="">
    <xsd:import namespace="c3daeb68-ee4a-4fef-ab94-779009af24c2"/>
    <xsd:import namespace="a1fdbba4-714c-4189-ada0-32d20d17b8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eb68-ee4a-4fef-ab94-779009af2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dbba4-714c-4189-ada0-32d20d17b8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6CCAA-D84B-4D9B-80F9-3977450D3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eb68-ee4a-4fef-ab94-779009af24c2"/>
    <ds:schemaRef ds:uri="a1fdbba4-714c-4189-ada0-32d20d17b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C9F62-CCDF-46E7-9726-75185F356D3A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1fdbba4-714c-4189-ada0-32d20d17b811"/>
    <ds:schemaRef ds:uri="c3daeb68-ee4a-4fef-ab94-779009af24c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5D858B-AF11-493D-80EE-03BC8AF891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9</vt:i4>
      </vt:variant>
    </vt:vector>
  </HeadingPairs>
  <TitlesOfParts>
    <vt:vector size="22" baseType="lpstr">
      <vt:lpstr>Modelo de Proposta</vt:lpstr>
      <vt:lpstr>MC</vt:lpstr>
      <vt:lpstr>Insumos</vt:lpstr>
      <vt:lpstr>Resumo Proposta</vt:lpstr>
      <vt:lpstr>Prod. GEXCAS</vt:lpstr>
      <vt:lpstr>GEXCAS Limp.Ord.</vt:lpstr>
      <vt:lpstr>GEXCAS Covid</vt:lpstr>
      <vt:lpstr>Prod. GEXLON</vt:lpstr>
      <vt:lpstr>GEXLON Limp.Ord. </vt:lpstr>
      <vt:lpstr>GEXLON Covid </vt:lpstr>
      <vt:lpstr>Prod. GEXMRG</vt:lpstr>
      <vt:lpstr>GEXMRG Limp.Ord. </vt:lpstr>
      <vt:lpstr>GEXMRG Covid </vt:lpstr>
      <vt:lpstr>'Prod. GEXLON'!_FiltrarBancodeDados</vt:lpstr>
      <vt:lpstr>'Modelo de Proposta'!Area_de_impressao</vt:lpstr>
      <vt:lpstr>'GEXCAS Covid'!Print_Area</vt:lpstr>
      <vt:lpstr>'GEXCAS Limp.Ord.'!Print_Area</vt:lpstr>
      <vt:lpstr>'GEXLON Covid '!Print_Area</vt:lpstr>
      <vt:lpstr>'GEXLON Limp.Ord. '!Print_Area</vt:lpstr>
      <vt:lpstr>'GEXMRG Covid '!Print_Area</vt:lpstr>
      <vt:lpstr>'GEXMRG Limp.Ord. '!Print_Area</vt:lpstr>
      <vt:lpstr>MC!Print_Area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Carolina Alves Miranda</dc:creator>
  <cp:keywords/>
  <dc:description/>
  <cp:lastModifiedBy>inss</cp:lastModifiedBy>
  <cp:revision>89</cp:revision>
  <dcterms:created xsi:type="dcterms:W3CDTF">2020-03-17T09:48:25Z</dcterms:created>
  <dcterms:modified xsi:type="dcterms:W3CDTF">2022-06-27T14:53:35Z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0x0101002802779F605D534DA1B3FC3D1B1B4DA1</vt:lpwstr>
  </property>
</Properties>
</file>