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764"/>
  </bookViews>
  <sheets>
    <sheet name="Modelo de Proposta" sheetId="16" r:id="rId1"/>
    <sheet name="MC" sheetId="1" r:id="rId2"/>
    <sheet name="Insumos" sheetId="15" r:id="rId3"/>
    <sheet name="Resumo Proposta" sheetId="5" r:id="rId4"/>
    <sheet name="Prod. GEXCTB" sheetId="6" r:id="rId5"/>
    <sheet name="GEXCTB Limp.Ord." sheetId="7" r:id="rId6"/>
    <sheet name="GEXCTB Covid" sheetId="12" r:id="rId7"/>
    <sheet name="Prod. GEXPGR" sheetId="9" r:id="rId8"/>
    <sheet name="GEXPGR Limp.Ord. " sheetId="13" r:id="rId9"/>
    <sheet name="GEXPGR Covid " sheetId="14" r:id="rId10"/>
  </sheets>
  <definedNames>
    <definedName name="_xlnm._FilterDatabase" localSheetId="7">'Prod. GEXPGR'!$A$2:$U$2</definedName>
    <definedName name="_xlnm.Print_Area" localSheetId="0">'Modelo de Proposta'!$B$1:$H$30</definedName>
    <definedName name="Print_Area" localSheetId="6">'GEXCTB Covid'!$A$1:$D$144</definedName>
    <definedName name="Print_Area" localSheetId="5">'GEXCTB Limp.Ord.'!$A$1:$D$192</definedName>
    <definedName name="Print_Area" localSheetId="9">'GEXPGR Covid '!$A$1:$D$144</definedName>
    <definedName name="Print_Area" localSheetId="8">'GEXPGR Limp.Ord. '!$A$1:$D$192</definedName>
    <definedName name="Print_Area" localSheetId="1">MC!$A$3:$V$19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4" i="1" l="1"/>
  <c r="G96" i="15"/>
  <c r="B5" i="9" l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4" i="9"/>
  <c r="C20" i="6"/>
  <c r="C22" i="6"/>
  <c r="C24" i="6"/>
  <c r="F90" i="13"/>
  <c r="B89" i="13"/>
  <c r="F89" i="13" s="1"/>
  <c r="K68" i="1"/>
  <c r="E68" i="1"/>
  <c r="C95" i="15"/>
  <c r="D95" i="15"/>
  <c r="B89" i="7"/>
  <c r="H146" i="15"/>
  <c r="H145" i="15" s="1"/>
  <c r="G133" i="15"/>
  <c r="G132" i="15"/>
  <c r="D132" i="15"/>
  <c r="I132" i="15" s="1"/>
  <c r="C132" i="15"/>
  <c r="G131" i="15"/>
  <c r="G130" i="15"/>
  <c r="G127" i="15"/>
  <c r="D127" i="15"/>
  <c r="C127" i="15"/>
  <c r="G126" i="15"/>
  <c r="D126" i="15"/>
  <c r="I126" i="15" s="1"/>
  <c r="C126" i="15"/>
  <c r="G125" i="15"/>
  <c r="D125" i="15"/>
  <c r="C125" i="15"/>
  <c r="G124" i="15"/>
  <c r="D124" i="15"/>
  <c r="I124" i="15" s="1"/>
  <c r="C124" i="15"/>
  <c r="H124" i="15" s="1"/>
  <c r="G123" i="15"/>
  <c r="D123" i="15"/>
  <c r="C123" i="15"/>
  <c r="F116" i="15"/>
  <c r="F115" i="15"/>
  <c r="F114" i="15"/>
  <c r="F113" i="15"/>
  <c r="F111" i="15"/>
  <c r="F110" i="15"/>
  <c r="F109" i="15"/>
  <c r="F108" i="15"/>
  <c r="F107" i="15"/>
  <c r="F106" i="15"/>
  <c r="I96" i="15"/>
  <c r="H96" i="15"/>
  <c r="G95" i="15"/>
  <c r="I95" i="15" s="1"/>
  <c r="G94" i="15"/>
  <c r="G93" i="15"/>
  <c r="I93" i="15" s="1"/>
  <c r="G92" i="15"/>
  <c r="G91" i="15"/>
  <c r="G90" i="15"/>
  <c r="G89" i="15"/>
  <c r="I89" i="15" s="1"/>
  <c r="G88" i="15"/>
  <c r="G87" i="15"/>
  <c r="F68" i="15"/>
  <c r="C68" i="15"/>
  <c r="F66" i="15"/>
  <c r="C66" i="15"/>
  <c r="F65" i="15"/>
  <c r="G65" i="15" s="1"/>
  <c r="F64" i="15"/>
  <c r="C64" i="15"/>
  <c r="F63" i="15"/>
  <c r="C63" i="15"/>
  <c r="F57" i="15"/>
  <c r="G57" i="15" s="1"/>
  <c r="F56" i="15"/>
  <c r="G56" i="15" s="1"/>
  <c r="F55" i="15"/>
  <c r="G55" i="15" s="1"/>
  <c r="F54" i="15"/>
  <c r="G54" i="15" s="1"/>
  <c r="F53" i="15"/>
  <c r="G53" i="15" s="1"/>
  <c r="F52" i="15"/>
  <c r="G52" i="15" s="1"/>
  <c r="F51" i="15"/>
  <c r="G51" i="15" s="1"/>
  <c r="F50" i="15"/>
  <c r="G50" i="15" s="1"/>
  <c r="F49" i="15"/>
  <c r="G49" i="15" s="1"/>
  <c r="F48" i="15"/>
  <c r="G48" i="15" s="1"/>
  <c r="F47" i="15"/>
  <c r="G47" i="15" s="1"/>
  <c r="F46" i="15"/>
  <c r="G46" i="15" s="1"/>
  <c r="F45" i="15"/>
  <c r="G45" i="15" s="1"/>
  <c r="F44" i="15"/>
  <c r="G44" i="15" s="1"/>
  <c r="F43" i="15"/>
  <c r="G43" i="15" s="1"/>
  <c r="F42" i="15"/>
  <c r="G42" i="15" s="1"/>
  <c r="F41" i="15"/>
  <c r="G41" i="15" s="1"/>
  <c r="F40" i="15"/>
  <c r="G40" i="15" s="1"/>
  <c r="F39" i="15"/>
  <c r="G39" i="15" s="1"/>
  <c r="F36" i="15"/>
  <c r="G36" i="15" s="1"/>
  <c r="F35" i="15"/>
  <c r="G35" i="15" s="1"/>
  <c r="F34" i="15"/>
  <c r="G34" i="15" s="1"/>
  <c r="F33" i="15"/>
  <c r="G33" i="15" s="1"/>
  <c r="F32" i="15"/>
  <c r="G32" i="15" s="1"/>
  <c r="F31" i="15"/>
  <c r="G31" i="15" s="1"/>
  <c r="F30" i="15"/>
  <c r="G30" i="15" s="1"/>
  <c r="F29" i="15"/>
  <c r="G29" i="15" s="1"/>
  <c r="F28" i="15"/>
  <c r="G28" i="15" s="1"/>
  <c r="F27" i="15"/>
  <c r="G27" i="15" s="1"/>
  <c r="F26" i="15"/>
  <c r="G26" i="15" s="1"/>
  <c r="F25" i="15"/>
  <c r="G25" i="15" s="1"/>
  <c r="F24" i="15"/>
  <c r="G24" i="15" s="1"/>
  <c r="F23" i="15"/>
  <c r="G23" i="15" s="1"/>
  <c r="F22" i="15"/>
  <c r="G22" i="15" s="1"/>
  <c r="F21" i="15"/>
  <c r="G21" i="15" s="1"/>
  <c r="F20" i="15"/>
  <c r="G20" i="15" s="1"/>
  <c r="F19" i="15"/>
  <c r="G19" i="15" s="1"/>
  <c r="F18" i="15"/>
  <c r="G18" i="15" s="1"/>
  <c r="F17" i="15"/>
  <c r="G17" i="15" s="1"/>
  <c r="F16" i="15"/>
  <c r="G16" i="15" s="1"/>
  <c r="F15" i="15"/>
  <c r="G15" i="15" s="1"/>
  <c r="F14" i="15"/>
  <c r="G14" i="15" s="1"/>
  <c r="F13" i="15"/>
  <c r="G13" i="15" s="1"/>
  <c r="F12" i="15"/>
  <c r="G12" i="15" s="1"/>
  <c r="F11" i="15"/>
  <c r="G11" i="15" s="1"/>
  <c r="F10" i="15"/>
  <c r="G10" i="15" s="1"/>
  <c r="F9" i="15"/>
  <c r="G9" i="15" s="1"/>
  <c r="F8" i="15"/>
  <c r="G8" i="15" s="1"/>
  <c r="F7" i="15"/>
  <c r="G7" i="15" s="1"/>
  <c r="F6" i="15"/>
  <c r="G6" i="15" s="1"/>
  <c r="F5" i="15"/>
  <c r="G5" i="15" s="1"/>
  <c r="F4" i="15"/>
  <c r="G4" i="15" s="1"/>
  <c r="F3" i="15"/>
  <c r="G3" i="15" s="1"/>
  <c r="H132" i="15" l="1"/>
  <c r="H123" i="15"/>
  <c r="H127" i="15"/>
  <c r="I123" i="15"/>
  <c r="I127" i="15"/>
  <c r="G63" i="15"/>
  <c r="G66" i="15"/>
  <c r="G64" i="15"/>
  <c r="G68" i="15"/>
  <c r="I87" i="15"/>
  <c r="H87" i="15"/>
  <c r="H88" i="15"/>
  <c r="I88" i="15"/>
  <c r="I91" i="15"/>
  <c r="H91" i="15"/>
  <c r="H92" i="15"/>
  <c r="I92" i="15"/>
  <c r="H95" i="15"/>
  <c r="G106" i="15"/>
  <c r="G109" i="15"/>
  <c r="G110" i="15"/>
  <c r="G113" i="15"/>
  <c r="G116" i="15"/>
  <c r="H126" i="15"/>
  <c r="I130" i="15"/>
  <c r="H130" i="15"/>
  <c r="H131" i="15"/>
  <c r="I131" i="15"/>
  <c r="I129" i="15" s="1"/>
  <c r="H133" i="15"/>
  <c r="I133" i="15"/>
  <c r="G108" i="15"/>
  <c r="G37" i="15"/>
  <c r="I94" i="15"/>
  <c r="H94" i="15"/>
  <c r="I90" i="15"/>
  <c r="H90" i="15"/>
  <c r="G58" i="15"/>
  <c r="G59" i="15" s="1"/>
  <c r="G69" i="15"/>
  <c r="G115" i="15"/>
  <c r="I125" i="15"/>
  <c r="I122" i="15" s="1"/>
  <c r="H125" i="15"/>
  <c r="H89" i="15"/>
  <c r="H93" i="15"/>
  <c r="G107" i="15"/>
  <c r="G111" i="15"/>
  <c r="G114" i="15"/>
  <c r="G112" i="15" s="1"/>
  <c r="G118" i="15" s="1"/>
  <c r="D6" i="5"/>
  <c r="B4" i="6" s="1"/>
  <c r="AC22" i="5"/>
  <c r="AC40" i="5" s="1"/>
  <c r="T22" i="9"/>
  <c r="S22" i="9"/>
  <c r="R22" i="9"/>
  <c r="B189" i="13"/>
  <c r="B186" i="13"/>
  <c r="B183" i="7"/>
  <c r="B183" i="13"/>
  <c r="B177" i="13"/>
  <c r="B174" i="13"/>
  <c r="B171" i="13"/>
  <c r="B165" i="13"/>
  <c r="B159" i="13"/>
  <c r="B153" i="13"/>
  <c r="B147" i="13"/>
  <c r="D121" i="14"/>
  <c r="C121" i="14"/>
  <c r="B110" i="14"/>
  <c r="B109" i="14"/>
  <c r="B107" i="14"/>
  <c r="B106" i="14"/>
  <c r="B104" i="14"/>
  <c r="B103" i="14"/>
  <c r="B101" i="14"/>
  <c r="B100" i="14"/>
  <c r="B98" i="14"/>
  <c r="B97" i="14"/>
  <c r="D78" i="14"/>
  <c r="B78" i="14"/>
  <c r="B74" i="14"/>
  <c r="B79" i="14" s="1"/>
  <c r="C72" i="14"/>
  <c r="C78" i="14" s="1"/>
  <c r="B67" i="14"/>
  <c r="B66" i="14"/>
  <c r="B64" i="14"/>
  <c r="B59" i="14"/>
  <c r="B57" i="14"/>
  <c r="B54" i="14"/>
  <c r="B40" i="14"/>
  <c r="B36" i="14"/>
  <c r="B24" i="14"/>
  <c r="B23" i="14"/>
  <c r="D8" i="14"/>
  <c r="C8" i="14"/>
  <c r="D7" i="14"/>
  <c r="C7" i="14"/>
  <c r="D6" i="14"/>
  <c r="C6" i="14"/>
  <c r="F121" i="13"/>
  <c r="E121" i="13"/>
  <c r="D121" i="13"/>
  <c r="C121" i="13"/>
  <c r="B110" i="13"/>
  <c r="B109" i="13"/>
  <c r="B107" i="13"/>
  <c r="B106" i="13"/>
  <c r="B104" i="13"/>
  <c r="B103" i="13"/>
  <c r="B101" i="13"/>
  <c r="B100" i="13"/>
  <c r="B98" i="13"/>
  <c r="B97" i="13"/>
  <c r="B96" i="13"/>
  <c r="B95" i="13"/>
  <c r="F78" i="13"/>
  <c r="E78" i="13"/>
  <c r="D78" i="13"/>
  <c r="B78" i="13"/>
  <c r="B74" i="13"/>
  <c r="B79" i="13" s="1"/>
  <c r="C72" i="13"/>
  <c r="C78" i="13" s="1"/>
  <c r="B67" i="13"/>
  <c r="B66" i="13"/>
  <c r="B64" i="13"/>
  <c r="B59" i="13"/>
  <c r="B57" i="13"/>
  <c r="B54" i="13"/>
  <c r="B40" i="13"/>
  <c r="B36" i="13"/>
  <c r="B24" i="13"/>
  <c r="B23" i="13"/>
  <c r="E18" i="13"/>
  <c r="F8" i="13"/>
  <c r="E8" i="13"/>
  <c r="D8" i="13"/>
  <c r="C8" i="13"/>
  <c r="F7" i="13"/>
  <c r="E7" i="13"/>
  <c r="D7" i="13"/>
  <c r="C7" i="13"/>
  <c r="F6" i="13"/>
  <c r="E6" i="13"/>
  <c r="D6" i="13"/>
  <c r="C6" i="13"/>
  <c r="E5" i="13"/>
  <c r="E13" i="13" s="1"/>
  <c r="AC6" i="5"/>
  <c r="AC21" i="5" s="1"/>
  <c r="B96" i="7"/>
  <c r="B95" i="7"/>
  <c r="T20" i="6"/>
  <c r="S20" i="6"/>
  <c r="R20" i="6"/>
  <c r="E5" i="7"/>
  <c r="E13" i="7" s="1"/>
  <c r="E6" i="7"/>
  <c r="F6" i="7"/>
  <c r="E7" i="7"/>
  <c r="F7" i="7"/>
  <c r="E8" i="7"/>
  <c r="F8" i="7"/>
  <c r="E18" i="7"/>
  <c r="E78" i="7"/>
  <c r="F78" i="7"/>
  <c r="E121" i="7"/>
  <c r="F121" i="7"/>
  <c r="D121" i="12"/>
  <c r="C121" i="12"/>
  <c r="B110" i="12"/>
  <c r="B109" i="12"/>
  <c r="B107" i="12"/>
  <c r="B106" i="12"/>
  <c r="B104" i="12"/>
  <c r="B103" i="12"/>
  <c r="B101" i="12"/>
  <c r="B100" i="12"/>
  <c r="B98" i="12"/>
  <c r="B97" i="12"/>
  <c r="D78" i="12"/>
  <c r="B78" i="12"/>
  <c r="B74" i="12"/>
  <c r="B79" i="12" s="1"/>
  <c r="C72" i="12"/>
  <c r="C78" i="12" s="1"/>
  <c r="B67" i="12"/>
  <c r="B66" i="12"/>
  <c r="B64" i="12"/>
  <c r="B59" i="12"/>
  <c r="B57" i="12"/>
  <c r="B54" i="12"/>
  <c r="B40" i="12"/>
  <c r="B36" i="12"/>
  <c r="B24" i="12"/>
  <c r="B23" i="12"/>
  <c r="D8" i="12"/>
  <c r="C8" i="12"/>
  <c r="D7" i="12"/>
  <c r="C7" i="12"/>
  <c r="D6" i="12"/>
  <c r="C6" i="12"/>
  <c r="B74" i="7"/>
  <c r="B67" i="7"/>
  <c r="B66" i="7"/>
  <c r="D17" i="1"/>
  <c r="E17" i="1"/>
  <c r="B189" i="7"/>
  <c r="B186" i="7"/>
  <c r="B177" i="7"/>
  <c r="B174" i="7"/>
  <c r="B171" i="7"/>
  <c r="B165" i="7"/>
  <c r="D36" i="5"/>
  <c r="D39" i="5"/>
  <c r="D38" i="5"/>
  <c r="D37" i="5"/>
  <c r="D35" i="5"/>
  <c r="D34" i="5"/>
  <c r="D33" i="5"/>
  <c r="D32" i="5"/>
  <c r="D31" i="5"/>
  <c r="D30" i="5"/>
  <c r="D26" i="5"/>
  <c r="D29" i="5"/>
  <c r="D28" i="5"/>
  <c r="D27" i="5"/>
  <c r="D25" i="5"/>
  <c r="D24" i="5"/>
  <c r="D23" i="5"/>
  <c r="D22" i="5"/>
  <c r="D20" i="5"/>
  <c r="B19" i="6" s="1"/>
  <c r="D19" i="5"/>
  <c r="B18" i="6" s="1"/>
  <c r="D18" i="5"/>
  <c r="B17" i="6" s="1"/>
  <c r="D17" i="5"/>
  <c r="B16" i="6" s="1"/>
  <c r="D16" i="5"/>
  <c r="B15" i="6" s="1"/>
  <c r="D15" i="5"/>
  <c r="B14" i="6" s="1"/>
  <c r="D14" i="5"/>
  <c r="B13" i="6" s="1"/>
  <c r="D13" i="5"/>
  <c r="B12" i="6" s="1"/>
  <c r="D12" i="5"/>
  <c r="B11" i="6" s="1"/>
  <c r="D11" i="5"/>
  <c r="B10" i="6" s="1"/>
  <c r="D10" i="5"/>
  <c r="B9" i="6" s="1"/>
  <c r="D9" i="5"/>
  <c r="B8" i="6" s="1"/>
  <c r="D8" i="5"/>
  <c r="B7" i="6" s="1"/>
  <c r="D7" i="5"/>
  <c r="B5" i="6" s="1"/>
  <c r="J33" i="9"/>
  <c r="L33" i="9" s="1"/>
  <c r="L34" i="9" s="1"/>
  <c r="J26" i="9" s="1"/>
  <c r="L26" i="9"/>
  <c r="K26" i="9"/>
  <c r="I26" i="9"/>
  <c r="H26" i="9"/>
  <c r="G26" i="9"/>
  <c r="F26" i="9"/>
  <c r="E26" i="9"/>
  <c r="D26" i="9"/>
  <c r="C26" i="9"/>
  <c r="U22" i="9"/>
  <c r="Q22" i="9"/>
  <c r="P22" i="9"/>
  <c r="O22" i="9"/>
  <c r="O24" i="9" s="1"/>
  <c r="N22" i="9"/>
  <c r="J22" i="9"/>
  <c r="I22" i="9"/>
  <c r="G22" i="9"/>
  <c r="M21" i="9"/>
  <c r="M20" i="9"/>
  <c r="M19" i="9"/>
  <c r="M18" i="9"/>
  <c r="M17" i="9"/>
  <c r="L16" i="9"/>
  <c r="M16" i="9" s="1"/>
  <c r="M15" i="9"/>
  <c r="F14" i="9"/>
  <c r="M14" i="9" s="1"/>
  <c r="F13" i="9"/>
  <c r="M13" i="9" s="1"/>
  <c r="F12" i="9"/>
  <c r="D12" i="9"/>
  <c r="M12" i="9"/>
  <c r="L11" i="9"/>
  <c r="F11" i="9"/>
  <c r="M11" i="9"/>
  <c r="K10" i="9"/>
  <c r="L9" i="9"/>
  <c r="F9" i="9"/>
  <c r="E9" i="9"/>
  <c r="D9" i="9"/>
  <c r="M9" i="9" s="1"/>
  <c r="L8" i="9"/>
  <c r="F7" i="9"/>
  <c r="E7" i="9"/>
  <c r="D7" i="9"/>
  <c r="M7" i="9" s="1"/>
  <c r="K5" i="9"/>
  <c r="F5" i="9"/>
  <c r="F22" i="9" s="1"/>
  <c r="E5" i="9"/>
  <c r="D5" i="9"/>
  <c r="H4" i="9"/>
  <c r="B159" i="7"/>
  <c r="B153" i="7"/>
  <c r="B147" i="7"/>
  <c r="D121" i="7"/>
  <c r="C121" i="7"/>
  <c r="B110" i="7"/>
  <c r="B109" i="7"/>
  <c r="B107" i="7"/>
  <c r="B106" i="7"/>
  <c r="B104" i="7"/>
  <c r="B103" i="7"/>
  <c r="B101" i="7"/>
  <c r="B100" i="7"/>
  <c r="B98" i="7"/>
  <c r="B97" i="7"/>
  <c r="D78" i="7"/>
  <c r="B78" i="7"/>
  <c r="B79" i="7"/>
  <c r="C72" i="7"/>
  <c r="C78" i="7" s="1"/>
  <c r="B64" i="7"/>
  <c r="B59" i="7"/>
  <c r="B57" i="7"/>
  <c r="B54" i="7"/>
  <c r="B40" i="7"/>
  <c r="B36" i="7"/>
  <c r="B24" i="7"/>
  <c r="B23" i="7"/>
  <c r="D8" i="7"/>
  <c r="C8" i="7"/>
  <c r="D7" i="7"/>
  <c r="C7" i="7"/>
  <c r="D6" i="7"/>
  <c r="C6" i="7"/>
  <c r="J31" i="6"/>
  <c r="L31" i="6" s="1"/>
  <c r="L32" i="6" s="1"/>
  <c r="L24" i="6"/>
  <c r="K24" i="6"/>
  <c r="J24" i="6"/>
  <c r="I24" i="6"/>
  <c r="H24" i="6"/>
  <c r="G24" i="6"/>
  <c r="F24" i="6"/>
  <c r="E24" i="6"/>
  <c r="D24" i="6"/>
  <c r="U20" i="6"/>
  <c r="C25" i="6" s="1"/>
  <c r="Q20" i="6"/>
  <c r="P20" i="6"/>
  <c r="O20" i="6"/>
  <c r="N20" i="6"/>
  <c r="L20" i="6"/>
  <c r="K20" i="6"/>
  <c r="J20" i="6"/>
  <c r="I20" i="6"/>
  <c r="H20" i="6"/>
  <c r="G20" i="6"/>
  <c r="F20" i="6"/>
  <c r="E20" i="6"/>
  <c r="D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5" i="6"/>
  <c r="M4" i="6"/>
  <c r="W40" i="5"/>
  <c r="S40" i="5"/>
  <c r="Q40" i="5"/>
  <c r="M40" i="5"/>
  <c r="K32" i="5"/>
  <c r="K31" i="5"/>
  <c r="K30" i="5"/>
  <c r="G30" i="5"/>
  <c r="K29" i="5"/>
  <c r="U28" i="5"/>
  <c r="K27" i="5"/>
  <c r="I27" i="5"/>
  <c r="G27" i="5"/>
  <c r="K25" i="5"/>
  <c r="I25" i="5"/>
  <c r="G25" i="5"/>
  <c r="U23" i="5"/>
  <c r="K23" i="5"/>
  <c r="I23" i="5"/>
  <c r="I40" i="5" s="1"/>
  <c r="G23" i="5"/>
  <c r="O22" i="5"/>
  <c r="W21" i="5"/>
  <c r="U21" i="5"/>
  <c r="S21" i="5"/>
  <c r="Q21" i="5"/>
  <c r="O21" i="5"/>
  <c r="M21" i="5"/>
  <c r="K21" i="5"/>
  <c r="I21" i="5"/>
  <c r="G21" i="5"/>
  <c r="E21" i="5"/>
  <c r="J86" i="1"/>
  <c r="K85" i="1"/>
  <c r="L85" i="1" s="1"/>
  <c r="K84" i="1"/>
  <c r="L84" i="1" s="1"/>
  <c r="K83" i="1"/>
  <c r="E83" i="1"/>
  <c r="F83" i="1" s="1"/>
  <c r="K82" i="1"/>
  <c r="E82" i="1"/>
  <c r="F82" i="1" s="1"/>
  <c r="K81" i="1"/>
  <c r="E81" i="1"/>
  <c r="F81" i="1" s="1"/>
  <c r="K80" i="1"/>
  <c r="L80" i="1" s="1"/>
  <c r="E80" i="1"/>
  <c r="F80" i="1" s="1"/>
  <c r="K79" i="1"/>
  <c r="E79" i="1"/>
  <c r="F79" i="1" s="1"/>
  <c r="K78" i="1"/>
  <c r="L78" i="1" s="1"/>
  <c r="E78" i="1"/>
  <c r="F78" i="1" s="1"/>
  <c r="K77" i="1"/>
  <c r="L77" i="1" s="1"/>
  <c r="E77" i="1"/>
  <c r="F77" i="1" s="1"/>
  <c r="K76" i="1"/>
  <c r="L76" i="1" s="1"/>
  <c r="E76" i="1"/>
  <c r="F76" i="1" s="1"/>
  <c r="K75" i="1"/>
  <c r="L75" i="1" s="1"/>
  <c r="E75" i="1"/>
  <c r="F75" i="1" s="1"/>
  <c r="K74" i="1"/>
  <c r="L74" i="1" s="1"/>
  <c r="E74" i="1"/>
  <c r="F74" i="1" s="1"/>
  <c r="K73" i="1"/>
  <c r="L73" i="1" s="1"/>
  <c r="E73" i="1"/>
  <c r="F73" i="1" s="1"/>
  <c r="K72" i="1"/>
  <c r="L72" i="1" s="1"/>
  <c r="E72" i="1"/>
  <c r="F72" i="1" s="1"/>
  <c r="K71" i="1"/>
  <c r="L71" i="1" s="1"/>
  <c r="E71" i="1"/>
  <c r="F71" i="1" s="1"/>
  <c r="K70" i="1"/>
  <c r="L70" i="1" s="1"/>
  <c r="E70" i="1"/>
  <c r="K69" i="1"/>
  <c r="L69" i="1" s="1"/>
  <c r="E69" i="1"/>
  <c r="F69" i="1" s="1"/>
  <c r="E51" i="1"/>
  <c r="E24" i="1"/>
  <c r="E23" i="1"/>
  <c r="E21" i="1"/>
  <c r="E16" i="1"/>
  <c r="E14" i="7" l="1"/>
  <c r="E19" i="7" s="1"/>
  <c r="AC42" i="5"/>
  <c r="G12" i="16" s="1"/>
  <c r="H12" i="16" s="1"/>
  <c r="C87" i="13"/>
  <c r="C87" i="7"/>
  <c r="C87" i="12"/>
  <c r="C87" i="14"/>
  <c r="H122" i="15"/>
  <c r="F84" i="7"/>
  <c r="F84" i="13"/>
  <c r="B85" i="12"/>
  <c r="B85" i="14"/>
  <c r="B85" i="13"/>
  <c r="B85" i="7"/>
  <c r="H97" i="15"/>
  <c r="H98" i="15" s="1"/>
  <c r="I97" i="15"/>
  <c r="I98" i="15" s="1"/>
  <c r="E22" i="9"/>
  <c r="K22" i="9"/>
  <c r="K24" i="9" s="1"/>
  <c r="M20" i="6"/>
  <c r="O22" i="6"/>
  <c r="C39" i="14"/>
  <c r="F39" i="13"/>
  <c r="E39" i="13"/>
  <c r="C39" i="13"/>
  <c r="E40" i="7"/>
  <c r="E40" i="13"/>
  <c r="B41" i="12"/>
  <c r="B41" i="14"/>
  <c r="B41" i="13"/>
  <c r="F41" i="13" s="1"/>
  <c r="B42" i="12"/>
  <c r="B42" i="14"/>
  <c r="B42" i="13"/>
  <c r="B65" i="14"/>
  <c r="B65" i="13"/>
  <c r="J23" i="6"/>
  <c r="J22" i="6"/>
  <c r="C183" i="6" s="1"/>
  <c r="J24" i="9"/>
  <c r="J25" i="9"/>
  <c r="C5" i="14"/>
  <c r="C13" i="14" s="1"/>
  <c r="C14" i="14" s="1"/>
  <c r="C19" i="14" s="1"/>
  <c r="C23" i="14" s="1"/>
  <c r="C5" i="13"/>
  <c r="C13" i="13" s="1"/>
  <c r="C14" i="13" s="1"/>
  <c r="C19" i="13" s="1"/>
  <c r="C23" i="13" s="1"/>
  <c r="D5" i="14"/>
  <c r="D13" i="14" s="1"/>
  <c r="D5" i="13"/>
  <c r="D13" i="13" s="1"/>
  <c r="F5" i="7"/>
  <c r="F13" i="7" s="1"/>
  <c r="F14" i="7" s="1"/>
  <c r="F19" i="7" s="1"/>
  <c r="F5" i="13"/>
  <c r="F13" i="13" s="1"/>
  <c r="F14" i="13" s="1"/>
  <c r="F19" i="13" s="1"/>
  <c r="F23" i="13" s="1"/>
  <c r="D39" i="14"/>
  <c r="D39" i="13"/>
  <c r="G105" i="15"/>
  <c r="G117" i="15" s="1"/>
  <c r="H129" i="15"/>
  <c r="K40" i="5"/>
  <c r="U40" i="5"/>
  <c r="F89" i="7"/>
  <c r="F90" i="7"/>
  <c r="O23" i="9"/>
  <c r="B166" i="13" s="1"/>
  <c r="Q23" i="9"/>
  <c r="B148" i="13"/>
  <c r="B154" i="13"/>
  <c r="B160" i="13"/>
  <c r="B172" i="13"/>
  <c r="B175" i="13"/>
  <c r="B178" i="13"/>
  <c r="D14" i="14"/>
  <c r="D19" i="14" s="1"/>
  <c r="B25" i="14"/>
  <c r="B46" i="14" s="1"/>
  <c r="D23" i="14"/>
  <c r="B58" i="14"/>
  <c r="B47" i="14"/>
  <c r="D41" i="14"/>
  <c r="C41" i="14"/>
  <c r="D42" i="14"/>
  <c r="C42" i="14"/>
  <c r="B55" i="14"/>
  <c r="B69" i="14"/>
  <c r="B77" i="14" s="1"/>
  <c r="D14" i="13"/>
  <c r="D19" i="13" s="1"/>
  <c r="D23" i="13" s="1"/>
  <c r="E14" i="13"/>
  <c r="E19" i="13" s="1"/>
  <c r="B25" i="13"/>
  <c r="B46" i="13" s="1"/>
  <c r="E23" i="13"/>
  <c r="B58" i="13"/>
  <c r="B47" i="13"/>
  <c r="C41" i="13"/>
  <c r="F42" i="13"/>
  <c r="E42" i="13"/>
  <c r="D42" i="13"/>
  <c r="C42" i="13"/>
  <c r="B55" i="13"/>
  <c r="B69" i="13"/>
  <c r="B77" i="13" s="1"/>
  <c r="B184" i="13"/>
  <c r="E39" i="7"/>
  <c r="F39" i="7"/>
  <c r="C39" i="12"/>
  <c r="C39" i="7"/>
  <c r="B65" i="12"/>
  <c r="B65" i="7"/>
  <c r="C5" i="12"/>
  <c r="C13" i="12" s="1"/>
  <c r="C5" i="7"/>
  <c r="C13" i="7" s="1"/>
  <c r="D5" i="12"/>
  <c r="D13" i="12" s="1"/>
  <c r="D14" i="12" s="1"/>
  <c r="D19" i="12" s="1"/>
  <c r="D23" i="12" s="1"/>
  <c r="D5" i="7"/>
  <c r="D13" i="7" s="1"/>
  <c r="D39" i="12"/>
  <c r="D39" i="7"/>
  <c r="B184" i="7"/>
  <c r="C14" i="12"/>
  <c r="C19" i="12" s="1"/>
  <c r="B25" i="12"/>
  <c r="B46" i="12" s="1"/>
  <c r="C23" i="12"/>
  <c r="B58" i="12"/>
  <c r="B47" i="12"/>
  <c r="D41" i="12"/>
  <c r="C41" i="12"/>
  <c r="D42" i="12"/>
  <c r="C42" i="12"/>
  <c r="B55" i="12"/>
  <c r="B69" i="12"/>
  <c r="B77" i="12" s="1"/>
  <c r="O21" i="6"/>
  <c r="B178" i="7" s="1"/>
  <c r="Q21" i="6"/>
  <c r="B166" i="7"/>
  <c r="B172" i="7"/>
  <c r="B175" i="7"/>
  <c r="B41" i="7"/>
  <c r="B42" i="7"/>
  <c r="E84" i="1"/>
  <c r="F68" i="1"/>
  <c r="F84" i="1" s="1"/>
  <c r="K86" i="1"/>
  <c r="L68" i="1"/>
  <c r="L86" i="1" s="1"/>
  <c r="O40" i="5"/>
  <c r="G40" i="5"/>
  <c r="D22" i="6"/>
  <c r="E22" i="6"/>
  <c r="F22" i="6"/>
  <c r="G22" i="6"/>
  <c r="H22" i="6"/>
  <c r="I22" i="6"/>
  <c r="K22" i="6"/>
  <c r="L22" i="6"/>
  <c r="D25" i="6"/>
  <c r="E25" i="6"/>
  <c r="F25" i="6"/>
  <c r="G25" i="6"/>
  <c r="H25" i="6"/>
  <c r="I25" i="6"/>
  <c r="J25" i="6"/>
  <c r="K25" i="6"/>
  <c r="L25" i="6"/>
  <c r="B25" i="7"/>
  <c r="B46" i="7" s="1"/>
  <c r="B58" i="7"/>
  <c r="B47" i="7"/>
  <c r="B55" i="7"/>
  <c r="B69" i="7"/>
  <c r="B77" i="7" s="1"/>
  <c r="B148" i="7"/>
  <c r="B154" i="7"/>
  <c r="B160" i="7"/>
  <c r="H22" i="9"/>
  <c r="M4" i="9"/>
  <c r="D22" i="9"/>
  <c r="M5" i="9"/>
  <c r="E24" i="9"/>
  <c r="F24" i="9"/>
  <c r="C22" i="9"/>
  <c r="M6" i="9"/>
  <c r="M8" i="9"/>
  <c r="L10" i="9"/>
  <c r="G24" i="9"/>
  <c r="I24" i="9"/>
  <c r="C27" i="9"/>
  <c r="D27" i="9"/>
  <c r="E27" i="9"/>
  <c r="F27" i="9"/>
  <c r="G27" i="9"/>
  <c r="H27" i="9"/>
  <c r="I27" i="9"/>
  <c r="J27" i="9"/>
  <c r="K27" i="9"/>
  <c r="L27" i="9"/>
  <c r="D41" i="13" l="1"/>
  <c r="E41" i="13"/>
  <c r="F123" i="7"/>
  <c r="F24" i="7"/>
  <c r="F57" i="7"/>
  <c r="F23" i="7"/>
  <c r="F59" i="7"/>
  <c r="F54" i="7"/>
  <c r="E123" i="7"/>
  <c r="E24" i="7"/>
  <c r="E25" i="7" s="1"/>
  <c r="E23" i="7"/>
  <c r="E54" i="7"/>
  <c r="E59" i="7"/>
  <c r="E57" i="7"/>
  <c r="D87" i="13"/>
  <c r="D87" i="7"/>
  <c r="D87" i="12"/>
  <c r="D87" i="14"/>
  <c r="B84" i="12"/>
  <c r="B84" i="13"/>
  <c r="B84" i="7"/>
  <c r="B84" i="14"/>
  <c r="D85" i="14"/>
  <c r="C85" i="14"/>
  <c r="C85" i="13"/>
  <c r="D85" i="13"/>
  <c r="H99" i="15"/>
  <c r="B86" i="7" s="1"/>
  <c r="I99" i="15"/>
  <c r="B86" i="13" s="1"/>
  <c r="J87" i="1"/>
  <c r="B38" i="13" s="1"/>
  <c r="D85" i="1"/>
  <c r="B38" i="12" s="1"/>
  <c r="B38" i="14"/>
  <c r="D38" i="14" s="1"/>
  <c r="D44" i="14" s="1"/>
  <c r="D48" i="14" s="1"/>
  <c r="B190" i="13"/>
  <c r="B187" i="13"/>
  <c r="D55" i="14"/>
  <c r="C55" i="14"/>
  <c r="B60" i="14"/>
  <c r="D58" i="14"/>
  <c r="C58" i="14"/>
  <c r="D123" i="14"/>
  <c r="D59" i="14"/>
  <c r="D57" i="14"/>
  <c r="D54" i="14"/>
  <c r="D24" i="14"/>
  <c r="D25" i="14" s="1"/>
  <c r="C123" i="14"/>
  <c r="C59" i="14"/>
  <c r="C57" i="14"/>
  <c r="C54" i="14"/>
  <c r="C24" i="14"/>
  <c r="C25" i="14" s="1"/>
  <c r="F55" i="13"/>
  <c r="E55" i="13"/>
  <c r="D55" i="13"/>
  <c r="C55" i="13"/>
  <c r="B60" i="13"/>
  <c r="F58" i="13"/>
  <c r="E58" i="13"/>
  <c r="D58" i="13"/>
  <c r="C58" i="13"/>
  <c r="F123" i="13"/>
  <c r="F59" i="13"/>
  <c r="F57" i="13"/>
  <c r="F54" i="13"/>
  <c r="F24" i="13"/>
  <c r="F25" i="13" s="1"/>
  <c r="E123" i="13"/>
  <c r="E59" i="13"/>
  <c r="E57" i="13"/>
  <c r="E54" i="13"/>
  <c r="E24" i="13"/>
  <c r="E25" i="13" s="1"/>
  <c r="D123" i="13"/>
  <c r="D59" i="13"/>
  <c r="D57" i="13"/>
  <c r="D54" i="13"/>
  <c r="D24" i="13"/>
  <c r="D25" i="13" s="1"/>
  <c r="C123" i="13"/>
  <c r="C59" i="13"/>
  <c r="C57" i="13"/>
  <c r="C54" i="13"/>
  <c r="C24" i="13"/>
  <c r="C25" i="13" s="1"/>
  <c r="E55" i="7"/>
  <c r="F55" i="7"/>
  <c r="E58" i="7"/>
  <c r="F58" i="7"/>
  <c r="E42" i="7"/>
  <c r="F42" i="7"/>
  <c r="E41" i="7"/>
  <c r="F41" i="7"/>
  <c r="F25" i="7"/>
  <c r="D55" i="12"/>
  <c r="C55" i="12"/>
  <c r="B60" i="12"/>
  <c r="D58" i="12"/>
  <c r="C58" i="12"/>
  <c r="D123" i="12"/>
  <c r="D59" i="12"/>
  <c r="D57" i="12"/>
  <c r="D54" i="12"/>
  <c r="D24" i="12"/>
  <c r="D25" i="12" s="1"/>
  <c r="C123" i="12"/>
  <c r="C59" i="12"/>
  <c r="C57" i="12"/>
  <c r="C54" i="12"/>
  <c r="C24" i="12"/>
  <c r="C25" i="12" s="1"/>
  <c r="B187" i="7"/>
  <c r="B190" i="7"/>
  <c r="L22" i="9"/>
  <c r="M10" i="9"/>
  <c r="M22" i="9" s="1"/>
  <c r="C24" i="9"/>
  <c r="D24" i="9"/>
  <c r="H24" i="9"/>
  <c r="B60" i="7"/>
  <c r="M22" i="6"/>
  <c r="C23" i="6" s="1"/>
  <c r="F91" i="13"/>
  <c r="F127" i="13" s="1"/>
  <c r="F91" i="7"/>
  <c r="F127" i="7" s="1"/>
  <c r="D42" i="7"/>
  <c r="C42" i="7"/>
  <c r="D41" i="7"/>
  <c r="C41" i="7"/>
  <c r="D84" i="7" l="1"/>
  <c r="E84" i="7"/>
  <c r="C84" i="7"/>
  <c r="E84" i="13"/>
  <c r="C84" i="13"/>
  <c r="D84" i="13"/>
  <c r="D84" i="14"/>
  <c r="C84" i="14"/>
  <c r="D84" i="12"/>
  <c r="C84" i="12"/>
  <c r="C86" i="7"/>
  <c r="D86" i="7"/>
  <c r="C86" i="13"/>
  <c r="D86" i="13"/>
  <c r="C38" i="14"/>
  <c r="C44" i="14" s="1"/>
  <c r="C48" i="14" s="1"/>
  <c r="B38" i="7"/>
  <c r="L23" i="6"/>
  <c r="K23" i="6"/>
  <c r="D23" i="6"/>
  <c r="E23" i="6"/>
  <c r="F23" i="6"/>
  <c r="G23" i="6"/>
  <c r="H23" i="6"/>
  <c r="I23" i="6"/>
  <c r="L25" i="9"/>
  <c r="K25" i="9"/>
  <c r="E25" i="9"/>
  <c r="F25" i="9"/>
  <c r="G25" i="9"/>
  <c r="I25" i="9"/>
  <c r="C25" i="9"/>
  <c r="D25" i="9"/>
  <c r="H25" i="9"/>
  <c r="F38" i="13"/>
  <c r="F44" i="13" s="1"/>
  <c r="F48" i="13" s="1"/>
  <c r="E38" i="13"/>
  <c r="E44" i="13" s="1"/>
  <c r="E48" i="13" s="1"/>
  <c r="D38" i="13"/>
  <c r="D44" i="13" s="1"/>
  <c r="D48" i="13" s="1"/>
  <c r="C38" i="13"/>
  <c r="C44" i="13" s="1"/>
  <c r="C48" i="13" s="1"/>
  <c r="C46" i="14"/>
  <c r="C35" i="14"/>
  <c r="C56" i="14" s="1"/>
  <c r="C34" i="14"/>
  <c r="C33" i="14"/>
  <c r="C32" i="14"/>
  <c r="C31" i="14"/>
  <c r="C30" i="14"/>
  <c r="C29" i="14"/>
  <c r="C28" i="14"/>
  <c r="C60" i="14"/>
  <c r="C125" i="14" s="1"/>
  <c r="D46" i="14"/>
  <c r="D35" i="14"/>
  <c r="D56" i="14" s="1"/>
  <c r="D34" i="14"/>
  <c r="D33" i="14"/>
  <c r="D32" i="14"/>
  <c r="D31" i="14"/>
  <c r="D30" i="14"/>
  <c r="D29" i="14"/>
  <c r="D28" i="14"/>
  <c r="D36" i="14" s="1"/>
  <c r="D60" i="14"/>
  <c r="D125" i="14" s="1"/>
  <c r="C46" i="13"/>
  <c r="C35" i="13"/>
  <c r="C56" i="13" s="1"/>
  <c r="C34" i="13"/>
  <c r="C33" i="13"/>
  <c r="C32" i="13"/>
  <c r="C31" i="13"/>
  <c r="C30" i="13"/>
  <c r="C29" i="13"/>
  <c r="C28" i="13"/>
  <c r="C60" i="13"/>
  <c r="C125" i="13" s="1"/>
  <c r="D46" i="13"/>
  <c r="D35" i="13"/>
  <c r="D56" i="13" s="1"/>
  <c r="D34" i="13"/>
  <c r="D33" i="13"/>
  <c r="D32" i="13"/>
  <c r="D31" i="13"/>
  <c r="D30" i="13"/>
  <c r="D29" i="13"/>
  <c r="D28" i="13"/>
  <c r="D36" i="13" s="1"/>
  <c r="D60" i="13"/>
  <c r="D125" i="13" s="1"/>
  <c r="E46" i="13"/>
  <c r="E35" i="13"/>
  <c r="E56" i="13" s="1"/>
  <c r="E34" i="13"/>
  <c r="E33" i="13"/>
  <c r="E32" i="13"/>
  <c r="E31" i="13"/>
  <c r="E30" i="13"/>
  <c r="E29" i="13"/>
  <c r="E28" i="13"/>
  <c r="E60" i="13"/>
  <c r="E125" i="13" s="1"/>
  <c r="F46" i="13"/>
  <c r="F35" i="13"/>
  <c r="F56" i="13" s="1"/>
  <c r="F34" i="13"/>
  <c r="F33" i="13"/>
  <c r="F32" i="13"/>
  <c r="F31" i="13"/>
  <c r="F30" i="13"/>
  <c r="F29" i="13"/>
  <c r="F28" i="13"/>
  <c r="F36" i="13" s="1"/>
  <c r="F60" i="13"/>
  <c r="F125" i="13" s="1"/>
  <c r="D85" i="12"/>
  <c r="C85" i="12"/>
  <c r="D38" i="12"/>
  <c r="D44" i="12" s="1"/>
  <c r="D48" i="12" s="1"/>
  <c r="C38" i="12"/>
  <c r="C44" i="12" s="1"/>
  <c r="C48" i="12" s="1"/>
  <c r="E28" i="7"/>
  <c r="E29" i="7"/>
  <c r="E30" i="7"/>
  <c r="E31" i="7"/>
  <c r="E32" i="7"/>
  <c r="E33" i="7"/>
  <c r="E34" i="7"/>
  <c r="E35" i="7"/>
  <c r="E56" i="7" s="1"/>
  <c r="E60" i="7" s="1"/>
  <c r="E125" i="7" s="1"/>
  <c r="E46" i="7"/>
  <c r="F28" i="7"/>
  <c r="F29" i="7"/>
  <c r="F30" i="7"/>
  <c r="F31" i="7"/>
  <c r="F32" i="7"/>
  <c r="F33" i="7"/>
  <c r="F34" i="7"/>
  <c r="F35" i="7"/>
  <c r="F56" i="7" s="1"/>
  <c r="F60" i="7" s="1"/>
  <c r="F125" i="7" s="1"/>
  <c r="F46" i="7"/>
  <c r="C46" i="12"/>
  <c r="C35" i="12"/>
  <c r="C56" i="12" s="1"/>
  <c r="C34" i="12"/>
  <c r="C33" i="12"/>
  <c r="C32" i="12"/>
  <c r="C31" i="12"/>
  <c r="C30" i="12"/>
  <c r="C29" i="12"/>
  <c r="C28" i="12"/>
  <c r="C36" i="12" s="1"/>
  <c r="C60" i="12"/>
  <c r="C125" i="12" s="1"/>
  <c r="D46" i="12"/>
  <c r="D35" i="12"/>
  <c r="D56" i="12" s="1"/>
  <c r="D60" i="12" s="1"/>
  <c r="D125" i="12" s="1"/>
  <c r="D34" i="12"/>
  <c r="D33" i="12"/>
  <c r="D32" i="12"/>
  <c r="D31" i="12"/>
  <c r="D30" i="12"/>
  <c r="D29" i="12"/>
  <c r="D28" i="12"/>
  <c r="D85" i="7"/>
  <c r="C85" i="7"/>
  <c r="C14" i="7"/>
  <c r="C19" i="7" s="1"/>
  <c r="D14" i="7"/>
  <c r="D19" i="7" s="1"/>
  <c r="L24" i="9"/>
  <c r="M24" i="9" s="1"/>
  <c r="D36" i="12" l="1"/>
  <c r="E36" i="13"/>
  <c r="C36" i="13"/>
  <c r="C36" i="14"/>
  <c r="F38" i="7"/>
  <c r="F44" i="7" s="1"/>
  <c r="F48" i="7" s="1"/>
  <c r="E38" i="7"/>
  <c r="E44" i="7" s="1"/>
  <c r="E48" i="7" s="1"/>
  <c r="C38" i="7"/>
  <c r="C44" i="7" s="1"/>
  <c r="C48" i="7" s="1"/>
  <c r="D38" i="7"/>
  <c r="D44" i="7" s="1"/>
  <c r="D48" i="7" s="1"/>
  <c r="M25" i="9"/>
  <c r="M23" i="6"/>
  <c r="C91" i="12"/>
  <c r="C127" i="12" s="1"/>
  <c r="D91" i="12"/>
  <c r="D127" i="12" s="1"/>
  <c r="D91" i="14"/>
  <c r="D127" i="14" s="1"/>
  <c r="C91" i="14"/>
  <c r="C127" i="14" s="1"/>
  <c r="C91" i="13"/>
  <c r="C127" i="13" s="1"/>
  <c r="D91" i="13"/>
  <c r="D127" i="13" s="1"/>
  <c r="D47" i="14"/>
  <c r="D74" i="14"/>
  <c r="D79" i="14" s="1"/>
  <c r="D49" i="14"/>
  <c r="C47" i="14"/>
  <c r="C74" i="14"/>
  <c r="C79" i="14" s="1"/>
  <c r="C49" i="14"/>
  <c r="F47" i="13"/>
  <c r="F74" i="13"/>
  <c r="F79" i="13" s="1"/>
  <c r="F49" i="13"/>
  <c r="E47" i="13"/>
  <c r="E74" i="13"/>
  <c r="E79" i="13" s="1"/>
  <c r="E49" i="13"/>
  <c r="D47" i="13"/>
  <c r="D74" i="13"/>
  <c r="D79" i="13" s="1"/>
  <c r="D49" i="13"/>
  <c r="C47" i="13"/>
  <c r="C74" i="13"/>
  <c r="C79" i="13" s="1"/>
  <c r="C49" i="13"/>
  <c r="F36" i="7"/>
  <c r="E36" i="7"/>
  <c r="D59" i="7"/>
  <c r="D57" i="7"/>
  <c r="D54" i="7"/>
  <c r="D55" i="7"/>
  <c r="D58" i="7"/>
  <c r="D47" i="12"/>
  <c r="D49" i="12" s="1"/>
  <c r="D74" i="12"/>
  <c r="D79" i="12" s="1"/>
  <c r="C47" i="12"/>
  <c r="C74" i="12"/>
  <c r="C79" i="12" s="1"/>
  <c r="C49" i="12"/>
  <c r="C91" i="7"/>
  <c r="C127" i="7" s="1"/>
  <c r="D91" i="7"/>
  <c r="D127" i="7" s="1"/>
  <c r="D123" i="7"/>
  <c r="D24" i="7"/>
  <c r="D23" i="7"/>
  <c r="C123" i="7"/>
  <c r="C59" i="7"/>
  <c r="C57" i="7"/>
  <c r="C54" i="7"/>
  <c r="C24" i="7"/>
  <c r="C23" i="7"/>
  <c r="C25" i="7" s="1"/>
  <c r="C55" i="7"/>
  <c r="C58" i="7"/>
  <c r="D25" i="7" l="1"/>
  <c r="D35" i="7" s="1"/>
  <c r="D56" i="7" s="1"/>
  <c r="D60" i="7" s="1"/>
  <c r="D125" i="7" s="1"/>
  <c r="C124" i="14"/>
  <c r="C64" i="14"/>
  <c r="C65" i="14"/>
  <c r="C66" i="14"/>
  <c r="C67" i="14"/>
  <c r="D124" i="14"/>
  <c r="D64" i="14"/>
  <c r="D65" i="14"/>
  <c r="D66" i="14"/>
  <c r="D67" i="14"/>
  <c r="C124" i="13"/>
  <c r="C64" i="13"/>
  <c r="C65" i="13"/>
  <c r="C66" i="13"/>
  <c r="C67" i="13"/>
  <c r="D124" i="13"/>
  <c r="D64" i="13"/>
  <c r="D65" i="13"/>
  <c r="D66" i="13"/>
  <c r="D67" i="13"/>
  <c r="E124" i="13"/>
  <c r="E88" i="13" s="1"/>
  <c r="E64" i="13"/>
  <c r="E65" i="13"/>
  <c r="E66" i="13"/>
  <c r="E67" i="13"/>
  <c r="E68" i="13"/>
  <c r="F124" i="13"/>
  <c r="F64" i="13"/>
  <c r="F65" i="13"/>
  <c r="F66" i="13"/>
  <c r="F67" i="13"/>
  <c r="E47" i="7"/>
  <c r="E49" i="7" s="1"/>
  <c r="E74" i="7"/>
  <c r="E79" i="7" s="1"/>
  <c r="F47" i="7"/>
  <c r="F49" i="7" s="1"/>
  <c r="F74" i="7"/>
  <c r="F79" i="7" s="1"/>
  <c r="C124" i="12"/>
  <c r="C64" i="12"/>
  <c r="C65" i="12"/>
  <c r="C66" i="12"/>
  <c r="C67" i="12"/>
  <c r="D124" i="12"/>
  <c r="D64" i="12"/>
  <c r="D65" i="12"/>
  <c r="D66" i="12"/>
  <c r="D67" i="12"/>
  <c r="C46" i="7"/>
  <c r="C35" i="7"/>
  <c r="C56" i="7" s="1"/>
  <c r="C34" i="7"/>
  <c r="C33" i="7"/>
  <c r="C32" i="7"/>
  <c r="C31" i="7"/>
  <c r="C30" i="7"/>
  <c r="C29" i="7"/>
  <c r="C28" i="7"/>
  <c r="C36" i="7" s="1"/>
  <c r="C60" i="7"/>
  <c r="C125" i="7" s="1"/>
  <c r="D46" i="7"/>
  <c r="D34" i="7"/>
  <c r="D32" i="7"/>
  <c r="D30" i="7"/>
  <c r="D28" i="7"/>
  <c r="D29" i="7" l="1"/>
  <c r="D33" i="7"/>
  <c r="D31" i="7"/>
  <c r="D36" i="7" s="1"/>
  <c r="D69" i="14"/>
  <c r="D77" i="14" s="1"/>
  <c r="D80" i="14" s="1"/>
  <c r="C69" i="14"/>
  <c r="C77" i="14" s="1"/>
  <c r="C80" i="14" s="1"/>
  <c r="F69" i="13"/>
  <c r="E69" i="13"/>
  <c r="E77" i="13" s="1"/>
  <c r="E80" i="13" s="1"/>
  <c r="E91" i="13"/>
  <c r="E127" i="13" s="1"/>
  <c r="D69" i="13"/>
  <c r="D77" i="13" s="1"/>
  <c r="D80" i="13" s="1"/>
  <c r="C69" i="13"/>
  <c r="C77" i="13" s="1"/>
  <c r="C80" i="13" s="1"/>
  <c r="F124" i="7"/>
  <c r="F64" i="7"/>
  <c r="F65" i="7"/>
  <c r="F66" i="7"/>
  <c r="F67" i="7"/>
  <c r="E68" i="7"/>
  <c r="E124" i="7"/>
  <c r="E64" i="7"/>
  <c r="E65" i="7"/>
  <c r="E66" i="7"/>
  <c r="E67" i="7"/>
  <c r="D69" i="12"/>
  <c r="D77" i="12" s="1"/>
  <c r="D80" i="12" s="1"/>
  <c r="C69" i="12"/>
  <c r="C77" i="12" s="1"/>
  <c r="C80" i="12" s="1"/>
  <c r="C47" i="7"/>
  <c r="C49" i="7" s="1"/>
  <c r="C74" i="7"/>
  <c r="C79" i="7" s="1"/>
  <c r="D74" i="7" l="1"/>
  <c r="D79" i="7" s="1"/>
  <c r="D47" i="7"/>
  <c r="D49" i="7" s="1"/>
  <c r="C126" i="14"/>
  <c r="C128" i="14" s="1"/>
  <c r="C95" i="14"/>
  <c r="D126" i="14"/>
  <c r="D128" i="14" s="1"/>
  <c r="D95" i="14"/>
  <c r="C126" i="13"/>
  <c r="C128" i="13" s="1"/>
  <c r="C95" i="13"/>
  <c r="D126" i="13"/>
  <c r="D128" i="13" s="1"/>
  <c r="D95" i="13"/>
  <c r="E126" i="13"/>
  <c r="E128" i="13" s="1"/>
  <c r="E95" i="13"/>
  <c r="F126" i="13"/>
  <c r="F128" i="13" s="1"/>
  <c r="F77" i="13"/>
  <c r="F80" i="13" s="1"/>
  <c r="E69" i="7"/>
  <c r="E77" i="7" s="1"/>
  <c r="E80" i="7" s="1"/>
  <c r="E88" i="7"/>
  <c r="E91" i="7" s="1"/>
  <c r="E127" i="7" s="1"/>
  <c r="F69" i="7"/>
  <c r="C126" i="12"/>
  <c r="C128" i="12" s="1"/>
  <c r="C95" i="12"/>
  <c r="D126" i="12"/>
  <c r="D128" i="12" s="1"/>
  <c r="D95" i="12"/>
  <c r="C124" i="7"/>
  <c r="C64" i="7"/>
  <c r="C65" i="7"/>
  <c r="C66" i="7"/>
  <c r="C67" i="7"/>
  <c r="D124" i="7"/>
  <c r="D64" i="7"/>
  <c r="D65" i="7"/>
  <c r="D66" i="7"/>
  <c r="D67" i="7"/>
  <c r="D96" i="14" l="1"/>
  <c r="C96" i="14"/>
  <c r="F95" i="13"/>
  <c r="E96" i="13"/>
  <c r="D96" i="13"/>
  <c r="C96" i="13"/>
  <c r="F77" i="7"/>
  <c r="F80" i="7" s="1"/>
  <c r="F126" i="7"/>
  <c r="F128" i="7" s="1"/>
  <c r="E126" i="7"/>
  <c r="E128" i="7" s="1"/>
  <c r="E95" i="7"/>
  <c r="E96" i="7"/>
  <c r="E99" i="7" s="1"/>
  <c r="D96" i="12"/>
  <c r="C96" i="12"/>
  <c r="D69" i="7"/>
  <c r="C69" i="7"/>
  <c r="E104" i="7" l="1"/>
  <c r="E100" i="7"/>
  <c r="E109" i="7"/>
  <c r="E101" i="7"/>
  <c r="E105" i="7"/>
  <c r="E97" i="7"/>
  <c r="E108" i="7"/>
  <c r="E98" i="7"/>
  <c r="E111" i="7"/>
  <c r="E107" i="7"/>
  <c r="E103" i="7"/>
  <c r="E114" i="7" s="1"/>
  <c r="E131" i="7" s="1"/>
  <c r="E136" i="7" s="1"/>
  <c r="G183" i="7" s="1"/>
  <c r="E110" i="7"/>
  <c r="E106" i="7"/>
  <c r="E102" i="7"/>
  <c r="C111" i="14"/>
  <c r="C110" i="14"/>
  <c r="C109" i="14"/>
  <c r="C116" i="14" s="1"/>
  <c r="C133" i="14" s="1"/>
  <c r="C138" i="14" s="1"/>
  <c r="C143" i="14" s="1"/>
  <c r="C108" i="14"/>
  <c r="C107" i="14"/>
  <c r="C106" i="14"/>
  <c r="C115" i="14" s="1"/>
  <c r="C132" i="14" s="1"/>
  <c r="C137" i="14" s="1"/>
  <c r="C142" i="14" s="1"/>
  <c r="AB39" i="5" s="1"/>
  <c r="C105" i="14"/>
  <c r="C104" i="14"/>
  <c r="C103" i="14"/>
  <c r="C114" i="14" s="1"/>
  <c r="C131" i="14" s="1"/>
  <c r="C136" i="14" s="1"/>
  <c r="C102" i="14"/>
  <c r="C101" i="14"/>
  <c r="C100" i="14"/>
  <c r="C113" i="14" s="1"/>
  <c r="C130" i="14" s="1"/>
  <c r="C135" i="14" s="1"/>
  <c r="C140" i="14" s="1"/>
  <c r="AB30" i="5" s="1"/>
  <c r="C99" i="14"/>
  <c r="C98" i="14"/>
  <c r="C97" i="14"/>
  <c r="C112" i="14" s="1"/>
  <c r="C129" i="14" s="1"/>
  <c r="C134" i="14" s="1"/>
  <c r="C139" i="14" s="1"/>
  <c r="D111" i="14"/>
  <c r="D110" i="14"/>
  <c r="D109" i="14"/>
  <c r="D116" i="14" s="1"/>
  <c r="D133" i="14" s="1"/>
  <c r="D138" i="14" s="1"/>
  <c r="D108" i="14"/>
  <c r="D107" i="14"/>
  <c r="D106" i="14"/>
  <c r="D115" i="14" s="1"/>
  <c r="D132" i="14" s="1"/>
  <c r="D137" i="14" s="1"/>
  <c r="D105" i="14"/>
  <c r="D104" i="14"/>
  <c r="D103" i="14"/>
  <c r="D114" i="14" s="1"/>
  <c r="D131" i="14" s="1"/>
  <c r="D136" i="14" s="1"/>
  <c r="Z31" i="5" s="1"/>
  <c r="D102" i="14"/>
  <c r="D101" i="14"/>
  <c r="D100" i="14"/>
  <c r="D113" i="14" s="1"/>
  <c r="D130" i="14" s="1"/>
  <c r="D135" i="14" s="1"/>
  <c r="Z30" i="5" s="1"/>
  <c r="D99" i="14"/>
  <c r="D98" i="14"/>
  <c r="D97" i="14"/>
  <c r="D112" i="14" s="1"/>
  <c r="D129" i="14" s="1"/>
  <c r="D134" i="14" s="1"/>
  <c r="Z27" i="5" s="1"/>
  <c r="C111" i="13"/>
  <c r="C110" i="13"/>
  <c r="C109" i="13"/>
  <c r="C116" i="13" s="1"/>
  <c r="C133" i="13" s="1"/>
  <c r="C138" i="13" s="1"/>
  <c r="C108" i="13"/>
  <c r="C107" i="13"/>
  <c r="C106" i="13"/>
  <c r="C115" i="13" s="1"/>
  <c r="C132" i="13" s="1"/>
  <c r="C137" i="13" s="1"/>
  <c r="C105" i="13"/>
  <c r="C104" i="13"/>
  <c r="C103" i="13"/>
  <c r="C114" i="13" s="1"/>
  <c r="C131" i="13" s="1"/>
  <c r="C136" i="13" s="1"/>
  <c r="C102" i="13"/>
  <c r="C101" i="13"/>
  <c r="C100" i="13"/>
  <c r="C113" i="13" s="1"/>
  <c r="C130" i="13" s="1"/>
  <c r="C135" i="13" s="1"/>
  <c r="C99" i="13"/>
  <c r="C98" i="13"/>
  <c r="C97" i="13"/>
  <c r="C112" i="13" s="1"/>
  <c r="C129" i="13" s="1"/>
  <c r="C134" i="13" s="1"/>
  <c r="D111" i="13"/>
  <c r="D110" i="13"/>
  <c r="D109" i="13"/>
  <c r="D116" i="13" s="1"/>
  <c r="D133" i="13" s="1"/>
  <c r="D138" i="13" s="1"/>
  <c r="D108" i="13"/>
  <c r="D107" i="13"/>
  <c r="D106" i="13"/>
  <c r="D115" i="13" s="1"/>
  <c r="D132" i="13" s="1"/>
  <c r="D137" i="13" s="1"/>
  <c r="D105" i="13"/>
  <c r="D104" i="13"/>
  <c r="D103" i="13"/>
  <c r="D114" i="13" s="1"/>
  <c r="D131" i="13" s="1"/>
  <c r="D136" i="13" s="1"/>
  <c r="D102" i="13"/>
  <c r="D101" i="13"/>
  <c r="D100" i="13"/>
  <c r="D113" i="13" s="1"/>
  <c r="D130" i="13" s="1"/>
  <c r="D135" i="13" s="1"/>
  <c r="D99" i="13"/>
  <c r="D98" i="13"/>
  <c r="D97" i="13"/>
  <c r="D112" i="13" s="1"/>
  <c r="D129" i="13" s="1"/>
  <c r="D134" i="13" s="1"/>
  <c r="E111" i="13"/>
  <c r="E110" i="13"/>
  <c r="E109" i="13"/>
  <c r="E116" i="13" s="1"/>
  <c r="E133" i="13" s="1"/>
  <c r="E138" i="13" s="1"/>
  <c r="K183" i="13" s="1"/>
  <c r="E108" i="13"/>
  <c r="E107" i="13"/>
  <c r="E106" i="13"/>
  <c r="E115" i="13" s="1"/>
  <c r="E132" i="13" s="1"/>
  <c r="E137" i="13" s="1"/>
  <c r="I183" i="13" s="1"/>
  <c r="E105" i="13"/>
  <c r="E104" i="13"/>
  <c r="E103" i="13"/>
  <c r="E114" i="13" s="1"/>
  <c r="E131" i="13" s="1"/>
  <c r="E136" i="13" s="1"/>
  <c r="G183" i="13" s="1"/>
  <c r="E102" i="13"/>
  <c r="E101" i="13"/>
  <c r="E100" i="13"/>
  <c r="E113" i="13" s="1"/>
  <c r="E130" i="13" s="1"/>
  <c r="E135" i="13" s="1"/>
  <c r="E183" i="13" s="1"/>
  <c r="E99" i="13"/>
  <c r="E98" i="13"/>
  <c r="E97" i="13"/>
  <c r="E112" i="13" s="1"/>
  <c r="E129" i="13" s="1"/>
  <c r="E134" i="13" s="1"/>
  <c r="C183" i="13" s="1"/>
  <c r="F96" i="13"/>
  <c r="E112" i="7"/>
  <c r="E129" i="7" s="1"/>
  <c r="E113" i="7"/>
  <c r="E130" i="7" s="1"/>
  <c r="E135" i="7" s="1"/>
  <c r="E183" i="7" s="1"/>
  <c r="E115" i="7"/>
  <c r="E132" i="7" s="1"/>
  <c r="E137" i="7" s="1"/>
  <c r="I183" i="7" s="1"/>
  <c r="E116" i="7"/>
  <c r="E133" i="7" s="1"/>
  <c r="E134" i="7"/>
  <c r="C183" i="7" s="1"/>
  <c r="E138" i="7"/>
  <c r="K183" i="7" s="1"/>
  <c r="F95" i="7"/>
  <c r="C111" i="12"/>
  <c r="C110" i="12"/>
  <c r="C109" i="12"/>
  <c r="C116" i="12" s="1"/>
  <c r="C133" i="12" s="1"/>
  <c r="C138" i="12" s="1"/>
  <c r="C108" i="12"/>
  <c r="C107" i="12"/>
  <c r="C106" i="12"/>
  <c r="C115" i="12" s="1"/>
  <c r="C132" i="12" s="1"/>
  <c r="C137" i="12" s="1"/>
  <c r="C105" i="12"/>
  <c r="C104" i="12"/>
  <c r="C103" i="12"/>
  <c r="C114" i="12" s="1"/>
  <c r="C131" i="12" s="1"/>
  <c r="C136" i="12" s="1"/>
  <c r="C102" i="12"/>
  <c r="C101" i="12"/>
  <c r="C100" i="12"/>
  <c r="C113" i="12" s="1"/>
  <c r="C130" i="12" s="1"/>
  <c r="C135" i="12" s="1"/>
  <c r="Z10" i="5" s="1"/>
  <c r="C99" i="12"/>
  <c r="C98" i="12"/>
  <c r="C97" i="12"/>
  <c r="C112" i="12" s="1"/>
  <c r="C129" i="12" s="1"/>
  <c r="C134" i="12" s="1"/>
  <c r="D111" i="12"/>
  <c r="D110" i="12"/>
  <c r="D109" i="12"/>
  <c r="D116" i="12" s="1"/>
  <c r="D133" i="12" s="1"/>
  <c r="D138" i="12" s="1"/>
  <c r="D108" i="12"/>
  <c r="D107" i="12"/>
  <c r="D106" i="12"/>
  <c r="D115" i="12" s="1"/>
  <c r="D132" i="12" s="1"/>
  <c r="D137" i="12" s="1"/>
  <c r="Z11" i="5" s="1"/>
  <c r="D105" i="12"/>
  <c r="D104" i="12"/>
  <c r="D103" i="12"/>
  <c r="D114" i="12" s="1"/>
  <c r="D131" i="12" s="1"/>
  <c r="D136" i="12" s="1"/>
  <c r="Z17" i="5" s="1"/>
  <c r="D102" i="12"/>
  <c r="D101" i="12"/>
  <c r="D100" i="12"/>
  <c r="D113" i="12" s="1"/>
  <c r="D130" i="12" s="1"/>
  <c r="D135" i="12" s="1"/>
  <c r="Z8" i="5" s="1"/>
  <c r="D99" i="12"/>
  <c r="D98" i="12"/>
  <c r="D97" i="12"/>
  <c r="D112" i="12" s="1"/>
  <c r="D129" i="12" s="1"/>
  <c r="D134" i="12" s="1"/>
  <c r="Z14" i="5" s="1"/>
  <c r="C77" i="7"/>
  <c r="C80" i="7" s="1"/>
  <c r="D77" i="7"/>
  <c r="D80" i="7" s="1"/>
  <c r="F96" i="7" l="1"/>
  <c r="F99" i="7" s="1"/>
  <c r="F105" i="7"/>
  <c r="F98" i="7"/>
  <c r="F109" i="7"/>
  <c r="F116" i="7" s="1"/>
  <c r="F133" i="7" s="1"/>
  <c r="F138" i="7" s="1"/>
  <c r="F100" i="7"/>
  <c r="F113" i="7" s="1"/>
  <c r="F130" i="7" s="1"/>
  <c r="F135" i="7" s="1"/>
  <c r="E165" i="13"/>
  <c r="F165" i="13" s="1"/>
  <c r="F111" i="7"/>
  <c r="F103" i="7"/>
  <c r="F114" i="7" s="1"/>
  <c r="F131" i="7" s="1"/>
  <c r="F136" i="7" s="1"/>
  <c r="AB34" i="5"/>
  <c r="AB27" i="5"/>
  <c r="AB37" i="5"/>
  <c r="AB36" i="5"/>
  <c r="AB35" i="5"/>
  <c r="AB29" i="5"/>
  <c r="AB28" i="5"/>
  <c r="AB26" i="5"/>
  <c r="AB25" i="5"/>
  <c r="Z26" i="5"/>
  <c r="Z25" i="5"/>
  <c r="C141" i="14"/>
  <c r="Z24" i="5"/>
  <c r="F111" i="13"/>
  <c r="F110" i="13"/>
  <c r="F109" i="13"/>
  <c r="F116" i="13" s="1"/>
  <c r="F133" i="13" s="1"/>
  <c r="F138" i="13" s="1"/>
  <c r="F108" i="13"/>
  <c r="F107" i="13"/>
  <c r="F106" i="13"/>
  <c r="F115" i="13" s="1"/>
  <c r="F132" i="13" s="1"/>
  <c r="F137" i="13" s="1"/>
  <c r="F105" i="13"/>
  <c r="F104" i="13"/>
  <c r="F103" i="13"/>
  <c r="F114" i="13" s="1"/>
  <c r="F131" i="13" s="1"/>
  <c r="F136" i="13" s="1"/>
  <c r="F102" i="13"/>
  <c r="F101" i="13"/>
  <c r="F100" i="13"/>
  <c r="F113" i="13" s="1"/>
  <c r="F130" i="13" s="1"/>
  <c r="F135" i="13" s="1"/>
  <c r="F99" i="13"/>
  <c r="F98" i="13"/>
  <c r="F97" i="13"/>
  <c r="F112" i="13" s="1"/>
  <c r="F129" i="13" s="1"/>
  <c r="F134" i="13" s="1"/>
  <c r="C189" i="13"/>
  <c r="D189" i="13" s="1"/>
  <c r="C186" i="13"/>
  <c r="D186" i="13" s="1"/>
  <c r="D183" i="13"/>
  <c r="C177" i="13"/>
  <c r="D177" i="13" s="1"/>
  <c r="C174" i="13"/>
  <c r="D174" i="13" s="1"/>
  <c r="C171" i="13"/>
  <c r="D171" i="13" s="1"/>
  <c r="C165" i="13"/>
  <c r="D165" i="13" s="1"/>
  <c r="C159" i="13"/>
  <c r="D159" i="13" s="1"/>
  <c r="C153" i="13"/>
  <c r="D153" i="13" s="1"/>
  <c r="C147" i="13"/>
  <c r="D147" i="13" s="1"/>
  <c r="C139" i="13"/>
  <c r="E189" i="13"/>
  <c r="F189" i="13" s="1"/>
  <c r="E186" i="13"/>
  <c r="F186" i="13" s="1"/>
  <c r="F183" i="13"/>
  <c r="E177" i="13"/>
  <c r="F177" i="13" s="1"/>
  <c r="E174" i="13"/>
  <c r="F174" i="13" s="1"/>
  <c r="E171" i="13"/>
  <c r="F171" i="13" s="1"/>
  <c r="E159" i="13"/>
  <c r="F159" i="13" s="1"/>
  <c r="E153" i="13"/>
  <c r="F153" i="13" s="1"/>
  <c r="E147" i="13"/>
  <c r="F147" i="13" s="1"/>
  <c r="C140" i="13"/>
  <c r="AA30" i="5" s="1"/>
  <c r="G189" i="13"/>
  <c r="H189" i="13" s="1"/>
  <c r="G186" i="13"/>
  <c r="H186" i="13" s="1"/>
  <c r="H183" i="13"/>
  <c r="G177" i="13"/>
  <c r="H177" i="13" s="1"/>
  <c r="G174" i="13"/>
  <c r="H174" i="13" s="1"/>
  <c r="G171" i="13"/>
  <c r="H171" i="13" s="1"/>
  <c r="G165" i="13"/>
  <c r="H165" i="13" s="1"/>
  <c r="G159" i="13"/>
  <c r="H159" i="13" s="1"/>
  <c r="G153" i="13"/>
  <c r="H153" i="13" s="1"/>
  <c r="G147" i="13"/>
  <c r="H147" i="13" s="1"/>
  <c r="C141" i="13"/>
  <c r="I189" i="13"/>
  <c r="J189" i="13" s="1"/>
  <c r="I186" i="13"/>
  <c r="J186" i="13" s="1"/>
  <c r="J183" i="13"/>
  <c r="I177" i="13"/>
  <c r="J177" i="13" s="1"/>
  <c r="I174" i="13"/>
  <c r="J174" i="13" s="1"/>
  <c r="I171" i="13"/>
  <c r="J171" i="13" s="1"/>
  <c r="I165" i="13"/>
  <c r="J165" i="13" s="1"/>
  <c r="I159" i="13"/>
  <c r="J159" i="13" s="1"/>
  <c r="I153" i="13"/>
  <c r="J153" i="13" s="1"/>
  <c r="I147" i="13"/>
  <c r="J147" i="13" s="1"/>
  <c r="C142" i="13"/>
  <c r="AA39" i="5" s="1"/>
  <c r="K189" i="13"/>
  <c r="L189" i="13" s="1"/>
  <c r="K186" i="13"/>
  <c r="L186" i="13" s="1"/>
  <c r="L183" i="13"/>
  <c r="K177" i="13"/>
  <c r="L177" i="13" s="1"/>
  <c r="K174" i="13"/>
  <c r="L174" i="13" s="1"/>
  <c r="K171" i="13"/>
  <c r="L171" i="13" s="1"/>
  <c r="K165" i="13"/>
  <c r="L165" i="13" s="1"/>
  <c r="K159" i="13"/>
  <c r="L159" i="13" s="1"/>
  <c r="K153" i="13"/>
  <c r="L153" i="13" s="1"/>
  <c r="K147" i="13"/>
  <c r="L147" i="13" s="1"/>
  <c r="C143" i="13"/>
  <c r="Z13" i="5"/>
  <c r="Z12" i="5"/>
  <c r="C139" i="12"/>
  <c r="C140" i="12"/>
  <c r="C141" i="12"/>
  <c r="AB16" i="5" s="1"/>
  <c r="C142" i="12"/>
  <c r="AB11" i="5" s="1"/>
  <c r="C143" i="12"/>
  <c r="D126" i="7"/>
  <c r="D128" i="7" s="1"/>
  <c r="D95" i="7"/>
  <c r="C126" i="7"/>
  <c r="C128" i="7" s="1"/>
  <c r="C95" i="7"/>
  <c r="F110" i="7" l="1"/>
  <c r="F107" i="7"/>
  <c r="F104" i="7"/>
  <c r="F101" i="7"/>
  <c r="F102" i="7"/>
  <c r="F106" i="7"/>
  <c r="F115" i="7" s="1"/>
  <c r="F132" i="7" s="1"/>
  <c r="F137" i="7" s="1"/>
  <c r="F97" i="7"/>
  <c r="F112" i="7" s="1"/>
  <c r="F129" i="7" s="1"/>
  <c r="F134" i="7" s="1"/>
  <c r="F108" i="7"/>
  <c r="C190" i="13"/>
  <c r="D190" i="13" s="1"/>
  <c r="D191" i="13" s="1"/>
  <c r="C187" i="13"/>
  <c r="C184" i="13"/>
  <c r="C178" i="13"/>
  <c r="D178" i="13" s="1"/>
  <c r="D179" i="13" s="1"/>
  <c r="E175" i="13"/>
  <c r="F175" i="13" s="1"/>
  <c r="F176" i="13" s="1"/>
  <c r="P30" i="5" s="1"/>
  <c r="C172" i="13"/>
  <c r="E166" i="13"/>
  <c r="F166" i="13" s="1"/>
  <c r="F167" i="13" s="1"/>
  <c r="L30" i="5" s="1"/>
  <c r="G160" i="13"/>
  <c r="H160" i="13" s="1"/>
  <c r="H161" i="13" s="1"/>
  <c r="I154" i="13"/>
  <c r="J154" i="13" s="1"/>
  <c r="J155" i="13" s="1"/>
  <c r="H39" i="5" s="1"/>
  <c r="I148" i="13"/>
  <c r="I187" i="13"/>
  <c r="J187" i="13" s="1"/>
  <c r="J188" i="13" s="1"/>
  <c r="V39" i="5" s="1"/>
  <c r="I184" i="13"/>
  <c r="J184" i="13" s="1"/>
  <c r="J185" i="13" s="1"/>
  <c r="T39" i="5" s="1"/>
  <c r="I178" i="13"/>
  <c r="J178" i="13" s="1"/>
  <c r="J179" i="13" s="1"/>
  <c r="R39" i="5" s="1"/>
  <c r="I172" i="13"/>
  <c r="K160" i="13"/>
  <c r="L160" i="13" s="1"/>
  <c r="L161" i="13" s="1"/>
  <c r="C160" i="13"/>
  <c r="D160" i="13" s="1"/>
  <c r="D161" i="13" s="1"/>
  <c r="C148" i="13"/>
  <c r="D148" i="13" s="1"/>
  <c r="D149" i="13" s="1"/>
  <c r="K190" i="13"/>
  <c r="K187" i="13"/>
  <c r="L187" i="13" s="1"/>
  <c r="L188" i="13" s="1"/>
  <c r="K184" i="13"/>
  <c r="L184" i="13" s="1"/>
  <c r="L185" i="13" s="1"/>
  <c r="K178" i="13"/>
  <c r="L178" i="13" s="1"/>
  <c r="L179" i="13" s="1"/>
  <c r="K172" i="13"/>
  <c r="C175" i="13"/>
  <c r="D175" i="13" s="1"/>
  <c r="D176" i="13" s="1"/>
  <c r="K166" i="13"/>
  <c r="L166" i="13" s="1"/>
  <c r="L167" i="13" s="1"/>
  <c r="C166" i="13"/>
  <c r="D166" i="13" s="1"/>
  <c r="D167" i="13" s="1"/>
  <c r="E160" i="13"/>
  <c r="E154" i="13"/>
  <c r="E148" i="13"/>
  <c r="F148" i="13" s="1"/>
  <c r="F149" i="13" s="1"/>
  <c r="F30" i="5" s="1"/>
  <c r="I190" i="13"/>
  <c r="J190" i="13" s="1"/>
  <c r="J191" i="13" s="1"/>
  <c r="X39" i="5" s="1"/>
  <c r="K175" i="13"/>
  <c r="I166" i="13"/>
  <c r="J166" i="13" s="1"/>
  <c r="J167" i="13" s="1"/>
  <c r="L39" i="5" s="1"/>
  <c r="C154" i="13"/>
  <c r="D154" i="13" s="1"/>
  <c r="D155" i="13" s="1"/>
  <c r="E190" i="13"/>
  <c r="F190" i="13" s="1"/>
  <c r="F191" i="13" s="1"/>
  <c r="X30" i="5" s="1"/>
  <c r="E187" i="13"/>
  <c r="E184" i="13"/>
  <c r="F184" i="13" s="1"/>
  <c r="F185" i="13" s="1"/>
  <c r="T30" i="5" s="1"/>
  <c r="E178" i="13"/>
  <c r="F178" i="13" s="1"/>
  <c r="F179" i="13" s="1"/>
  <c r="R30" i="5" s="1"/>
  <c r="I175" i="13"/>
  <c r="E172" i="13"/>
  <c r="G166" i="13"/>
  <c r="I160" i="13"/>
  <c r="J160" i="13" s="1"/>
  <c r="J161" i="13" s="1"/>
  <c r="J39" i="5" s="1"/>
  <c r="K154" i="13"/>
  <c r="L154" i="13" s="1"/>
  <c r="L155" i="13" s="1"/>
  <c r="K148" i="13"/>
  <c r="Z21" i="5"/>
  <c r="K190" i="7"/>
  <c r="C190" i="7"/>
  <c r="C187" i="7"/>
  <c r="C184" i="7"/>
  <c r="E178" i="7"/>
  <c r="F178" i="7" s="1"/>
  <c r="G175" i="7"/>
  <c r="I172" i="7"/>
  <c r="I166" i="7"/>
  <c r="I148" i="7"/>
  <c r="I154" i="7"/>
  <c r="I160" i="7"/>
  <c r="C148" i="7"/>
  <c r="I190" i="7"/>
  <c r="K187" i="7"/>
  <c r="K184" i="7"/>
  <c r="K178" i="7"/>
  <c r="C178" i="7"/>
  <c r="E175" i="7"/>
  <c r="F175" i="7" s="1"/>
  <c r="G172" i="7"/>
  <c r="G166" i="7"/>
  <c r="G148" i="7"/>
  <c r="G154" i="7"/>
  <c r="G160" i="7"/>
  <c r="G190" i="7"/>
  <c r="I187" i="7"/>
  <c r="I184" i="7"/>
  <c r="I178" i="7"/>
  <c r="K175" i="7"/>
  <c r="C175" i="7"/>
  <c r="C172" i="7"/>
  <c r="C166" i="7"/>
  <c r="E148" i="7"/>
  <c r="E154" i="7"/>
  <c r="F154" i="7" s="1"/>
  <c r="C160" i="7"/>
  <c r="E190" i="7"/>
  <c r="G187" i="7"/>
  <c r="G184" i="7"/>
  <c r="G178" i="7"/>
  <c r="I175" i="7"/>
  <c r="K172" i="7"/>
  <c r="K166" i="7"/>
  <c r="K148" i="7"/>
  <c r="K154" i="7"/>
  <c r="K160" i="7"/>
  <c r="C154" i="7"/>
  <c r="Z40" i="5"/>
  <c r="AB38" i="5"/>
  <c r="AB33" i="5"/>
  <c r="AB32" i="5"/>
  <c r="AB31" i="5"/>
  <c r="AB24" i="5"/>
  <c r="AB23" i="5"/>
  <c r="AB22" i="5"/>
  <c r="AB13" i="5"/>
  <c r="AB12" i="5"/>
  <c r="AB20" i="5"/>
  <c r="AB10" i="5"/>
  <c r="AB9" i="5"/>
  <c r="AB8" i="5"/>
  <c r="AB7" i="5"/>
  <c r="AB6" i="5"/>
  <c r="AB19" i="5"/>
  <c r="AB18" i="5"/>
  <c r="AB17" i="5"/>
  <c r="AB15" i="5"/>
  <c r="AB14" i="5"/>
  <c r="AA37" i="5"/>
  <c r="AA36" i="5"/>
  <c r="AA35" i="5"/>
  <c r="AA29" i="5"/>
  <c r="AA28" i="5"/>
  <c r="AA26" i="5"/>
  <c r="AA25" i="5"/>
  <c r="AA38" i="5"/>
  <c r="AA33" i="5"/>
  <c r="AA32" i="5"/>
  <c r="AA31" i="5"/>
  <c r="AA24" i="5"/>
  <c r="AA23" i="5"/>
  <c r="AA22" i="5"/>
  <c r="AA34" i="5"/>
  <c r="AA27" i="5"/>
  <c r="D187" i="13"/>
  <c r="D188" i="13" s="1"/>
  <c r="D184" i="13"/>
  <c r="D185" i="13" s="1"/>
  <c r="D172" i="13"/>
  <c r="D173" i="13" s="1"/>
  <c r="F187" i="13"/>
  <c r="F188" i="13" s="1"/>
  <c r="V30" i="5" s="1"/>
  <c r="F172" i="13"/>
  <c r="F173" i="13" s="1"/>
  <c r="N30" i="5" s="1"/>
  <c r="F160" i="13"/>
  <c r="F161" i="13" s="1"/>
  <c r="J30" i="5" s="1"/>
  <c r="F154" i="13"/>
  <c r="F155" i="13" s="1"/>
  <c r="H30" i="5" s="1"/>
  <c r="G190" i="13"/>
  <c r="H190" i="13" s="1"/>
  <c r="H191" i="13" s="1"/>
  <c r="G187" i="13"/>
  <c r="H187" i="13" s="1"/>
  <c r="H188" i="13" s="1"/>
  <c r="G184" i="13"/>
  <c r="H184" i="13" s="1"/>
  <c r="H185" i="13" s="1"/>
  <c r="G178" i="13"/>
  <c r="H178" i="13" s="1"/>
  <c r="H179" i="13" s="1"/>
  <c r="G175" i="13"/>
  <c r="H175" i="13" s="1"/>
  <c r="H176" i="13" s="1"/>
  <c r="G172" i="13"/>
  <c r="H172" i="13" s="1"/>
  <c r="H173" i="13" s="1"/>
  <c r="H166" i="13"/>
  <c r="H167" i="13" s="1"/>
  <c r="G154" i="13"/>
  <c r="H154" i="13" s="1"/>
  <c r="H155" i="13" s="1"/>
  <c r="G148" i="13"/>
  <c r="H148" i="13" s="1"/>
  <c r="H149" i="13" s="1"/>
  <c r="J175" i="13"/>
  <c r="J176" i="13" s="1"/>
  <c r="P39" i="5" s="1"/>
  <c r="J172" i="13"/>
  <c r="J173" i="13" s="1"/>
  <c r="N39" i="5" s="1"/>
  <c r="J148" i="13"/>
  <c r="J149" i="13" s="1"/>
  <c r="F39" i="5" s="1"/>
  <c r="L190" i="13"/>
  <c r="L191" i="13" s="1"/>
  <c r="L175" i="13"/>
  <c r="L176" i="13" s="1"/>
  <c r="L172" i="13"/>
  <c r="L173" i="13" s="1"/>
  <c r="L148" i="13"/>
  <c r="L149" i="13" s="1"/>
  <c r="F148" i="7"/>
  <c r="E160" i="7"/>
  <c r="F160" i="7" s="1"/>
  <c r="E166" i="7"/>
  <c r="F166" i="7" s="1"/>
  <c r="E172" i="7"/>
  <c r="F172" i="7" s="1"/>
  <c r="E184" i="7"/>
  <c r="F184" i="7" s="1"/>
  <c r="E187" i="7"/>
  <c r="F187" i="7" s="1"/>
  <c r="F190" i="7"/>
  <c r="C96" i="7"/>
  <c r="D96" i="7"/>
  <c r="Z42" i="5" l="1"/>
  <c r="G9" i="16" s="1"/>
  <c r="H9" i="16" s="1"/>
  <c r="Y39" i="5"/>
  <c r="Y30" i="5"/>
  <c r="AB40" i="5"/>
  <c r="AB21" i="5"/>
  <c r="F37" i="5"/>
  <c r="F36" i="5"/>
  <c r="F35" i="5"/>
  <c r="F29" i="5"/>
  <c r="F28" i="5"/>
  <c r="F26" i="5"/>
  <c r="F25" i="5"/>
  <c r="H37" i="5"/>
  <c r="H36" i="5"/>
  <c r="H35" i="5"/>
  <c r="H29" i="5"/>
  <c r="H28" i="5"/>
  <c r="H26" i="5"/>
  <c r="H25" i="5"/>
  <c r="J37" i="5"/>
  <c r="J36" i="5"/>
  <c r="J35" i="5"/>
  <c r="J29" i="5"/>
  <c r="J28" i="5"/>
  <c r="J26" i="5"/>
  <c r="J25" i="5"/>
  <c r="L37" i="5"/>
  <c r="L36" i="5"/>
  <c r="L35" i="5"/>
  <c r="L29" i="5"/>
  <c r="L28" i="5"/>
  <c r="L26" i="5"/>
  <c r="L25" i="5"/>
  <c r="N37" i="5"/>
  <c r="N36" i="5"/>
  <c r="N35" i="5"/>
  <c r="N29" i="5"/>
  <c r="N28" i="5"/>
  <c r="N26" i="5"/>
  <c r="N25" i="5"/>
  <c r="P37" i="5"/>
  <c r="P36" i="5"/>
  <c r="P35" i="5"/>
  <c r="P29" i="5"/>
  <c r="P28" i="5"/>
  <c r="P26" i="5"/>
  <c r="P25" i="5"/>
  <c r="R37" i="5"/>
  <c r="R36" i="5"/>
  <c r="R35" i="5"/>
  <c r="R29" i="5"/>
  <c r="R28" i="5"/>
  <c r="R26" i="5"/>
  <c r="R25" i="5"/>
  <c r="T37" i="5"/>
  <c r="T36" i="5"/>
  <c r="T35" i="5"/>
  <c r="T29" i="5"/>
  <c r="T28" i="5"/>
  <c r="T26" i="5"/>
  <c r="T25" i="5"/>
  <c r="V37" i="5"/>
  <c r="V36" i="5"/>
  <c r="V35" i="5"/>
  <c r="V29" i="5"/>
  <c r="V28" i="5"/>
  <c r="V26" i="5"/>
  <c r="V25" i="5"/>
  <c r="X37" i="5"/>
  <c r="X36" i="5"/>
  <c r="X35" i="5"/>
  <c r="X29" i="5"/>
  <c r="X28" i="5"/>
  <c r="X26" i="5"/>
  <c r="X25" i="5"/>
  <c r="F31" i="5"/>
  <c r="F38" i="5"/>
  <c r="F33" i="5"/>
  <c r="F32" i="5"/>
  <c r="F24" i="5"/>
  <c r="F23" i="5"/>
  <c r="F22" i="5"/>
  <c r="H38" i="5"/>
  <c r="H33" i="5"/>
  <c r="H32" i="5"/>
  <c r="H31" i="5"/>
  <c r="H24" i="5"/>
  <c r="H23" i="5"/>
  <c r="H22" i="5"/>
  <c r="J38" i="5"/>
  <c r="J33" i="5"/>
  <c r="J32" i="5"/>
  <c r="J31" i="5"/>
  <c r="J24" i="5"/>
  <c r="J23" i="5"/>
  <c r="J22" i="5"/>
  <c r="L38" i="5"/>
  <c r="L33" i="5"/>
  <c r="L32" i="5"/>
  <c r="L31" i="5"/>
  <c r="L24" i="5"/>
  <c r="L23" i="5"/>
  <c r="L22" i="5"/>
  <c r="N38" i="5"/>
  <c r="N33" i="5"/>
  <c r="N32" i="5"/>
  <c r="N31" i="5"/>
  <c r="N24" i="5"/>
  <c r="N23" i="5"/>
  <c r="N22" i="5"/>
  <c r="P38" i="5"/>
  <c r="P31" i="5"/>
  <c r="P33" i="5"/>
  <c r="P32" i="5"/>
  <c r="P24" i="5"/>
  <c r="P23" i="5"/>
  <c r="P22" i="5"/>
  <c r="R38" i="5"/>
  <c r="R33" i="5"/>
  <c r="R32" i="5"/>
  <c r="R31" i="5"/>
  <c r="R24" i="5"/>
  <c r="R23" i="5"/>
  <c r="R22" i="5"/>
  <c r="T38" i="5"/>
  <c r="T33" i="5"/>
  <c r="T32" i="5"/>
  <c r="T31" i="5"/>
  <c r="T24" i="5"/>
  <c r="T23" i="5"/>
  <c r="T22" i="5"/>
  <c r="V38" i="5"/>
  <c r="V33" i="5"/>
  <c r="V32" i="5"/>
  <c r="V31" i="5"/>
  <c r="V24" i="5"/>
  <c r="V23" i="5"/>
  <c r="V22" i="5"/>
  <c r="X38" i="5"/>
  <c r="X33" i="5"/>
  <c r="X32" i="5"/>
  <c r="X31" i="5"/>
  <c r="X24" i="5"/>
  <c r="X23" i="5"/>
  <c r="X22" i="5"/>
  <c r="F34" i="5"/>
  <c r="F27" i="5"/>
  <c r="H34" i="5"/>
  <c r="H27" i="5"/>
  <c r="J34" i="5"/>
  <c r="J27" i="5"/>
  <c r="L34" i="5"/>
  <c r="L27" i="5"/>
  <c r="N34" i="5"/>
  <c r="N27" i="5"/>
  <c r="P34" i="5"/>
  <c r="P27" i="5"/>
  <c r="R34" i="5"/>
  <c r="R27" i="5"/>
  <c r="T34" i="5"/>
  <c r="T27" i="5"/>
  <c r="V34" i="5"/>
  <c r="V27" i="5"/>
  <c r="X34" i="5"/>
  <c r="X27" i="5"/>
  <c r="AA40" i="5"/>
  <c r="D111" i="7"/>
  <c r="D110" i="7"/>
  <c r="D109" i="7"/>
  <c r="D116" i="7" s="1"/>
  <c r="D133" i="7" s="1"/>
  <c r="D138" i="7" s="1"/>
  <c r="D108" i="7"/>
  <c r="D107" i="7"/>
  <c r="D106" i="7"/>
  <c r="D115" i="7" s="1"/>
  <c r="D132" i="7" s="1"/>
  <c r="D137" i="7" s="1"/>
  <c r="D105" i="7"/>
  <c r="D104" i="7"/>
  <c r="D103" i="7"/>
  <c r="D114" i="7" s="1"/>
  <c r="D131" i="7" s="1"/>
  <c r="D136" i="7" s="1"/>
  <c r="D102" i="7"/>
  <c r="D101" i="7"/>
  <c r="D100" i="7"/>
  <c r="D113" i="7" s="1"/>
  <c r="D130" i="7" s="1"/>
  <c r="D135" i="7" s="1"/>
  <c r="D99" i="7"/>
  <c r="D98" i="7"/>
  <c r="D97" i="7"/>
  <c r="D112" i="7" s="1"/>
  <c r="D129" i="7" s="1"/>
  <c r="D134" i="7" s="1"/>
  <c r="C111" i="7"/>
  <c r="C110" i="7"/>
  <c r="C109" i="7"/>
  <c r="C116" i="7" s="1"/>
  <c r="C133" i="7" s="1"/>
  <c r="C138" i="7" s="1"/>
  <c r="K177" i="7" s="1"/>
  <c r="L177" i="7" s="1"/>
  <c r="C108" i="7"/>
  <c r="C107" i="7"/>
  <c r="C106" i="7"/>
  <c r="C115" i="7" s="1"/>
  <c r="C132" i="7" s="1"/>
  <c r="C137" i="7" s="1"/>
  <c r="I174" i="7" s="1"/>
  <c r="J174" i="7" s="1"/>
  <c r="C105" i="7"/>
  <c r="C104" i="7"/>
  <c r="C103" i="7"/>
  <c r="C114" i="7" s="1"/>
  <c r="C131" i="7" s="1"/>
  <c r="C136" i="7" s="1"/>
  <c r="G177" i="7" s="1"/>
  <c r="H177" i="7" s="1"/>
  <c r="C102" i="7"/>
  <c r="C101" i="7"/>
  <c r="C100" i="7"/>
  <c r="C113" i="7" s="1"/>
  <c r="C130" i="7" s="1"/>
  <c r="C135" i="7" s="1"/>
  <c r="C140" i="7" s="1"/>
  <c r="C99" i="7"/>
  <c r="C98" i="7"/>
  <c r="C97" i="7"/>
  <c r="C112" i="7" s="1"/>
  <c r="C129" i="7" s="1"/>
  <c r="C134" i="7" s="1"/>
  <c r="C139" i="7" s="1"/>
  <c r="D184" i="7"/>
  <c r="D190" i="7"/>
  <c r="D187" i="7"/>
  <c r="D178" i="7"/>
  <c r="D175" i="7"/>
  <c r="D172" i="7"/>
  <c r="D160" i="7"/>
  <c r="H184" i="7"/>
  <c r="H190" i="7"/>
  <c r="H187" i="7"/>
  <c r="H178" i="7"/>
  <c r="H175" i="7"/>
  <c r="H172" i="7"/>
  <c r="H160" i="7"/>
  <c r="J184" i="7"/>
  <c r="J190" i="7"/>
  <c r="J187" i="7"/>
  <c r="J178" i="7"/>
  <c r="J175" i="7"/>
  <c r="J172" i="7"/>
  <c r="J160" i="7"/>
  <c r="L184" i="7"/>
  <c r="L190" i="7"/>
  <c r="L187" i="7"/>
  <c r="L178" i="7"/>
  <c r="L175" i="7"/>
  <c r="L172" i="7"/>
  <c r="L166" i="7"/>
  <c r="L160" i="7"/>
  <c r="D183" i="7"/>
  <c r="H183" i="7"/>
  <c r="J183" i="7"/>
  <c r="L183" i="7"/>
  <c r="D154" i="7"/>
  <c r="H166" i="7"/>
  <c r="H154" i="7"/>
  <c r="H148" i="7"/>
  <c r="J154" i="7"/>
  <c r="J148" i="7"/>
  <c r="L154" i="7"/>
  <c r="L148" i="7"/>
  <c r="AB42" i="5" l="1"/>
  <c r="G11" i="16" s="1"/>
  <c r="H11" i="16" s="1"/>
  <c r="K174" i="7"/>
  <c r="L174" i="7" s="1"/>
  <c r="I189" i="7"/>
  <c r="J189" i="7" s="1"/>
  <c r="I147" i="7"/>
  <c r="J147" i="7" s="1"/>
  <c r="J149" i="7" s="1"/>
  <c r="I153" i="7"/>
  <c r="J153" i="7" s="1"/>
  <c r="J155" i="7" s="1"/>
  <c r="I165" i="7"/>
  <c r="J165" i="7" s="1"/>
  <c r="C141" i="7"/>
  <c r="AA16" i="5" s="1"/>
  <c r="I171" i="7"/>
  <c r="J171" i="7" s="1"/>
  <c r="G165" i="7"/>
  <c r="H165" i="7" s="1"/>
  <c r="H167" i="7" s="1"/>
  <c r="L16" i="5" s="1"/>
  <c r="I186" i="7"/>
  <c r="J186" i="7" s="1"/>
  <c r="G186" i="7"/>
  <c r="H186" i="7" s="1"/>
  <c r="H188" i="7" s="1"/>
  <c r="V16" i="5" s="1"/>
  <c r="G147" i="7"/>
  <c r="H147" i="7" s="1"/>
  <c r="H149" i="7" s="1"/>
  <c r="F16" i="5" s="1"/>
  <c r="G171" i="7"/>
  <c r="H171" i="7" s="1"/>
  <c r="G189" i="7"/>
  <c r="H189" i="7" s="1"/>
  <c r="G153" i="7"/>
  <c r="H153" i="7" s="1"/>
  <c r="H155" i="7" s="1"/>
  <c r="H16" i="5" s="1"/>
  <c r="G174" i="7"/>
  <c r="H174" i="7" s="1"/>
  <c r="G159" i="7"/>
  <c r="H159" i="7" s="1"/>
  <c r="H161" i="7" s="1"/>
  <c r="J16" i="5" s="1"/>
  <c r="C174" i="7"/>
  <c r="D174" i="7" s="1"/>
  <c r="C177" i="7"/>
  <c r="D177" i="7" s="1"/>
  <c r="K153" i="7"/>
  <c r="L153" i="7" s="1"/>
  <c r="C142" i="7"/>
  <c r="AA11" i="5" s="1"/>
  <c r="K159" i="7"/>
  <c r="L159" i="7" s="1"/>
  <c r="L161" i="7" s="1"/>
  <c r="I159" i="7"/>
  <c r="J159" i="7" s="1"/>
  <c r="J161" i="7" s="1"/>
  <c r="I177" i="7"/>
  <c r="J177" i="7" s="1"/>
  <c r="C159" i="7"/>
  <c r="D159" i="7" s="1"/>
  <c r="D161" i="7" s="1"/>
  <c r="C186" i="7"/>
  <c r="D186" i="7" s="1"/>
  <c r="E165" i="7"/>
  <c r="F165" i="7" s="1"/>
  <c r="F167" i="7" s="1"/>
  <c r="K189" i="7"/>
  <c r="L189" i="7" s="1"/>
  <c r="C143" i="7"/>
  <c r="AA12" i="5" s="1"/>
  <c r="C147" i="7"/>
  <c r="D147" i="7" s="1"/>
  <c r="K165" i="7"/>
  <c r="L165" i="7" s="1"/>
  <c r="L167" i="7" s="1"/>
  <c r="L11" i="5" s="1"/>
  <c r="K186" i="7"/>
  <c r="L186" i="7" s="1"/>
  <c r="C165" i="7"/>
  <c r="D165" i="7" s="1"/>
  <c r="K147" i="7"/>
  <c r="L147" i="7" s="1"/>
  <c r="L149" i="7" s="1"/>
  <c r="C153" i="7"/>
  <c r="D153" i="7" s="1"/>
  <c r="D155" i="7" s="1"/>
  <c r="K171" i="7"/>
  <c r="L171" i="7" s="1"/>
  <c r="C171" i="7"/>
  <c r="D171" i="7" s="1"/>
  <c r="C189" i="7"/>
  <c r="D189" i="7" s="1"/>
  <c r="AA20" i="5"/>
  <c r="AA10" i="5"/>
  <c r="AA9" i="5"/>
  <c r="AA8" i="5"/>
  <c r="AA7" i="5"/>
  <c r="AA6" i="5"/>
  <c r="AA19" i="5"/>
  <c r="AA18" i="5"/>
  <c r="AA17" i="5"/>
  <c r="AA15" i="5"/>
  <c r="AA14" i="5"/>
  <c r="Y27" i="5"/>
  <c r="Y34" i="5"/>
  <c r="E40" i="5"/>
  <c r="Y24" i="5"/>
  <c r="Y22" i="5"/>
  <c r="Y23" i="5"/>
  <c r="Y32" i="5"/>
  <c r="Y33" i="5"/>
  <c r="Y38" i="5"/>
  <c r="Y31" i="5"/>
  <c r="Y25" i="5"/>
  <c r="Y26" i="5"/>
  <c r="Y28" i="5"/>
  <c r="Y29" i="5"/>
  <c r="Y35" i="5"/>
  <c r="Y36" i="5"/>
  <c r="Y37" i="5"/>
  <c r="E147" i="7"/>
  <c r="F147" i="7" s="1"/>
  <c r="F149" i="7" s="1"/>
  <c r="E153" i="7"/>
  <c r="F153" i="7" s="1"/>
  <c r="F155" i="7" s="1"/>
  <c r="E159" i="7"/>
  <c r="F159" i="7" s="1"/>
  <c r="F161" i="7" s="1"/>
  <c r="E171" i="7"/>
  <c r="F171" i="7" s="1"/>
  <c r="F173" i="7" s="1"/>
  <c r="E174" i="7"/>
  <c r="F174" i="7" s="1"/>
  <c r="F176" i="7" s="1"/>
  <c r="E177" i="7"/>
  <c r="F177" i="7" s="1"/>
  <c r="F179" i="7" s="1"/>
  <c r="F183" i="7"/>
  <c r="F185" i="7" s="1"/>
  <c r="E186" i="7"/>
  <c r="F186" i="7" s="1"/>
  <c r="F188" i="7" s="1"/>
  <c r="E189" i="7"/>
  <c r="F189" i="7" s="1"/>
  <c r="F191" i="7" s="1"/>
  <c r="L155" i="7"/>
  <c r="D166" i="7"/>
  <c r="D148" i="7"/>
  <c r="L12" i="5" l="1"/>
  <c r="AA13" i="5"/>
  <c r="D167" i="7"/>
  <c r="L19" i="5" s="1"/>
  <c r="L13" i="5"/>
  <c r="J19" i="5"/>
  <c r="J18" i="5"/>
  <c r="J17" i="5"/>
  <c r="J15" i="5"/>
  <c r="J14" i="5"/>
  <c r="J13" i="5"/>
  <c r="J12" i="5"/>
  <c r="J11" i="5"/>
  <c r="H19" i="5"/>
  <c r="H18" i="5"/>
  <c r="H17" i="5"/>
  <c r="H15" i="5"/>
  <c r="H14" i="5"/>
  <c r="H11" i="5"/>
  <c r="H13" i="5"/>
  <c r="H12" i="5"/>
  <c r="F13" i="5"/>
  <c r="F12" i="5"/>
  <c r="F11" i="5"/>
  <c r="J20" i="5"/>
  <c r="J10" i="5"/>
  <c r="J9" i="5"/>
  <c r="J8" i="5"/>
  <c r="J7" i="5"/>
  <c r="J6" i="5"/>
  <c r="H7" i="5"/>
  <c r="H6" i="5"/>
  <c r="H20" i="5"/>
  <c r="H10" i="5"/>
  <c r="H9" i="5"/>
  <c r="H8" i="5"/>
  <c r="F20" i="5"/>
  <c r="F10" i="5"/>
  <c r="F9" i="5"/>
  <c r="F8" i="5"/>
  <c r="F7" i="5"/>
  <c r="F6" i="5"/>
  <c r="AA21" i="5"/>
  <c r="AA42" i="5" s="1"/>
  <c r="G10" i="16" s="1"/>
  <c r="H10" i="16" s="1"/>
  <c r="Y40" i="5"/>
  <c r="L20" i="5"/>
  <c r="L10" i="5"/>
  <c r="L9" i="5"/>
  <c r="L8" i="5"/>
  <c r="L7" i="5"/>
  <c r="L6" i="5"/>
  <c r="D185" i="7"/>
  <c r="D191" i="7"/>
  <c r="D188" i="7"/>
  <c r="D179" i="7"/>
  <c r="D176" i="7"/>
  <c r="D173" i="7"/>
  <c r="D149" i="7"/>
  <c r="J166" i="7"/>
  <c r="J167" i="7" s="1"/>
  <c r="L15" i="5" l="1"/>
  <c r="L17" i="5"/>
  <c r="L18" i="5"/>
  <c r="L14" i="5"/>
  <c r="F19" i="5"/>
  <c r="F18" i="5"/>
  <c r="F17" i="5"/>
  <c r="F15" i="5"/>
  <c r="F14" i="5"/>
  <c r="N20" i="5"/>
  <c r="N10" i="5"/>
  <c r="N9" i="5"/>
  <c r="N8" i="5"/>
  <c r="N7" i="5"/>
  <c r="N6" i="5"/>
  <c r="N19" i="5"/>
  <c r="N18" i="5"/>
  <c r="N17" i="5"/>
  <c r="N15" i="5"/>
  <c r="N14" i="5"/>
  <c r="P20" i="5"/>
  <c r="P10" i="5"/>
  <c r="P9" i="5"/>
  <c r="P8" i="5"/>
  <c r="P7" i="5"/>
  <c r="P6" i="5"/>
  <c r="P19" i="5"/>
  <c r="P18" i="5"/>
  <c r="P17" i="5"/>
  <c r="P15" i="5"/>
  <c r="P14" i="5"/>
  <c r="R20" i="5"/>
  <c r="R10" i="5"/>
  <c r="R9" i="5"/>
  <c r="R8" i="5"/>
  <c r="R7" i="5"/>
  <c r="R6" i="5"/>
  <c r="R19" i="5"/>
  <c r="R18" i="5"/>
  <c r="R17" i="5"/>
  <c r="R15" i="5"/>
  <c r="R14" i="5"/>
  <c r="V20" i="5"/>
  <c r="V10" i="5"/>
  <c r="V9" i="5"/>
  <c r="V8" i="5"/>
  <c r="V7" i="5"/>
  <c r="V6" i="5"/>
  <c r="V19" i="5"/>
  <c r="V18" i="5"/>
  <c r="V17" i="5"/>
  <c r="V15" i="5"/>
  <c r="V14" i="5"/>
  <c r="X20" i="5"/>
  <c r="X10" i="5"/>
  <c r="X9" i="5"/>
  <c r="X8" i="5"/>
  <c r="X7" i="5"/>
  <c r="X6" i="5"/>
  <c r="X19" i="5"/>
  <c r="X18" i="5"/>
  <c r="X17" i="5"/>
  <c r="X15" i="5"/>
  <c r="X14" i="5"/>
  <c r="T20" i="5"/>
  <c r="T10" i="5"/>
  <c r="T9" i="5"/>
  <c r="T8" i="5"/>
  <c r="T7" i="5"/>
  <c r="T6" i="5"/>
  <c r="T19" i="5"/>
  <c r="T17" i="5"/>
  <c r="T18" i="5"/>
  <c r="T15" i="5"/>
  <c r="T14" i="5"/>
  <c r="H185" i="7"/>
  <c r="T16" i="5" s="1"/>
  <c r="H191" i="7"/>
  <c r="X16" i="5" s="1"/>
  <c r="H179" i="7"/>
  <c r="R16" i="5" s="1"/>
  <c r="H176" i="7"/>
  <c r="P16" i="5" s="1"/>
  <c r="H173" i="7"/>
  <c r="N16" i="5" s="1"/>
  <c r="Y14" i="5" l="1"/>
  <c r="Y18" i="5"/>
  <c r="Y19" i="5"/>
  <c r="Y15" i="5"/>
  <c r="Y17" i="5"/>
  <c r="Y16" i="5"/>
  <c r="Y6" i="5"/>
  <c r="Y7" i="5"/>
  <c r="Y8" i="5"/>
  <c r="Y9" i="5"/>
  <c r="Y10" i="5"/>
  <c r="Y20" i="5"/>
  <c r="J185" i="7"/>
  <c r="L185" i="7"/>
  <c r="T11" i="5" s="1"/>
  <c r="J191" i="7"/>
  <c r="L191" i="7"/>
  <c r="X11" i="5" s="1"/>
  <c r="J188" i="7"/>
  <c r="L188" i="7"/>
  <c r="V11" i="5" s="1"/>
  <c r="J179" i="7"/>
  <c r="L179" i="7"/>
  <c r="R11" i="5" s="1"/>
  <c r="J176" i="7"/>
  <c r="L176" i="7"/>
  <c r="P11" i="5" s="1"/>
  <c r="J173" i="7"/>
  <c r="L173" i="7"/>
  <c r="N11" i="5" s="1"/>
  <c r="Y11" i="5" l="1"/>
  <c r="N13" i="5"/>
  <c r="N12" i="5"/>
  <c r="P13" i="5"/>
  <c r="P12" i="5"/>
  <c r="R13" i="5"/>
  <c r="R12" i="5"/>
  <c r="V13" i="5"/>
  <c r="V12" i="5"/>
  <c r="X13" i="5"/>
  <c r="X12" i="5"/>
  <c r="T13" i="5"/>
  <c r="T12" i="5"/>
  <c r="Y12" i="5" l="1"/>
  <c r="Y13" i="5"/>
  <c r="Y21" i="5" l="1"/>
  <c r="Y42" i="5" s="1"/>
  <c r="G8" i="16" s="1"/>
  <c r="G13" i="16" l="1"/>
  <c r="H8" i="16"/>
  <c r="H13" i="16" s="1"/>
  <c r="AC44" i="5"/>
  <c r="AC45" i="5" l="1"/>
</calcChain>
</file>

<file path=xl/sharedStrings.xml><?xml version="1.0" encoding="utf-8"?>
<sst xmlns="http://schemas.openxmlformats.org/spreadsheetml/2006/main" count="1757" uniqueCount="599">
  <si>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</si>
  <si>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</si>
  <si>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</si>
  <si>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</si>
  <si>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</si>
  <si>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</si>
  <si>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</si>
  <si>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</si>
  <si>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</si>
  <si>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 xml:space="preserve">Valor da diária do carregador </t>
  </si>
  <si>
    <t>Valor baseado em Pesquisa de Preços anexa ao Processo</t>
  </si>
  <si>
    <t>Carga horária semanal</t>
  </si>
  <si>
    <t>Salário Base (Cl. 3ª 01)</t>
  </si>
  <si>
    <t>Encarregado acima de 20 empregados (Cl. 3ª 03 c)</t>
  </si>
  <si>
    <t>Adicional de risco limpeza de vidros e fachadas de risco ( Cl.11º)</t>
  </si>
  <si>
    <t>módulo 2</t>
  </si>
  <si>
    <t>Módulo 2.3</t>
  </si>
  <si>
    <t>custo empregado</t>
  </si>
  <si>
    <t>custo da empresa</t>
  </si>
  <si>
    <t>Auxílio alimentação 44h  ( Cl.13ª)</t>
  </si>
  <si>
    <t>Auxílio alimentação 30h  ( Cl.13ª)</t>
  </si>
  <si>
    <t>Auxílio transporte  ( Cl.14ª)</t>
  </si>
  <si>
    <t>Prêmio Assiduidade  ( Cl.)</t>
  </si>
  <si>
    <t>Assistência ao Trabalhador  ( Cl.)</t>
  </si>
  <si>
    <t>Ajuda de Custo  limpeza de vidros e fachadas de risco  ( Cl.12º)</t>
  </si>
  <si>
    <t>Benefício assistência médica  ( Cl.15ª)</t>
  </si>
  <si>
    <t>Benefício social familiar  ( Cl.16ª)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</si>
  <si>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</si>
  <si>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</si>
  <si>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</si>
  <si>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</si>
  <si>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</si>
  <si>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</si>
  <si>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</si>
  <si>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</si>
  <si>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</si>
  <si>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</si>
  <si>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</si>
  <si>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</si>
  <si>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</si>
  <si>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</si>
  <si>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</si>
  <si>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</si>
  <si>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</si>
  <si>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</si>
  <si>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</si>
  <si>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2019 - Paraná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</si>
  <si>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</si>
  <si>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</si>
  <si>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</si>
  <si>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</si>
  <si>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</si>
  <si>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</si>
  <si>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</si>
  <si>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</si>
  <si>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</si>
  <si>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 xml:space="preserve">*Expectativa anual de nascimento de filhos dos trabalhadores (IBGE – Manual de Preenchimento da Planilha de Custos): </t>
  </si>
  <si>
    <t>**Percentual de Homens: Limpeza 51,67%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</si>
  <si>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</si>
  <si>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</si>
  <si>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</si>
  <si>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</si>
  <si>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</si>
  <si>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</si>
  <si>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 xml:space="preserve">*Percentual de Mulheres Limpeza 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</si>
  <si>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</si>
  <si>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</si>
  <si>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</si>
  <si>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</si>
  <si>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</si>
  <si>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Curitiba</t>
  </si>
  <si>
    <t>ISS</t>
  </si>
  <si>
    <t>VT</t>
  </si>
  <si>
    <t>Serventes</t>
  </si>
  <si>
    <t>VT*Servente</t>
  </si>
  <si>
    <t>Unidade Orgânica GEX Ponta Grossa</t>
  </si>
  <si>
    <t>GERÊNCIA EXECUTIVA CURITIBA e APS digital</t>
  </si>
  <si>
    <t>GEX PONTA GROSSA</t>
  </si>
  <si>
    <t>CEDOC Prev</t>
  </si>
  <si>
    <t>Imóvel Mal. Deodoro</t>
  </si>
  <si>
    <t>-</t>
  </si>
  <si>
    <t>APS PONTA GROSSA</t>
  </si>
  <si>
    <t>APS CURITIBA - CÂNDIDO LOPES</t>
  </si>
  <si>
    <t>APS GUARAPUAVA</t>
  </si>
  <si>
    <t>APS CURITIBA - HAUER</t>
  </si>
  <si>
    <t>APS IRATI/PR</t>
  </si>
  <si>
    <t>APS CURITIBA - VISCONDE DE GUARAPUAVA</t>
  </si>
  <si>
    <t>APS JAGUARIAIVA</t>
  </si>
  <si>
    <t>APS PARANAGUÁ</t>
  </si>
  <si>
    <t>APS LARANJEIRAS DO SUL</t>
  </si>
  <si>
    <t>APS ARAUCÁRIA</t>
  </si>
  <si>
    <t>APS TELÊMACO BORBA</t>
  </si>
  <si>
    <t>APS SÃO JOSÉ DOS PINHAIS</t>
  </si>
  <si>
    <t>APS UNIÃO DA VITÓRIA</t>
  </si>
  <si>
    <t>APS COLOMBO</t>
  </si>
  <si>
    <t>APS CASTRO</t>
  </si>
  <si>
    <t>APS FAZENDA RIO GRANDE</t>
  </si>
  <si>
    <t>APS IBAITI</t>
  </si>
  <si>
    <t>APS CAMPO LARGO</t>
  </si>
  <si>
    <t>APS PITANGA</t>
  </si>
  <si>
    <t>APS PINHAIS</t>
  </si>
  <si>
    <t>APS ARAPOTI</t>
  </si>
  <si>
    <t>APS LAPA</t>
  </si>
  <si>
    <t>APS IMBITUVA</t>
  </si>
  <si>
    <t>APS MANDIRITUBA</t>
  </si>
  <si>
    <t>APS PRUDENTÓPOLIS</t>
  </si>
  <si>
    <t>APS ITAPERUÇU</t>
  </si>
  <si>
    <t>APS PINHÃO/PR</t>
  </si>
  <si>
    <t>Média Simples VT</t>
  </si>
  <si>
    <t>APS PALMEIRA/PR</t>
  </si>
  <si>
    <t>Média Ponderada VT</t>
  </si>
  <si>
    <t>APS SÃO MATEUS DO SUL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</si>
  <si>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</si>
  <si>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</si>
  <si>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</si>
  <si>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</si>
  <si>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</si>
  <si>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</si>
  <si>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</si>
  <si>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</si>
  <si>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</si>
  <si>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</si>
  <si>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</si>
  <si>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</si>
  <si>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</si>
  <si>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</si>
  <si>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</si>
  <si>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</si>
  <si>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</si>
  <si>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</si>
  <si>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</si>
  <si>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</si>
  <si>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</si>
  <si>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</si>
  <si>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</si>
  <si>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</si>
  <si>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</si>
  <si>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</si>
  <si>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</si>
  <si>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</si>
  <si>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</si>
  <si>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</si>
  <si>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</si>
  <si>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</si>
  <si>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</si>
  <si>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</si>
  <si>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</si>
  <si>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</si>
  <si>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</si>
  <si>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</si>
  <si>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</si>
  <si>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</si>
  <si>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</si>
  <si>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</si>
  <si>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</si>
  <si>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</si>
  <si>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</si>
  <si>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</si>
  <si>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</si>
  <si>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</si>
  <si>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</si>
  <si>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</si>
  <si>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</si>
  <si>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</si>
  <si>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</si>
  <si>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</si>
  <si>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</si>
  <si>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</si>
  <si>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</si>
  <si>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</si>
  <si>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</si>
  <si>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</si>
  <si>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</si>
  <si>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</si>
  <si>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</si>
  <si>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</si>
  <si>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</si>
  <si>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</si>
  <si>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</si>
  <si>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</si>
  <si>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</si>
  <si>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</si>
  <si>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</si>
  <si>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</si>
  <si>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</si>
  <si>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</si>
  <si>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</si>
  <si>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</si>
  <si>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</si>
  <si>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</si>
  <si>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</si>
  <si>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</si>
  <si>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</si>
  <si>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</si>
  <si>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</si>
  <si>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</si>
  <si>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</si>
  <si>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</si>
  <si>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</si>
  <si>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</si>
  <si>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</si>
  <si>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</si>
  <si>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</si>
  <si>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</si>
  <si>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</si>
  <si>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</si>
  <si>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</si>
  <si>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</si>
  <si>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</si>
  <si>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</si>
  <si>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</si>
  <si>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</si>
  <si>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</si>
  <si>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</si>
  <si>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</si>
  <si>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</si>
  <si>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</si>
  <si>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</si>
  <si>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</si>
  <si>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</si>
  <si>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</si>
  <si>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</si>
  <si>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</si>
  <si>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</si>
  <si>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</si>
  <si>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</si>
  <si>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</si>
  <si>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</si>
  <si>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</si>
  <si>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</si>
  <si>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</si>
  <si>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</si>
  <si>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</si>
  <si>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</si>
  <si>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</si>
  <si>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</si>
  <si>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</si>
  <si>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</si>
  <si>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</si>
  <si>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</si>
  <si>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equipamentos,</t>
  </si>
  <si>
    <t>X. Diversos</t>
  </si>
  <si>
    <t>EQUIPAMENTOS</t>
  </si>
  <si>
    <t>QUANTIDADE DEFINIDA (1 por Unidade) GEXPGR</t>
  </si>
  <si>
    <t>CUSTO MENSAL EQUIPAMENTOS (R$) - GEXCTB</t>
  </si>
  <si>
    <t>CUSTO MENSAL EQUIPAMENTOS (R$) - GEXPGR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</si>
  <si>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</si>
  <si>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</si>
  <si>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</si>
  <si>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</si>
  <si>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</si>
  <si>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</si>
  <si>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 xml:space="preserve">Lavadora de alta pressão mínimo 1.500 LB  </t>
  </si>
  <si>
    <t>Mangueira de jardim 20m, c/ esguicho/engate</t>
  </si>
  <si>
    <t>Placa sinalizadora (Piso Molhado)</t>
  </si>
  <si>
    <t>Rastelo de Jardim ( APS com areas verdes)</t>
  </si>
  <si>
    <t>TOTAL GERAL ( 60 MESES)</t>
  </si>
  <si>
    <t>TOTAL ANUAL DE EQUIPAMENTOS  - Depreciação Anual conforme tabela da RFB -</t>
  </si>
  <si>
    <t>VALOR POR SERVENTE</t>
  </si>
  <si>
    <t>UNIFORMES</t>
  </si>
  <si>
    <t xml:space="preserve">QUANTIDADE DEFINIDA (anual) </t>
  </si>
  <si>
    <t>PREÇO MÉDIO – PAINEL DE PREÇOS</t>
  </si>
  <si>
    <t>PEÇO MÉDIO - INTERNET</t>
  </si>
  <si>
    <t>CUSTO MÉDIO</t>
  </si>
  <si>
    <t xml:space="preserve">CUSTO MENSAL UNIFORMES </t>
  </si>
  <si>
    <t>SERVENTES</t>
  </si>
  <si>
    <t>Bata ( 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</si>
  <si>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</si>
  <si>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</si>
  <si>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</si>
  <si>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</si>
  <si>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</si>
  <si>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</si>
  <si>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 xml:space="preserve">Calça Social 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</si>
  <si>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</si>
  <si>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</si>
  <si>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</si>
  <si>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</si>
  <si>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</si>
  <si>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</si>
  <si>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</si>
  <si>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</si>
  <si>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</si>
  <si>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</si>
  <si>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</si>
  <si>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</si>
  <si>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</si>
  <si>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</si>
  <si>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</si>
  <si>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</si>
  <si>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</si>
  <si>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</si>
  <si>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</si>
  <si>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</si>
  <si>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</si>
  <si>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</si>
  <si>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</si>
  <si>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</si>
  <si>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</si>
  <si>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</si>
  <si>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</si>
  <si>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</si>
  <si>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</si>
  <si>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</si>
  <si>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</si>
  <si>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</si>
  <si>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</si>
  <si>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</si>
  <si>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</si>
  <si>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</si>
  <si>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</si>
  <si>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POLO 1 - GEX CURITIBA E GEX PONTA GROSSA</t>
  </si>
  <si>
    <t>ÁREA INTERNA</t>
  </si>
  <si>
    <t>ÁREA EXTERNA</t>
  </si>
  <si>
    <t>ESQUADRIAS</t>
  </si>
  <si>
    <t>ITEM 1</t>
  </si>
  <si>
    <t>ITEM 2</t>
  </si>
  <si>
    <t>ITEM 3</t>
  </si>
  <si>
    <t>ITEM 4</t>
  </si>
  <si>
    <t>ITEM 5</t>
  </si>
  <si>
    <t>Seq.</t>
  </si>
  <si>
    <t>Unidade Orgânica</t>
  </si>
  <si>
    <t>ISS %</t>
  </si>
  <si>
    <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</si>
  <si>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</si>
  <si>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</si>
  <si>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</si>
  <si>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</si>
  <si>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</si>
  <si>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</si>
  <si>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</si>
  <si>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</si>
  <si>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</si>
  <si>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</si>
  <si>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</si>
  <si>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</si>
  <si>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</si>
  <si>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 item IV                       Diárias carregadores</t>
  </si>
  <si>
    <t>Área</t>
  </si>
  <si>
    <t>Preço m²</t>
  </si>
  <si>
    <t>R$</t>
  </si>
  <si>
    <t>30h</t>
  </si>
  <si>
    <t xml:space="preserve">GERÊNCIA EXECUTIVA CURITIBA e APS digital </t>
  </si>
  <si>
    <t>Rua João Negrão, 11/21, Centro - Curitiba/PR</t>
  </si>
  <si>
    <t>Av. Prefeito Lothário Meissner, 632,  Centro - Curitiba/PR</t>
  </si>
  <si>
    <t>Rua Cândido Lopes, 270, Centro -  Centro - Curitiba/PR</t>
  </si>
  <si>
    <t>Rua Waldemar Kost, 706, Vila Hauer -  Centro Curitiba/PR</t>
  </si>
  <si>
    <t>Travessa da Lapa, 200, Centro - Centro Curitiba/PR</t>
  </si>
  <si>
    <t>Praça João Gualberto, 267, Centro - Paranaguá/PR</t>
  </si>
  <si>
    <t>Rua Manoel Ribas, 185 - Araucária/PR</t>
  </si>
  <si>
    <t>Rua Joinville, 2643, São Pedro - São José dos Pinhais</t>
  </si>
  <si>
    <t>Rua XV de novembro, 236, fundos - Colombo/PR</t>
  </si>
  <si>
    <t>Rua Egito, 426, Nações - Fazenda Rio Grande/PR</t>
  </si>
  <si>
    <t>Rua Joaquim Ribas de Andrade, 1350,  Centro - Campo Largo/PR</t>
  </si>
  <si>
    <t>Rua África, 50, Centro - Pinhais/PR</t>
  </si>
  <si>
    <t>Av. Juscelino Kubitschek de Oliveira, 479. D. Pedro II - Lapa/PR</t>
  </si>
  <si>
    <t>Rua Francisco Manoel de Oliveira Mendes, 246, Centro - Mandirituba/PR</t>
  </si>
  <si>
    <t>Rua Crispin Furquim de Siqueira, 1780, Centro - Itapeçuru/PR</t>
  </si>
  <si>
    <t>Total Mensal GEX Curitiba</t>
  </si>
  <si>
    <t>Rua Marques do Paraná, 799 - Ponta Grossa/PR</t>
  </si>
  <si>
    <t>Rua Dr. Colares, 415 - Ponta Grossa/PR</t>
  </si>
  <si>
    <t>APS Ponta Grossa</t>
  </si>
  <si>
    <t>Rua Quinze de Novembro, 3337 - Guarapuava/PR</t>
  </si>
  <si>
    <t>APS IRAT</t>
  </si>
  <si>
    <t>Rua Coronel Emílio Gomes, 63 - Irati/PR</t>
  </si>
  <si>
    <t>Av. Antônio Cunha, 507 - Jaguariaiva/PR</t>
  </si>
  <si>
    <t>Av. Santos Dumont, 2255 - Laranjeiras do Sul/PR</t>
  </si>
  <si>
    <t>Rua Leopoldo Voigt, 106 - Telêmaco Borba/PR</t>
  </si>
  <si>
    <t>Rua Ipiranga, 251 - União da Vitória/PR</t>
  </si>
  <si>
    <t>Rua Marechal Deodoro, 492 - Castro/PR</t>
  </si>
  <si>
    <t>Rua Rui Barbosa, 379 - Ibaiti/PR</t>
  </si>
  <si>
    <t>Rua João Gonçalves Padilha, 391 - Pitanga/PR</t>
  </si>
  <si>
    <t>Rua Ondina Bueno Siqueira, 220 - Arapoti/PR</t>
  </si>
  <si>
    <t>Rua Santo Antônio, 839 - Imvituva/PR</t>
  </si>
  <si>
    <t>Rua Lécia Ucrainka, 367 - Pridentópolis/PR</t>
  </si>
  <si>
    <t>Rua Lauro Ferreira Caldas, 145 - Pinhão/PR</t>
  </si>
  <si>
    <t>Rua Fritz Kliewer, 315 - Palmeiras/PR</t>
  </si>
  <si>
    <t>RUA Tenente Max Wolff Filho, 474 - São Mateus do Sul/PR</t>
  </si>
  <si>
    <t>Total Mensal GEX Ponta Grossa</t>
  </si>
  <si>
    <t>TOTAL GERAL</t>
  </si>
  <si>
    <t>Total A23:Q59Mensais GEX Curitiba</t>
  </si>
  <si>
    <t>AI-4: 
Banheiros</t>
  </si>
  <si>
    <t xml:space="preserve">AE-2:                                                                                                                                    coleta de detritos em pátios e áreas verdes com frequência diária
</t>
  </si>
  <si>
    <t>Serventes por Unidade (Calculada)</t>
  </si>
  <si>
    <t>Qtde de serventes ajustada LIMPEZA ORDINÁRIA                      e carga horária</t>
  </si>
  <si>
    <t>Qtde Ajustada Qtde postos COVID e Carga horária servente</t>
  </si>
  <si>
    <t>Qtde horas eventuais Limpeza Ordinária/Mês</t>
  </si>
  <si>
    <t xml:space="preserve"> Qtde horas eventuais COVID/Mês</t>
  </si>
  <si>
    <t>Qtde Diárias carregadores/Mês</t>
  </si>
  <si>
    <t>Qtde postos e Carga horária ENCARREGADA</t>
  </si>
  <si>
    <t>40h</t>
  </si>
  <si>
    <t>h</t>
  </si>
  <si>
    <t>diarias</t>
  </si>
  <si>
    <t>Total Geral</t>
  </si>
  <si>
    <t>Produtividade adotada</t>
  </si>
  <si>
    <t>total</t>
  </si>
  <si>
    <t>Número de Serventes</t>
  </si>
  <si>
    <t>fração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</si>
  <si>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</si>
  <si>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</si>
  <si>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</si>
  <si>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</si>
  <si>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</si>
  <si>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</si>
  <si>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</si>
  <si>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</si>
  <si>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</si>
  <si>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</si>
  <si>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</si>
  <si>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</si>
  <si>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</si>
  <si>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risco</t>
  </si>
  <si>
    <t>ANEXO IV</t>
  </si>
  <si>
    <t>MODELO DE PROPOSTA E PLANILHA DE CUSTOS E FORMAÇÃO DE PREÇOS</t>
  </si>
  <si>
    <t>PROCESSO 35014.018642/2022-12</t>
  </si>
  <si>
    <t>Servente 40h</t>
  </si>
  <si>
    <t>Servente 30h</t>
  </si>
  <si>
    <t>Servente 44h</t>
  </si>
  <si>
    <t>Encarregada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</si>
  <si>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</si>
  <si>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</si>
  <si>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</si>
  <si>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</si>
  <si>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</si>
  <si>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</si>
  <si>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 xml:space="preserve">Servente 40h </t>
  </si>
  <si>
    <t>Servente 44h limpeza de esquadrias com risco</t>
  </si>
  <si>
    <t>Encarregada 40h</t>
  </si>
  <si>
    <t>MÓDULO 1: COMPOSIÇÃO DA REMUNERAÇÃO</t>
  </si>
  <si>
    <t>1 - Composição da Remuneração</t>
  </si>
  <si>
    <t>Percentuais</t>
  </si>
  <si>
    <t>Valor (R$)</t>
  </si>
  <si>
    <t>A – Salário Base 40 horas</t>
  </si>
  <si>
    <t>B - Adicional de Insalubridade</t>
  </si>
  <si>
    <t>D - Adicional Noturno</t>
  </si>
  <si>
    <t>E - Adicional de Hora Noturna Reduzida</t>
  </si>
  <si>
    <t>F - Adicional de Hora Extra no Feriado Trabalhado</t>
  </si>
  <si>
    <t>E - Outros -Adicional de risco limpeza de vidros e fachadas ( acima de 3m)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</si>
  <si>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</si>
  <si>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</si>
  <si>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</si>
  <si>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</si>
  <si>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</si>
  <si>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</si>
  <si>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</si>
  <si>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</si>
  <si>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</si>
  <si>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</si>
  <si>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</si>
  <si>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</si>
  <si>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</si>
  <si>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</si>
  <si>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</si>
  <si>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</si>
  <si>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</si>
  <si>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</si>
  <si>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 COM DESCONTO DE 20%)</t>
  </si>
  <si>
    <t>C - Ajuda de custo (equipes limpeza vidros)</t>
  </si>
  <si>
    <t>D - Assistência Médica (Cláusula 15ª)</t>
  </si>
  <si>
    <t>E - Benefício Social Familiar (Cláusula 16ª)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</si>
  <si>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</si>
  <si>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</si>
  <si>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</si>
  <si>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</si>
  <si>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</si>
  <si>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</si>
  <si>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</si>
  <si>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</si>
  <si>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</si>
  <si>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</si>
  <si>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</si>
  <si>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</si>
  <si>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</si>
  <si>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</si>
  <si>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</si>
  <si>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</si>
  <si>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E - Outros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</si>
  <si>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</si>
  <si>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</si>
  <si>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</si>
  <si>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</si>
  <si>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</si>
  <si>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</si>
  <si>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A - Uniformes</t>
  </si>
  <si>
    <t>B - Materiais e utensílios</t>
  </si>
  <si>
    <t>C - Equipamentos</t>
  </si>
  <si>
    <t>D - EPIs</t>
  </si>
  <si>
    <t>E - Esquadrias de risco - Materiais/ Equipamentos/EPIs ( conforme MPOG)</t>
  </si>
  <si>
    <t>F - 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</si>
  <si>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</si>
  <si>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</si>
  <si>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</si>
  <si>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</si>
  <si>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</si>
  <si>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</si>
  <si>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</si>
  <si>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</si>
  <si>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</si>
  <si>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</si>
  <si>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</si>
  <si>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</si>
  <si>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</si>
  <si>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</si>
  <si>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</si>
  <si>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</si>
  <si>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</si>
  <si>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</si>
  <si>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</si>
  <si>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</si>
  <si>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</si>
  <si>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</si>
  <si>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</si>
  <si>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</si>
  <si>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</si>
  <si>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</si>
  <si>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</si>
  <si>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</si>
  <si>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</si>
  <si>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</si>
  <si>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</si>
  <si>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</si>
  <si>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</si>
  <si>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</si>
  <si>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</si>
  <si>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</si>
  <si>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</si>
  <si>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</si>
  <si>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</si>
  <si>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</si>
  <si>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</si>
  <si>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</si>
  <si>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</si>
  <si>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</si>
  <si>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</si>
  <si>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</si>
  <si>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</si>
  <si>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Subtotal 20%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</si>
  <si>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</si>
  <si>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</si>
  <si>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</si>
  <si>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</si>
  <si>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</si>
  <si>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</si>
  <si>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</si>
  <si>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</si>
  <si>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</si>
  <si>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</si>
  <si>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</si>
  <si>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</si>
  <si>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</si>
  <si>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</si>
  <si>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</si>
  <si>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</si>
  <si>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</si>
  <si>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</si>
  <si>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</si>
  <si>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40h COVID</t>
  </si>
  <si>
    <t>Servente 30h COVID</t>
  </si>
  <si>
    <t>F - Passagens intermunicipais</t>
  </si>
  <si>
    <r>
      <t>AE-2:</t>
    </r>
    <r>
      <rPr>
        <sz val="9"/>
        <color rgb="FF000000"/>
        <rFont val="Calibri"/>
        <family val="2"/>
        <charset val="1"/>
      </rPr>
      <t xml:space="preserve"> 
Áreas verdes</t>
    </r>
  </si>
  <si>
    <t>* GEXCTB e APS Cândido Lopes  – 2 por Unidade (exceto lavadora e mangueira)</t>
  </si>
  <si>
    <t>*** Rastelo - somente nas unidades com área verde</t>
  </si>
  <si>
    <t xml:space="preserve">** placa sinalizadora - 3 por Unidade </t>
  </si>
  <si>
    <r>
      <t xml:space="preserve">QUANTIDADE DEFINIDA (1 por Unidade) GEXCTB </t>
    </r>
    <r>
      <rPr>
        <b/>
        <sz val="9"/>
        <color rgb="FFC00000"/>
        <rFont val="Arial"/>
        <family val="2"/>
      </rPr>
      <t>*</t>
    </r>
  </si>
  <si>
    <t>MODELO DE PROPOSTA DE PREÇOS</t>
  </si>
  <si>
    <t>PREGÃO Nº 12/2022</t>
  </si>
  <si>
    <t>PROCESSO ADMINISTRATIVO N.° 35014.018642/2022-12</t>
  </si>
  <si>
    <t>Ilmo. Sr. Pregoeiro, a Empresa ______________________________, CNPJ nº ________________, sediada ___________(endereço completo)______________, se propõe a executar os serviços discriminados, atendendo todas as condições estipuladas no Edital de Licitação, e nos valores abaixo:</t>
  </si>
  <si>
    <t xml:space="preserve">GRUPO </t>
  </si>
  <si>
    <t>ITEM</t>
  </si>
  <si>
    <t>CÓDIGO SIASG</t>
  </si>
  <si>
    <t>DESCRIÇÃO/
ESPECIFICAÇÃO</t>
  </si>
  <si>
    <t>Unidade de Medida</t>
  </si>
  <si>
    <t>Quantidade</t>
  </si>
  <si>
    <t>Valor Mensal</t>
  </si>
  <si>
    <t>Valor Anual</t>
  </si>
  <si>
    <r>
      <rPr>
        <b/>
        <sz val="12"/>
        <color rgb="FF000000"/>
        <rFont val="Calibri"/>
        <family val="2"/>
      </rPr>
      <t>Serviços de limpeza</t>
    </r>
    <r>
      <rPr>
        <sz val="12"/>
        <color rgb="FF000000"/>
        <rFont val="Calibri"/>
        <family val="2"/>
      </rPr>
      <t>, conservação e higienização, com fornecimento de materiais, insumos, equipamentos, EPIs e uniformes, a serem executados nas dependências do POLO I de limpeza da SRIII (GEX Curitiba e Ponta Grossa)</t>
    </r>
  </si>
  <si>
    <t>M²</t>
  </si>
  <si>
    <t>12 (meses)</t>
  </si>
  <si>
    <r>
      <rPr>
        <b/>
        <sz val="12"/>
        <color rgb="FF000000"/>
        <rFont val="Calibri"/>
        <family val="2"/>
      </rPr>
      <t>Serviço de desinfecção</t>
    </r>
    <r>
      <rPr>
        <sz val="12"/>
        <color rgb="FF000000"/>
        <rFont val="Calibri"/>
        <family val="2"/>
      </rPr>
      <t>, com fornecimento de materiais, insumos, EPIs e uniformes,a serem executados nas dependências do POLO I de limpeza da SRIII (GEX Curitiba e Ponta Grossa)</t>
    </r>
  </si>
  <si>
    <r>
      <rPr>
        <b/>
        <sz val="11"/>
        <color rgb="FF333333"/>
        <rFont val="Arial"/>
        <family val="2"/>
      </rPr>
      <t>Serviços de limpeza</t>
    </r>
    <r>
      <rPr>
        <sz val="11"/>
        <color rgb="FF333333"/>
        <rFont val="Arial"/>
        <family val="2"/>
      </rPr>
      <t>, conservação e higienização, com fornecimento de materiais, insumos, equipamentos, EPIs e uniformes, a serem executados nas dependências do POLO I de limpeza da SRIII (GEX Curitiba e Ponta Grossa)</t>
    </r>
    <r>
      <rPr>
        <b/>
        <sz val="11"/>
        <color rgb="FF333333"/>
        <rFont val="Arial"/>
        <family val="2"/>
      </rPr>
      <t xml:space="preserve"> – POR DEMANDA</t>
    </r>
  </si>
  <si>
    <r>
      <rPr>
        <b/>
        <sz val="11"/>
        <color rgb="FF333333"/>
        <rFont val="Arial"/>
        <family val="2"/>
      </rPr>
      <t>Serviço de desinfecção</t>
    </r>
    <r>
      <rPr>
        <sz val="11"/>
        <color rgb="FF333333"/>
        <rFont val="Arial"/>
        <family val="2"/>
      </rPr>
      <t xml:space="preserve">, com fornecimento de materiais, insumos, EPIs e uniformes, a serem executados nas dependências do POLO I de limpeza da SRIII (GEX Curitiba e Ponta Grossa) – </t>
    </r>
    <r>
      <rPr>
        <b/>
        <sz val="11"/>
        <color rgb="FF333333"/>
        <rFont val="Arial"/>
        <family val="2"/>
      </rPr>
      <t>POR DEMANDA</t>
    </r>
  </si>
  <si>
    <r>
      <rPr>
        <b/>
        <sz val="11"/>
        <color rgb="FF333333"/>
        <rFont val="Arial"/>
        <family val="2"/>
      </rPr>
      <t xml:space="preserve">Serviço de carregadores, </t>
    </r>
    <r>
      <rPr>
        <sz val="11"/>
        <color rgb="FF333333"/>
        <rFont val="Arial"/>
        <family val="2"/>
      </rPr>
      <t xml:space="preserve">a serem executados nas dependências do POLO I de limpeza da SRIII (GEX Curitiba e Ponta Grossa)  – </t>
    </r>
    <r>
      <rPr>
        <b/>
        <sz val="11"/>
        <color rgb="FF333333"/>
        <rFont val="Arial"/>
        <family val="2"/>
      </rPr>
      <t>POR DEMANDA</t>
    </r>
  </si>
  <si>
    <t>Valor total da Proposta Polo I</t>
  </si>
  <si>
    <t xml:space="preserve">– Indicação dos acordos, convenções ou dissídios coletivos de trabalaho: </t>
  </si>
  <si>
    <t>– Indicação do regime tributário da licitante:</t>
  </si>
  <si>
    <t>– – Validade da Proposta de Preços: 120 (cento e vinte) dias, a contar da data de apresentação.</t>
  </si>
  <si>
    <t>– Prazo de Execução dos Serviços: 12 (doze) meses.</t>
  </si>
  <si>
    <t>Dados para pagamento:</t>
  </si>
  <si>
    <t>– Banco (Nome/nº): – Agência: – Conta:</t>
  </si>
  <si>
    <t>Informações para assinatura do Contrato:</t>
  </si>
  <si>
    <t>– Nome:</t>
  </si>
  <si>
    <t>– Cargo:</t>
  </si>
  <si>
    <t>– RG:</t>
  </si>
  <si>
    <t>– CPF:</t>
  </si>
  <si>
    <t>–Telefone/Fax: E-mail:</t>
  </si>
  <si>
    <t>Local e data.</t>
  </si>
  <si>
    <t>Assinatura e Nome do Representante Legal da Empresa</t>
  </si>
  <si>
    <t>ANEXO X - POLO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</si>
</sst>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8" formatCode="&quot;R$&quot;\ #,##0.00;[Red]\-&quot;R$&quot;\ #,##0.00"/>
    <numFmt numFmtId="164" formatCode="_-&quot;R$ &quot;* #,##0.00_-;&quot;-R$ &quot;* #,##0.00_-;_-&quot;R$ &quot;* \-??_-;_-@_-"/>
    <numFmt numFmtId="165" formatCode="&quot;R$ &quot;#,##0.00"/>
    <numFmt numFmtId="166" formatCode="_-* #,##0.00_-;\-* #,##0.00_-;_-* \-??_-;_-@_-"/>
    <numFmt numFmtId="167" formatCode="d/m/yyyy"/>
    <numFmt numFmtId="168" formatCode="* #,##0.00\ ;\-* #,##0.00\ ;* \-#\ ;@\ "/>
    <numFmt numFmtId="169" formatCode="#,##0.00\ ;\(#,##0.00\);\-#\ ;@\ "/>
    <numFmt numFmtId="170" formatCode="#,##0.000000;\(#,##0.000000\)"/>
    <numFmt numFmtId="171" formatCode="&quot;R$ &quot;#,##0.00;[Red]&quot;-R$ &quot;#,##0.00"/>
    <numFmt numFmtId="172" formatCode="_-[$R$-416]\ * #,##0.00_-;\-[$R$-416]\ * #,##0.00_-;_-[$R$-416]\ * \-??_-;_-@_-"/>
    <numFmt numFmtId="173" formatCode="#,##0.00\ ;\(#,##0.00\)"/>
    <numFmt numFmtId="174" formatCode="&quot;R$ &quot;#,##0.00\ ;[Red]&quot;(R$ &quot;#,##0.00\)"/>
    <numFmt numFmtId="175" formatCode="[$R$-416]\ #,##0.00;[Red]\-[$R$-416]\ #,##0.00"/>
    <numFmt numFmtId="176" formatCode="* #,##0.00\ ;\-* #,##0.00\ ;* \-#\ ;@"/>
    <numFmt numFmtId="177" formatCode="0.0000000"/>
    <numFmt numFmtId="178" formatCode="0.00000000"/>
    <numFmt numFmtId="179" formatCode="0.000000000"/>
    <numFmt numFmtId="180" formatCode="#,##0.00\ ;#,##0.00\ ;\-#\ ;@\ "/>
    <numFmt numFmtId="181" formatCode="0.000000000;[Red]\(0.000000000\)"/>
    <numFmt numFmtId="182" formatCode="0.0000000000"/>
    <numFmt numFmtId="183" formatCode="0.0000"/>
    <numFmt numFmtId="184" formatCode="&quot;R$&quot;\ #,##0.00"/>
    <numFmt numFmtId="185" formatCode="_-[$R$-416]\ * #,##0.00_-;\-[$R$-416]\ * #,##0.00_-;_-[$R$-416]\ * &quot;-&quot;??_-;_-@_-"/>
  </numFmts>
  <fonts count="64" x14ac:knownFonts="1">
    <font>
      <sz val="11"/>
      <color rgb="FF333333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sz val="9"/>
      <color rgb="FF000000"/>
      <name val="Calibri"/>
      <family val="2"/>
      <charset val="1"/>
    </font>
    <font>
      <strike/>
      <sz val="9"/>
      <color rgb="FF000000"/>
      <name val="Calibri"/>
      <family val="2"/>
      <charset val="1"/>
    </font>
    <font>
      <strike/>
      <sz val="9"/>
      <color rgb="FF333333"/>
      <name val="Calibri"/>
      <family val="2"/>
      <charset val="1"/>
    </font>
    <font>
      <strike/>
      <sz val="9"/>
      <color rgb="FFDDDDDD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9"/>
      <color rgb="FF333333"/>
      <name val="Arial"/>
      <family val="2"/>
      <charset val="1"/>
    </font>
    <font>
      <sz val="8"/>
      <color rgb="FF333333"/>
      <name val="Arial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333333"/>
      <name val="Calibri"/>
      <family val="2"/>
      <charset val="1"/>
    </font>
    <font>
      <b/>
      <sz val="12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strike/>
      <sz val="10"/>
      <color rgb="FF000000"/>
      <name val="Calibri"/>
      <family val="2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11"/>
      <color rgb="FF444444"/>
      <name val="Calibri"/>
      <family val="2"/>
      <charset val="1"/>
    </font>
    <font>
      <sz val="11"/>
      <color rgb="FF333333"/>
      <name val="Calibri"/>
      <family val="2"/>
      <charset val="1"/>
    </font>
    <font>
      <b/>
      <i/>
      <sz val="10"/>
      <color rgb="FF333333"/>
      <name val="Calibri"/>
      <family val="2"/>
      <charset val="1"/>
    </font>
    <font>
      <sz val="10"/>
      <color rgb="FFFF0000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0"/>
      <name val="Arial"/>
      <family val="2"/>
    </font>
    <font>
      <sz val="10"/>
      <name val="Calibri"/>
      <family val="2"/>
      <charset val="1"/>
    </font>
    <font>
      <u/>
      <sz val="11"/>
      <color theme="10"/>
      <name val="Arial"/>
      <family val="2"/>
      <charset val="1"/>
    </font>
    <font>
      <sz val="10"/>
      <color rgb="FF333333"/>
      <name val="Arial"/>
      <family val="2"/>
    </font>
    <font>
      <sz val="10"/>
      <color rgb="FF000000"/>
      <name val="Calibri"/>
      <family val="2"/>
    </font>
    <font>
      <b/>
      <sz val="8"/>
      <color rgb="FFFF0000"/>
      <name val="Calibri"/>
      <family val="2"/>
      <charset val="1"/>
    </font>
    <font>
      <b/>
      <sz val="9"/>
      <color rgb="FFC00000"/>
      <name val="Arial"/>
      <family val="2"/>
    </font>
    <font>
      <b/>
      <sz val="11"/>
      <color rgb="FF333333"/>
      <name val="Arial"/>
      <family val="2"/>
      <charset val="1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1F4E78"/>
        <bgColor rgb="FF3D4C2F"/>
      </patternFill>
    </fill>
    <fill>
      <patternFill patternType="solid">
        <fgColor rgb="FFD9E1F2"/>
        <bgColor rgb="FFD6DCE4"/>
      </patternFill>
    </fill>
    <fill>
      <patternFill patternType="solid">
        <fgColor rgb="FFBF819E"/>
        <bgColor rgb="FFA6A6A6"/>
      </patternFill>
    </fill>
    <fill>
      <patternFill patternType="solid">
        <fgColor rgb="FFFFE699"/>
        <bgColor rgb="FFFFFF99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D0CECE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CE4D6"/>
        <bgColor rgb="FFFFF2CC"/>
      </patternFill>
    </fill>
    <fill>
      <patternFill patternType="solid">
        <fgColor rgb="FF49873A"/>
        <bgColor rgb="FF808080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D6DCE4"/>
        <bgColor rgb="FFDBDBDB"/>
      </patternFill>
    </fill>
    <fill>
      <patternFill patternType="solid">
        <fgColor rgb="FFFFFF00"/>
        <bgColor rgb="FFFFCC00"/>
      </patternFill>
    </fill>
    <fill>
      <patternFill patternType="solid">
        <fgColor rgb="FFB4C7DC"/>
        <bgColor rgb="FFB4C6E7"/>
      </patternFill>
    </fill>
    <fill>
      <patternFill patternType="solid">
        <fgColor rgb="FFFFFFCC"/>
        <bgColor rgb="FFFFF2CC"/>
      </patternFill>
    </fill>
    <fill>
      <patternFill patternType="solid">
        <fgColor rgb="FFCC99FF"/>
        <bgColor rgb="FFADB9CA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4C6E7"/>
      </patternFill>
    </fill>
    <fill>
      <patternFill patternType="solid">
        <fgColor rgb="FFC0C0C0"/>
        <bgColor rgb="FFC1C1C1"/>
      </patternFill>
    </fill>
    <fill>
      <patternFill patternType="solid">
        <fgColor rgb="FFFD6802"/>
        <bgColor rgb="FFFF9999"/>
      </patternFill>
    </fill>
    <fill>
      <patternFill patternType="solid">
        <fgColor rgb="FFFFCC00"/>
        <bgColor rgb="FFFFC0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70AD47"/>
      </patternFill>
    </fill>
    <fill>
      <patternFill patternType="solid">
        <fgColor rgb="FF5983B0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18E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darkGray">
        <fgColor rgb="FFFD6802"/>
        <bgColor rgb="FFFF9999"/>
      </patternFill>
    </fill>
    <fill>
      <patternFill patternType="solid">
        <fgColor rgb="FF9BC2E6"/>
        <bgColor rgb="FFB4C6E7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DDDDD"/>
      </patternFill>
    </fill>
    <fill>
      <patternFill patternType="solid">
        <fgColor rgb="FFF4B183"/>
        <bgColor rgb="FFFF9999"/>
      </patternFill>
    </fill>
    <fill>
      <patternFill patternType="solid">
        <fgColor rgb="FFFF9999"/>
        <bgColor rgb="FFF4B183"/>
      </patternFill>
    </fill>
    <fill>
      <patternFill patternType="solid">
        <fgColor rgb="FFFFCCCC"/>
        <bgColor rgb="FFF8CBAD"/>
      </patternFill>
    </fill>
    <fill>
      <patternFill patternType="solid">
        <fgColor rgb="FFC1C1C1"/>
        <bgColor rgb="FFC0C0C0"/>
      </patternFill>
    </fill>
    <fill>
      <patternFill patternType="solid">
        <fgColor rgb="FFDDDDDD"/>
        <bgColor rgb="FFDBDBDB"/>
      </patternFill>
    </fill>
    <fill>
      <patternFill patternType="solid">
        <fgColor rgb="FF70AD47"/>
        <bgColor rgb="FF5EB91E"/>
      </patternFill>
    </fill>
    <fill>
      <patternFill patternType="solid">
        <fgColor rgb="FFA9D08E"/>
        <bgColor rgb="FFA9D18E"/>
      </patternFill>
    </fill>
    <fill>
      <patternFill patternType="solid">
        <fgColor rgb="FFCCCCCC"/>
        <bgColor rgb="FFD0CECE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FFFF99"/>
        <bgColor rgb="FFFFFFCC"/>
      </patternFill>
    </fill>
    <fill>
      <patternFill patternType="solid">
        <fgColor rgb="FFD6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19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9BC2E6"/>
      </left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 style="medium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168" fontId="12" fillId="0" borderId="0"/>
    <xf numFmtId="9" fontId="18" fillId="0" borderId="0" applyBorder="0" applyProtection="0"/>
    <xf numFmtId="166" fontId="1" fillId="0" borderId="0" applyBorder="0" applyProtection="0"/>
    <xf numFmtId="0" fontId="53" fillId="0" borderId="0" applyNumberFormat="0" applyFill="0" applyBorder="0" applyAlignment="0" applyProtection="0"/>
  </cellStyleXfs>
  <cellXfs count="954">
    <xf numFmtId="0" fontId="0" fillId="0" borderId="0" xfId="0"/>
    <xf numFmtId="0" fontId="6" fillId="3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vertical="center"/>
    </xf>
    <xf numFmtId="167" fontId="3" fillId="0" borderId="3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/>
    <xf numFmtId="0" fontId="6" fillId="0" borderId="10" xfId="0" applyFont="1" applyBorder="1"/>
    <xf numFmtId="0" fontId="6" fillId="3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0" fontId="3" fillId="0" borderId="3" xfId="1" applyNumberFormat="1" applyFont="1" applyBorder="1" applyAlignment="1">
      <alignment horizontal="center" vertical="center"/>
    </xf>
    <xf numFmtId="169" fontId="3" fillId="0" borderId="3" xfId="1" applyNumberFormat="1" applyFont="1" applyBorder="1" applyAlignment="1">
      <alignment horizontal="center" vertical="center"/>
    </xf>
    <xf numFmtId="169" fontId="13" fillId="0" borderId="0" xfId="1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10" fontId="16" fillId="0" borderId="3" xfId="1" applyNumberFormat="1" applyFont="1" applyBorder="1" applyAlignment="1">
      <alignment horizontal="center" vertical="center"/>
    </xf>
    <xf numFmtId="169" fontId="16" fillId="0" borderId="3" xfId="1" applyNumberFormat="1" applyFont="1" applyBorder="1" applyAlignment="1">
      <alignment horizontal="center" vertical="center"/>
    </xf>
    <xf numFmtId="169" fontId="17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70" fontId="3" fillId="0" borderId="3" xfId="1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165" fontId="18" fillId="0" borderId="20" xfId="0" applyNumberFormat="1" applyFont="1" applyBorder="1" applyAlignment="1">
      <alignment vertical="center"/>
    </xf>
    <xf numFmtId="165" fontId="18" fillId="0" borderId="21" xfId="0" applyNumberFormat="1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2" fillId="8" borderId="25" xfId="0" applyFont="1" applyFill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165" fontId="18" fillId="0" borderId="27" xfId="0" applyNumberFormat="1" applyFont="1" applyBorder="1" applyAlignment="1">
      <alignment vertical="center"/>
    </xf>
    <xf numFmtId="165" fontId="18" fillId="0" borderId="18" xfId="0" applyNumberFormat="1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20" fillId="3" borderId="25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164" fontId="18" fillId="0" borderId="30" xfId="0" applyNumberFormat="1" applyFont="1" applyBorder="1" applyAlignment="1">
      <alignment vertical="center"/>
    </xf>
    <xf numFmtId="164" fontId="18" fillId="0" borderId="33" xfId="0" applyNumberFormat="1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9" borderId="33" xfId="0" applyFont="1" applyFill="1" applyBorder="1" applyAlignment="1">
      <alignment vertical="center"/>
    </xf>
    <xf numFmtId="0" fontId="18" fillId="9" borderId="0" xfId="0" applyFont="1" applyFill="1" applyAlignment="1">
      <alignment vertical="center"/>
    </xf>
    <xf numFmtId="171" fontId="18" fillId="9" borderId="0" xfId="0" applyNumberFormat="1" applyFont="1" applyFill="1" applyAlignment="1">
      <alignment vertical="center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2" fontId="18" fillId="9" borderId="3" xfId="0" applyNumberFormat="1" applyFont="1" applyFill="1" applyBorder="1" applyAlignment="1">
      <alignment vertical="center"/>
    </xf>
    <xf numFmtId="0" fontId="20" fillId="3" borderId="38" xfId="0" applyFont="1" applyFill="1" applyBorder="1" applyAlignment="1">
      <alignment horizontal="center" vertical="center" wrapText="1"/>
    </xf>
    <xf numFmtId="165" fontId="18" fillId="9" borderId="0" xfId="0" applyNumberFormat="1" applyFont="1" applyFill="1" applyAlignment="1">
      <alignment vertical="center"/>
    </xf>
    <xf numFmtId="164" fontId="18" fillId="9" borderId="0" xfId="0" applyNumberFormat="1" applyFont="1" applyFill="1" applyAlignment="1">
      <alignment vertical="center"/>
    </xf>
    <xf numFmtId="0" fontId="20" fillId="10" borderId="15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9" fontId="19" fillId="10" borderId="41" xfId="0" applyNumberFormat="1" applyFont="1" applyFill="1" applyBorder="1" applyAlignment="1">
      <alignment horizontal="left" vertical="center"/>
    </xf>
    <xf numFmtId="0" fontId="19" fillId="10" borderId="41" xfId="0" applyFont="1" applyFill="1" applyBorder="1" applyAlignment="1">
      <alignment horizontal="center" vertical="center"/>
    </xf>
    <xf numFmtId="0" fontId="20" fillId="12" borderId="8" xfId="0" applyFont="1" applyFill="1" applyBorder="1" applyAlignment="1">
      <alignment horizontal="center" vertical="center" wrapText="1"/>
    </xf>
    <xf numFmtId="0" fontId="20" fillId="12" borderId="27" xfId="0" applyFont="1" applyFill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vertical="center" wrapText="1"/>
    </xf>
    <xf numFmtId="165" fontId="19" fillId="13" borderId="12" xfId="0" applyNumberFormat="1" applyFont="1" applyFill="1" applyBorder="1" applyAlignment="1">
      <alignment vertical="center"/>
    </xf>
    <xf numFmtId="0" fontId="18" fillId="0" borderId="43" xfId="0" applyFont="1" applyBorder="1" applyAlignment="1">
      <alignment vertical="center"/>
    </xf>
    <xf numFmtId="165" fontId="18" fillId="0" borderId="44" xfId="0" applyNumberFormat="1" applyFont="1" applyBorder="1" applyAlignment="1">
      <alignment vertical="center"/>
    </xf>
    <xf numFmtId="0" fontId="20" fillId="15" borderId="8" xfId="0" applyFont="1" applyFill="1" applyBorder="1" applyAlignment="1">
      <alignment horizontal="center" vertical="center" wrapText="1"/>
    </xf>
    <xf numFmtId="0" fontId="20" fillId="15" borderId="27" xfId="0" applyFont="1" applyFill="1" applyBorder="1" applyAlignment="1">
      <alignment horizontal="center" vertical="center" wrapText="1"/>
    </xf>
    <xf numFmtId="0" fontId="20" fillId="15" borderId="18" xfId="0" applyFont="1" applyFill="1" applyBorder="1" applyAlignment="1">
      <alignment horizontal="center" vertical="center" wrapText="1"/>
    </xf>
    <xf numFmtId="171" fontId="18" fillId="0" borderId="31" xfId="0" applyNumberFormat="1" applyFont="1" applyBorder="1" applyAlignment="1">
      <alignment vertical="center"/>
    </xf>
    <xf numFmtId="2" fontId="18" fillId="0" borderId="3" xfId="0" applyNumberFormat="1" applyFont="1" applyBorder="1" applyAlignment="1">
      <alignment vertical="center"/>
    </xf>
    <xf numFmtId="165" fontId="18" fillId="0" borderId="6" xfId="0" applyNumberFormat="1" applyFont="1" applyBorder="1" applyAlignment="1">
      <alignment vertical="center"/>
    </xf>
    <xf numFmtId="171" fontId="18" fillId="0" borderId="32" xfId="0" applyNumberFormat="1" applyFont="1" applyBorder="1" applyAlignment="1">
      <alignment vertical="center"/>
    </xf>
    <xf numFmtId="165" fontId="18" fillId="0" borderId="48" xfId="0" applyNumberFormat="1" applyFont="1" applyBorder="1" applyAlignment="1">
      <alignment vertical="center"/>
    </xf>
    <xf numFmtId="171" fontId="18" fillId="0" borderId="49" xfId="0" applyNumberFormat="1" applyFont="1" applyBorder="1" applyAlignment="1">
      <alignment vertical="center"/>
    </xf>
    <xf numFmtId="2" fontId="18" fillId="0" borderId="7" xfId="0" applyNumberFormat="1" applyFont="1" applyBorder="1" applyAlignment="1">
      <alignment vertical="center"/>
    </xf>
    <xf numFmtId="171" fontId="18" fillId="0" borderId="21" xfId="0" applyNumberFormat="1" applyFont="1" applyBorder="1" applyAlignment="1">
      <alignment vertical="center"/>
    </xf>
    <xf numFmtId="0" fontId="24" fillId="9" borderId="23" xfId="0" applyFont="1" applyFill="1" applyBorder="1" applyAlignment="1">
      <alignment wrapText="1"/>
    </xf>
    <xf numFmtId="0" fontId="18" fillId="0" borderId="6" xfId="0" applyFont="1" applyBorder="1" applyAlignment="1">
      <alignment vertical="center"/>
    </xf>
    <xf numFmtId="0" fontId="9" fillId="0" borderId="0" xfId="0" applyFont="1"/>
    <xf numFmtId="0" fontId="26" fillId="9" borderId="33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167" fontId="6" fillId="18" borderId="45" xfId="0" applyNumberFormat="1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vertical="center"/>
    </xf>
    <xf numFmtId="0" fontId="6" fillId="9" borderId="0" xfId="0" applyFont="1" applyFill="1" applyAlignment="1">
      <alignment horizontal="right" vertical="center"/>
    </xf>
    <xf numFmtId="173" fontId="3" fillId="18" borderId="23" xfId="1" applyNumberFormat="1" applyFont="1" applyFill="1" applyBorder="1" applyAlignment="1">
      <alignment horizontal="center" vertical="center"/>
    </xf>
    <xf numFmtId="167" fontId="3" fillId="18" borderId="23" xfId="0" applyNumberFormat="1" applyFont="1" applyFill="1" applyBorder="1" applyAlignment="1">
      <alignment horizontal="center" vertical="center"/>
    </xf>
    <xf numFmtId="167" fontId="3" fillId="18" borderId="42" xfId="0" applyNumberFormat="1" applyFont="1" applyFill="1" applyBorder="1" applyAlignment="1">
      <alignment horizontal="center" vertical="center"/>
    </xf>
    <xf numFmtId="0" fontId="25" fillId="21" borderId="23" xfId="0" applyFont="1" applyFill="1" applyBorder="1" applyAlignment="1">
      <alignment vertical="center" wrapText="1"/>
    </xf>
    <xf numFmtId="169" fontId="25" fillId="21" borderId="3" xfId="1" applyNumberFormat="1" applyFont="1" applyFill="1" applyBorder="1" applyAlignment="1">
      <alignment horizontal="center" vertical="center"/>
    </xf>
    <xf numFmtId="169" fontId="25" fillId="21" borderId="54" xfId="1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vertical="center" wrapText="1"/>
    </xf>
    <xf numFmtId="165" fontId="27" fillId="9" borderId="3" xfId="2" applyNumberFormat="1" applyFont="1" applyFill="1" applyBorder="1" applyAlignment="1" applyProtection="1">
      <alignment vertical="center"/>
    </xf>
    <xf numFmtId="169" fontId="25" fillId="9" borderId="3" xfId="1" applyNumberFormat="1" applyFont="1" applyFill="1" applyBorder="1"/>
    <xf numFmtId="169" fontId="25" fillId="9" borderId="54" xfId="1" applyNumberFormat="1" applyFont="1" applyFill="1" applyBorder="1"/>
    <xf numFmtId="10" fontId="27" fillId="9" borderId="3" xfId="2" applyNumberFormat="1" applyFont="1" applyFill="1" applyBorder="1" applyAlignment="1" applyProtection="1">
      <alignment vertical="center"/>
    </xf>
    <xf numFmtId="169" fontId="28" fillId="9" borderId="3" xfId="2" applyNumberFormat="1" applyFont="1" applyFill="1" applyBorder="1" applyAlignment="1" applyProtection="1">
      <alignment vertical="center"/>
    </xf>
    <xf numFmtId="10" fontId="28" fillId="9" borderId="3" xfId="0" applyNumberFormat="1" applyFont="1" applyFill="1" applyBorder="1" applyAlignment="1">
      <alignment vertical="center"/>
    </xf>
    <xf numFmtId="0" fontId="23" fillId="7" borderId="23" xfId="0" applyFont="1" applyFill="1" applyBorder="1" applyAlignment="1">
      <alignment horizontal="right" vertical="center"/>
    </xf>
    <xf numFmtId="9" fontId="23" fillId="7" borderId="3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vertical="center"/>
    </xf>
    <xf numFmtId="169" fontId="25" fillId="22" borderId="3" xfId="1" applyNumberFormat="1" applyFont="1" applyFill="1" applyBorder="1" applyAlignment="1">
      <alignment horizontal="center" vertical="center"/>
    </xf>
    <xf numFmtId="169" fontId="25" fillId="22" borderId="54" xfId="1" applyNumberFormat="1" applyFont="1" applyFill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10" fontId="23" fillId="7" borderId="3" xfId="0" applyNumberFormat="1" applyFont="1" applyFill="1" applyBorder="1" applyAlignment="1">
      <alignment horizontal="center" vertical="center"/>
    </xf>
    <xf numFmtId="2" fontId="23" fillId="7" borderId="3" xfId="0" applyNumberFormat="1" applyFont="1" applyFill="1" applyBorder="1" applyAlignment="1">
      <alignment horizontal="right" vertical="center"/>
    </xf>
    <xf numFmtId="2" fontId="23" fillId="7" borderId="54" xfId="0" applyNumberFormat="1" applyFont="1" applyFill="1" applyBorder="1" applyAlignment="1">
      <alignment horizontal="right" vertical="center"/>
    </xf>
    <xf numFmtId="0" fontId="23" fillId="3" borderId="3" xfId="0" applyFont="1" applyFill="1" applyBorder="1" applyAlignment="1">
      <alignment vertical="center"/>
    </xf>
    <xf numFmtId="0" fontId="23" fillId="3" borderId="54" xfId="0" applyFont="1" applyFill="1" applyBorder="1" applyAlignment="1">
      <alignment vertical="center"/>
    </xf>
    <xf numFmtId="169" fontId="25" fillId="9" borderId="3" xfId="1" applyNumberFormat="1" applyFont="1" applyFill="1" applyBorder="1" applyAlignment="1">
      <alignment vertical="center"/>
    </xf>
    <xf numFmtId="169" fontId="25" fillId="9" borderId="54" xfId="1" applyNumberFormat="1" applyFont="1" applyFill="1" applyBorder="1" applyAlignment="1">
      <alignment vertical="center"/>
    </xf>
    <xf numFmtId="174" fontId="27" fillId="9" borderId="3" xfId="2" applyNumberFormat="1" applyFont="1" applyFill="1" applyBorder="1" applyAlignment="1" applyProtection="1">
      <alignment horizontal="right" vertical="center"/>
    </xf>
    <xf numFmtId="174" fontId="27" fillId="9" borderId="3" xfId="2" applyNumberFormat="1" applyFont="1" applyFill="1" applyBorder="1" applyAlignment="1" applyProtection="1">
      <alignment vertical="center"/>
    </xf>
    <xf numFmtId="166" fontId="27" fillId="9" borderId="3" xfId="2" applyNumberFormat="1" applyFont="1" applyFill="1" applyBorder="1" applyAlignment="1" applyProtection="1">
      <alignment vertical="center"/>
    </xf>
    <xf numFmtId="10" fontId="24" fillId="0" borderId="3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vertical="center"/>
    </xf>
    <xf numFmtId="4" fontId="24" fillId="0" borderId="54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3" fillId="3" borderId="3" xfId="0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" vertical="center"/>
    </xf>
    <xf numFmtId="2" fontId="24" fillId="0" borderId="3" xfId="0" applyNumberFormat="1" applyFont="1" applyBorder="1" applyAlignment="1">
      <alignment horizontal="right" vertical="center"/>
    </xf>
    <xf numFmtId="4" fontId="23" fillId="7" borderId="3" xfId="0" applyNumberFormat="1" applyFont="1" applyFill="1" applyBorder="1" applyAlignment="1">
      <alignment horizontal="right" vertical="center"/>
    </xf>
    <xf numFmtId="4" fontId="23" fillId="7" borderId="54" xfId="0" applyNumberFormat="1" applyFont="1" applyFill="1" applyBorder="1" applyAlignment="1">
      <alignment horizontal="right" vertical="center"/>
    </xf>
    <xf numFmtId="10" fontId="27" fillId="9" borderId="3" xfId="2" applyNumberFormat="1" applyFont="1" applyFill="1" applyBorder="1" applyAlignment="1" applyProtection="1">
      <alignment vertical="center"/>
      <protection locked="0"/>
    </xf>
    <xf numFmtId="0" fontId="25" fillId="23" borderId="23" xfId="0" applyFont="1" applyFill="1" applyBorder="1" applyAlignment="1">
      <alignment horizontal="right" vertical="center" wrapText="1"/>
    </xf>
    <xf numFmtId="10" fontId="25" fillId="23" borderId="3" xfId="0" applyNumberFormat="1" applyFont="1" applyFill="1" applyBorder="1" applyAlignment="1">
      <alignment horizontal="right" vertical="center" wrapText="1"/>
    </xf>
    <xf numFmtId="169" fontId="25" fillId="23" borderId="3" xfId="0" applyNumberFormat="1" applyFont="1" applyFill="1" applyBorder="1" applyAlignment="1">
      <alignment vertical="center"/>
    </xf>
    <xf numFmtId="169" fontId="25" fillId="23" borderId="54" xfId="0" applyNumberFormat="1" applyFont="1" applyFill="1" applyBorder="1" applyAlignment="1">
      <alignment vertical="center"/>
    </xf>
    <xf numFmtId="0" fontId="24" fillId="0" borderId="23" xfId="0" applyFont="1" applyBorder="1" applyAlignment="1">
      <alignment wrapText="1"/>
    </xf>
    <xf numFmtId="171" fontId="27" fillId="9" borderId="3" xfId="2" applyNumberFormat="1" applyFont="1" applyFill="1" applyBorder="1" applyProtection="1"/>
    <xf numFmtId="171" fontId="27" fillId="9" borderId="3" xfId="2" applyNumberFormat="1" applyFont="1" applyFill="1" applyBorder="1" applyAlignment="1" applyProtection="1">
      <alignment vertical="center"/>
    </xf>
    <xf numFmtId="0" fontId="28" fillId="23" borderId="3" xfId="0" applyFont="1" applyFill="1" applyBorder="1" applyAlignment="1">
      <alignment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61" xfId="0" applyFont="1" applyFill="1" applyBorder="1" applyAlignment="1">
      <alignment horizontal="center" vertical="center"/>
    </xf>
    <xf numFmtId="169" fontId="25" fillId="9" borderId="3" xfId="0" applyNumberFormat="1" applyFont="1" applyFill="1" applyBorder="1" applyAlignment="1">
      <alignment vertical="center"/>
    </xf>
    <xf numFmtId="169" fontId="25" fillId="9" borderId="54" xfId="0" applyNumberFormat="1" applyFont="1" applyFill="1" applyBorder="1" applyAlignment="1">
      <alignment vertical="center"/>
    </xf>
    <xf numFmtId="169" fontId="29" fillId="9" borderId="3" xfId="0" applyNumberFormat="1" applyFont="1" applyFill="1" applyBorder="1" applyAlignment="1">
      <alignment vertical="center"/>
    </xf>
    <xf numFmtId="169" fontId="29" fillId="9" borderId="54" xfId="0" applyNumberFormat="1" applyFont="1" applyFill="1" applyBorder="1" applyAlignment="1">
      <alignment vertical="center"/>
    </xf>
    <xf numFmtId="0" fontId="25" fillId="23" borderId="42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31" borderId="12" xfId="0" applyFont="1" applyFill="1" applyBorder="1" applyAlignment="1">
      <alignment horizontal="center" vertical="center" wrapText="1"/>
    </xf>
    <xf numFmtId="0" fontId="23" fillId="17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23" fillId="17" borderId="40" xfId="0" applyFont="1" applyFill="1" applyBorder="1" applyAlignment="1">
      <alignment horizontal="center" vertical="center" wrapText="1"/>
    </xf>
    <xf numFmtId="0" fontId="35" fillId="35" borderId="41" xfId="0" applyFont="1" applyFill="1" applyBorder="1" applyAlignment="1">
      <alignment horizontal="center" vertical="center" wrapText="1"/>
    </xf>
    <xf numFmtId="0" fontId="35" fillId="37" borderId="39" xfId="0" applyFont="1" applyFill="1" applyBorder="1" applyAlignment="1">
      <alignment horizontal="center" vertical="center" wrapText="1"/>
    </xf>
    <xf numFmtId="0" fontId="36" fillId="38" borderId="12" xfId="0" applyFont="1" applyFill="1" applyBorder="1" applyAlignment="1">
      <alignment horizontal="center" vertical="center" wrapText="1"/>
    </xf>
    <xf numFmtId="0" fontId="24" fillId="39" borderId="2" xfId="0" applyFont="1" applyFill="1" applyBorder="1" applyAlignment="1" applyProtection="1">
      <alignment horizontal="left" vertical="center" wrapText="1"/>
      <protection locked="0"/>
    </xf>
    <xf numFmtId="168" fontId="14" fillId="0" borderId="19" xfId="1" applyFont="1" applyBorder="1" applyAlignment="1">
      <alignment horizontal="center" vertical="center"/>
    </xf>
    <xf numFmtId="165" fontId="14" fillId="0" borderId="9" xfId="1" applyNumberFormat="1" applyFont="1" applyBorder="1" applyAlignment="1">
      <alignment horizontal="center" vertical="center"/>
    </xf>
    <xf numFmtId="168" fontId="14" fillId="0" borderId="7" xfId="1" applyFont="1" applyBorder="1" applyAlignment="1">
      <alignment horizontal="center" vertical="center"/>
    </xf>
    <xf numFmtId="172" fontId="14" fillId="0" borderId="20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68" fontId="14" fillId="0" borderId="20" xfId="1" applyFont="1" applyBorder="1" applyAlignment="1">
      <alignment horizontal="center" vertical="center"/>
    </xf>
    <xf numFmtId="172" fontId="35" fillId="30" borderId="30" xfId="0" applyNumberFormat="1" applyFont="1" applyFill="1" applyBorder="1" applyAlignment="1">
      <alignment horizontal="center" vertical="center" wrapText="1"/>
    </xf>
    <xf numFmtId="168" fontId="24" fillId="36" borderId="62" xfId="1" applyFont="1" applyFill="1" applyBorder="1" applyAlignment="1">
      <alignment horizontal="center" vertical="center"/>
    </xf>
    <xf numFmtId="172" fontId="24" fillId="37" borderId="53" xfId="1" applyNumberFormat="1" applyFont="1" applyFill="1" applyBorder="1" applyAlignment="1">
      <alignment horizontal="center" vertical="center"/>
    </xf>
    <xf numFmtId="172" fontId="24" fillId="38" borderId="53" xfId="1" applyNumberFormat="1" applyFont="1" applyFill="1" applyBorder="1" applyAlignment="1">
      <alignment horizontal="center" vertical="center"/>
    </xf>
    <xf numFmtId="0" fontId="24" fillId="40" borderId="63" xfId="0" applyFont="1" applyFill="1" applyBorder="1" applyAlignment="1" applyProtection="1">
      <alignment horizontal="left" vertical="center"/>
      <protection locked="0"/>
    </xf>
    <xf numFmtId="168" fontId="14" fillId="0" borderId="23" xfId="1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center" vertical="center"/>
    </xf>
    <xf numFmtId="168" fontId="14" fillId="0" borderId="3" xfId="1" applyFont="1" applyBorder="1" applyAlignment="1">
      <alignment horizontal="center" vertical="center"/>
    </xf>
    <xf numFmtId="172" fontId="14" fillId="0" borderId="6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68" fontId="14" fillId="0" borderId="6" xfId="1" applyFont="1" applyBorder="1" applyAlignment="1">
      <alignment horizontal="center" vertical="center"/>
    </xf>
    <xf numFmtId="172" fontId="35" fillId="30" borderId="64" xfId="0" applyNumberFormat="1" applyFont="1" applyFill="1" applyBorder="1" applyAlignment="1">
      <alignment horizontal="center" vertical="center" wrapText="1"/>
    </xf>
    <xf numFmtId="168" fontId="24" fillId="36" borderId="64" xfId="1" applyFont="1" applyFill="1" applyBorder="1" applyAlignment="1">
      <alignment horizontal="center" vertical="center"/>
    </xf>
    <xf numFmtId="172" fontId="24" fillId="37" borderId="54" xfId="1" applyNumberFormat="1" applyFont="1" applyFill="1" applyBorder="1" applyAlignment="1">
      <alignment horizontal="center" vertical="center"/>
    </xf>
    <xf numFmtId="172" fontId="24" fillId="38" borderId="54" xfId="1" applyNumberFormat="1" applyFont="1" applyFill="1" applyBorder="1" applyAlignment="1">
      <alignment horizontal="center" vertical="center"/>
    </xf>
    <xf numFmtId="4" fontId="14" fillId="0" borderId="3" xfId="1" applyNumberFormat="1" applyFont="1" applyBorder="1" applyAlignment="1">
      <alignment horizontal="center" vertical="center"/>
    </xf>
    <xf numFmtId="0" fontId="14" fillId="0" borderId="0" xfId="0" applyFont="1"/>
    <xf numFmtId="0" fontId="24" fillId="40" borderId="4" xfId="0" applyFont="1" applyFill="1" applyBorder="1" applyAlignment="1" applyProtection="1">
      <alignment horizontal="left" vertical="center"/>
      <protection locked="0"/>
    </xf>
    <xf numFmtId="168" fontId="14" fillId="0" borderId="26" xfId="1" applyFont="1" applyBorder="1" applyAlignment="1">
      <alignment horizontal="center" vertical="center"/>
    </xf>
    <xf numFmtId="165" fontId="14" fillId="0" borderId="65" xfId="1" applyNumberFormat="1" applyFont="1" applyBorder="1" applyAlignment="1">
      <alignment horizontal="center" vertical="center"/>
    </xf>
    <xf numFmtId="168" fontId="14" fillId="0" borderId="11" xfId="1" applyFont="1" applyBorder="1" applyAlignment="1">
      <alignment horizontal="center" vertical="center"/>
    </xf>
    <xf numFmtId="172" fontId="14" fillId="0" borderId="48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168" fontId="14" fillId="0" borderId="48" xfId="1" applyFont="1" applyBorder="1" applyAlignment="1">
      <alignment horizontal="center" vertical="center"/>
    </xf>
    <xf numFmtId="172" fontId="35" fillId="30" borderId="66" xfId="0" applyNumberFormat="1" applyFont="1" applyFill="1" applyBorder="1" applyAlignment="1">
      <alignment horizontal="center" vertical="center" wrapText="1"/>
    </xf>
    <xf numFmtId="172" fontId="24" fillId="37" borderId="55" xfId="1" applyNumberFormat="1" applyFont="1" applyFill="1" applyBorder="1" applyAlignment="1">
      <alignment horizontal="center" vertical="center"/>
    </xf>
    <xf numFmtId="172" fontId="24" fillId="38" borderId="55" xfId="1" applyNumberFormat="1" applyFont="1" applyFill="1" applyBorder="1" applyAlignment="1">
      <alignment horizontal="center" vertical="center"/>
    </xf>
    <xf numFmtId="165" fontId="39" fillId="29" borderId="68" xfId="1" applyNumberFormat="1" applyFont="1" applyFill="1" applyBorder="1" applyAlignment="1">
      <alignment horizontal="center" vertical="center"/>
    </xf>
    <xf numFmtId="168" fontId="39" fillId="29" borderId="36" xfId="1" applyFont="1" applyFill="1" applyBorder="1" applyAlignment="1">
      <alignment horizontal="center" vertical="center"/>
    </xf>
    <xf numFmtId="172" fontId="39" fillId="29" borderId="38" xfId="1" applyNumberFormat="1" applyFont="1" applyFill="1" applyBorder="1" applyAlignment="1">
      <alignment horizontal="center" vertical="center"/>
    </xf>
    <xf numFmtId="168" fontId="39" fillId="29" borderId="52" xfId="1" applyFont="1" applyFill="1" applyBorder="1" applyAlignment="1">
      <alignment horizontal="center" vertical="center"/>
    </xf>
    <xf numFmtId="172" fontId="39" fillId="29" borderId="52" xfId="1" applyNumberFormat="1" applyFont="1" applyFill="1" applyBorder="1" applyAlignment="1">
      <alignment horizontal="center" vertical="center"/>
    </xf>
    <xf numFmtId="168" fontId="14" fillId="0" borderId="46" xfId="1" applyFont="1" applyBorder="1" applyAlignment="1">
      <alignment horizontal="center" vertical="center"/>
    </xf>
    <xf numFmtId="168" fontId="14" fillId="0" borderId="53" xfId="1" applyFont="1" applyBorder="1" applyAlignment="1">
      <alignment horizontal="right" vertical="center"/>
    </xf>
    <xf numFmtId="1" fontId="14" fillId="0" borderId="54" xfId="1" applyNumberFormat="1" applyFont="1" applyBorder="1" applyAlignment="1">
      <alignment horizontal="right" vertical="center"/>
    </xf>
    <xf numFmtId="168" fontId="14" fillId="0" borderId="54" xfId="1" applyFont="1" applyBorder="1" applyAlignment="1">
      <alignment horizontal="right" vertical="center"/>
    </xf>
    <xf numFmtId="168" fontId="24" fillId="36" borderId="66" xfId="1" applyFont="1" applyFill="1" applyBorder="1" applyAlignment="1">
      <alignment horizontal="center" vertical="center"/>
    </xf>
    <xf numFmtId="172" fontId="24" fillId="38" borderId="61" xfId="1" applyNumberFormat="1" applyFont="1" applyFill="1" applyBorder="1" applyAlignment="1">
      <alignment horizontal="center" vertical="center"/>
    </xf>
    <xf numFmtId="168" fontId="14" fillId="0" borderId="61" xfId="1" applyFont="1" applyBorder="1" applyAlignment="1">
      <alignment horizontal="right" vertical="center"/>
    </xf>
    <xf numFmtId="4" fontId="39" fillId="29" borderId="36" xfId="1" applyNumberFormat="1" applyFont="1" applyFill="1" applyBorder="1" applyAlignment="1">
      <alignment horizontal="center" vertical="center"/>
    </xf>
    <xf numFmtId="4" fontId="39" fillId="29" borderId="38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2" fontId="33" fillId="0" borderId="0" xfId="0" applyNumberFormat="1" applyFont="1" applyAlignment="1">
      <alignment horizontal="center"/>
    </xf>
    <xf numFmtId="0" fontId="2" fillId="0" borderId="0" xfId="0" applyFont="1"/>
    <xf numFmtId="0" fontId="0" fillId="2" borderId="69" xfId="0" applyFill="1" applyBorder="1" applyAlignment="1">
      <alignment horizontal="center" vertical="center"/>
    </xf>
    <xf numFmtId="4" fontId="41" fillId="2" borderId="71" xfId="0" applyNumberFormat="1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vertical="center"/>
    </xf>
    <xf numFmtId="0" fontId="41" fillId="2" borderId="71" xfId="0" applyFont="1" applyFill="1" applyBorder="1" applyAlignment="1">
      <alignment horizontal="center" vertical="center"/>
    </xf>
    <xf numFmtId="0" fontId="39" fillId="2" borderId="71" xfId="0" applyFont="1" applyFill="1" applyBorder="1" applyAlignment="1">
      <alignment horizontal="left" vertical="center"/>
    </xf>
    <xf numFmtId="4" fontId="42" fillId="2" borderId="72" xfId="0" applyNumberFormat="1" applyFont="1" applyFill="1" applyBorder="1" applyAlignment="1">
      <alignment horizontal="center" vertical="center"/>
    </xf>
    <xf numFmtId="4" fontId="43" fillId="2" borderId="7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4" fontId="41" fillId="2" borderId="0" xfId="0" applyNumberFormat="1" applyFont="1" applyFill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4" xfId="0" applyFill="1" applyBorder="1" applyAlignment="1">
      <alignment vertical="center"/>
    </xf>
    <xf numFmtId="0" fontId="41" fillId="2" borderId="74" xfId="0" applyFont="1" applyFill="1" applyBorder="1" applyAlignment="1">
      <alignment horizontal="center" vertical="center"/>
    </xf>
    <xf numFmtId="4" fontId="41" fillId="2" borderId="74" xfId="0" applyNumberFormat="1" applyFont="1" applyFill="1" applyBorder="1" applyAlignment="1">
      <alignment horizontal="center" vertical="center"/>
    </xf>
    <xf numFmtId="0" fontId="38" fillId="0" borderId="0" xfId="0" applyFont="1"/>
    <xf numFmtId="0" fontId="35" fillId="42" borderId="40" xfId="0" applyFont="1" applyFill="1" applyBorder="1" applyAlignment="1">
      <alignment horizontal="center" vertical="center" wrapText="1"/>
    </xf>
    <xf numFmtId="0" fontId="35" fillId="42" borderId="13" xfId="0" applyFont="1" applyFill="1" applyBorder="1" applyAlignment="1">
      <alignment horizontal="center" vertical="center" wrapText="1"/>
    </xf>
    <xf numFmtId="0" fontId="36" fillId="43" borderId="12" xfId="0" applyFont="1" applyFill="1" applyBorder="1" applyAlignment="1">
      <alignment horizontal="center" wrapText="1"/>
    </xf>
    <xf numFmtId="0" fontId="35" fillId="42" borderId="12" xfId="0" applyFont="1" applyFill="1" applyBorder="1" applyAlignment="1">
      <alignment horizontal="center" vertical="center" wrapText="1"/>
    </xf>
    <xf numFmtId="0" fontId="35" fillId="35" borderId="59" xfId="0" applyFont="1" applyFill="1" applyBorder="1" applyAlignment="1">
      <alignment horizontal="center" vertical="center" wrapText="1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168" fontId="24" fillId="42" borderId="30" xfId="1" applyFont="1" applyFill="1" applyBorder="1" applyAlignment="1">
      <alignment horizontal="center" vertical="center"/>
    </xf>
    <xf numFmtId="168" fontId="24" fillId="35" borderId="30" xfId="1" applyFont="1" applyFill="1" applyBorder="1" applyAlignment="1">
      <alignment horizontal="center" vertical="center"/>
    </xf>
    <xf numFmtId="168" fontId="24" fillId="42" borderId="2" xfId="1" applyFont="1" applyFill="1" applyBorder="1" applyAlignment="1">
      <alignment horizontal="center" vertical="center"/>
    </xf>
    <xf numFmtId="0" fontId="24" fillId="0" borderId="64" xfId="0" applyFont="1" applyBorder="1" applyAlignment="1" applyProtection="1">
      <alignment horizontal="center" vertical="center"/>
      <protection locked="0"/>
    </xf>
    <xf numFmtId="168" fontId="24" fillId="42" borderId="64" xfId="1" applyFont="1" applyFill="1" applyBorder="1" applyAlignment="1">
      <alignment horizontal="center" vertical="center"/>
    </xf>
    <xf numFmtId="168" fontId="24" fillId="35" borderId="64" xfId="1" applyFont="1" applyFill="1" applyBorder="1" applyAlignment="1">
      <alignment horizontal="center" vertical="center"/>
    </xf>
    <xf numFmtId="0" fontId="37" fillId="0" borderId="64" xfId="0" applyFont="1" applyBorder="1" applyAlignment="1" applyProtection="1">
      <alignment horizontal="center" vertical="center"/>
      <protection locked="0"/>
    </xf>
    <xf numFmtId="0" fontId="24" fillId="0" borderId="66" xfId="0" applyFont="1" applyBorder="1" applyAlignment="1" applyProtection="1">
      <alignment horizontal="center" vertical="center"/>
      <protection locked="0"/>
    </xf>
    <xf numFmtId="168" fontId="24" fillId="42" borderId="66" xfId="1" applyFont="1" applyFill="1" applyBorder="1" applyAlignment="1">
      <alignment horizontal="center" vertical="center"/>
    </xf>
    <xf numFmtId="168" fontId="24" fillId="35" borderId="67" xfId="1" applyFont="1" applyFill="1" applyBorder="1" applyAlignment="1">
      <alignment horizontal="center" vertical="center"/>
    </xf>
    <xf numFmtId="0" fontId="44" fillId="29" borderId="40" xfId="0" applyFont="1" applyFill="1" applyBorder="1" applyAlignment="1">
      <alignment horizontal="center" vertical="center"/>
    </xf>
    <xf numFmtId="168" fontId="23" fillId="29" borderId="35" xfId="1" applyFont="1" applyFill="1" applyBorder="1" applyAlignment="1">
      <alignment horizontal="center" vertical="center"/>
    </xf>
    <xf numFmtId="168" fontId="23" fillId="29" borderId="36" xfId="1" applyFont="1" applyFill="1" applyBorder="1" applyAlignment="1">
      <alignment horizontal="center" vertical="center"/>
    </xf>
    <xf numFmtId="168" fontId="23" fillId="29" borderId="52" xfId="1" applyFont="1" applyFill="1" applyBorder="1" applyAlignment="1">
      <alignment horizontal="center" vertical="center"/>
    </xf>
    <xf numFmtId="168" fontId="23" fillId="42" borderId="1" xfId="1" applyFont="1" applyFill="1" applyBorder="1" applyAlignment="1">
      <alignment horizontal="center" vertical="center"/>
    </xf>
    <xf numFmtId="168" fontId="23" fillId="42" borderId="39" xfId="1" applyFont="1" applyFill="1" applyBorder="1" applyAlignment="1">
      <alignment horizontal="center" vertical="center"/>
    </xf>
    <xf numFmtId="168" fontId="23" fillId="42" borderId="13" xfId="1" applyFont="1" applyFill="1" applyBorder="1" applyAlignment="1">
      <alignment horizontal="center" vertical="center"/>
    </xf>
    <xf numFmtId="168" fontId="23" fillId="42" borderId="59" xfId="1" applyFont="1" applyFill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2" fontId="33" fillId="45" borderId="2" xfId="0" applyNumberFormat="1" applyFont="1" applyFill="1" applyBorder="1" applyAlignment="1">
      <alignment horizontal="center"/>
    </xf>
    <xf numFmtId="0" fontId="45" fillId="0" borderId="0" xfId="0" applyFont="1"/>
    <xf numFmtId="2" fontId="33" fillId="45" borderId="64" xfId="0" applyNumberFormat="1" applyFont="1" applyFill="1" applyBorder="1" applyAlignment="1">
      <alignment horizontal="center"/>
    </xf>
    <xf numFmtId="2" fontId="33" fillId="45" borderId="23" xfId="0" applyNumberFormat="1" applyFont="1" applyFill="1" applyBorder="1" applyAlignment="1">
      <alignment horizontal="center"/>
    </xf>
    <xf numFmtId="2" fontId="33" fillId="45" borderId="3" xfId="0" applyNumberFormat="1" applyFont="1" applyFill="1" applyBorder="1" applyAlignment="1">
      <alignment horizontal="center"/>
    </xf>
    <xf numFmtId="2" fontId="33" fillId="45" borderId="54" xfId="0" applyNumberFormat="1" applyFont="1" applyFill="1" applyBorder="1" applyAlignment="1">
      <alignment horizontal="center"/>
    </xf>
    <xf numFmtId="2" fontId="33" fillId="45" borderId="24" xfId="0" applyNumberFormat="1" applyFont="1" applyFill="1" applyBorder="1" applyAlignment="1">
      <alignment horizontal="center"/>
    </xf>
    <xf numFmtId="2" fontId="33" fillId="45" borderId="67" xfId="0" applyNumberFormat="1" applyFont="1" applyFill="1" applyBorder="1" applyAlignment="1">
      <alignment horizontal="center"/>
    </xf>
    <xf numFmtId="2" fontId="33" fillId="45" borderId="42" xfId="0" applyNumberFormat="1" applyFont="1" applyFill="1" applyBorder="1" applyAlignment="1">
      <alignment horizontal="center"/>
    </xf>
    <xf numFmtId="2" fontId="33" fillId="45" borderId="43" xfId="0" applyNumberFormat="1" applyFont="1" applyFill="1" applyBorder="1" applyAlignment="1">
      <alignment horizontal="center"/>
    </xf>
    <xf numFmtId="2" fontId="33" fillId="45" borderId="55" xfId="0" applyNumberFormat="1" applyFont="1" applyFill="1" applyBorder="1" applyAlignment="1">
      <alignment horizontal="center"/>
    </xf>
    <xf numFmtId="2" fontId="33" fillId="45" borderId="76" xfId="0" applyNumberFormat="1" applyFont="1" applyFill="1" applyBorder="1" applyAlignment="1">
      <alignment horizontal="center"/>
    </xf>
    <xf numFmtId="2" fontId="33" fillId="12" borderId="19" xfId="0" applyNumberFormat="1" applyFont="1" applyFill="1" applyBorder="1" applyAlignment="1">
      <alignment horizontal="center"/>
    </xf>
    <xf numFmtId="177" fontId="33" fillId="12" borderId="19" xfId="0" applyNumberFormat="1" applyFont="1" applyFill="1" applyBorder="1" applyAlignment="1">
      <alignment horizontal="center"/>
    </xf>
    <xf numFmtId="177" fontId="33" fillId="12" borderId="7" xfId="0" applyNumberFormat="1" applyFont="1" applyFill="1" applyBorder="1" applyAlignment="1">
      <alignment horizontal="center"/>
    </xf>
    <xf numFmtId="178" fontId="33" fillId="12" borderId="7" xfId="0" applyNumberFormat="1" applyFont="1" applyFill="1" applyBorder="1" applyAlignment="1">
      <alignment horizontal="center"/>
    </xf>
    <xf numFmtId="178" fontId="33" fillId="12" borderId="60" xfId="0" applyNumberFormat="1" applyFont="1" applyFill="1" applyBorder="1" applyAlignment="1">
      <alignment horizontal="center"/>
    </xf>
    <xf numFmtId="2" fontId="33" fillId="12" borderId="23" xfId="0" applyNumberFormat="1" applyFont="1" applyFill="1" applyBorder="1" applyAlignment="1">
      <alignment horizontal="center"/>
    </xf>
    <xf numFmtId="177" fontId="33" fillId="12" borderId="23" xfId="0" applyNumberFormat="1" applyFont="1" applyFill="1" applyBorder="1" applyAlignment="1">
      <alignment horizontal="center"/>
    </xf>
    <xf numFmtId="177" fontId="33" fillId="12" borderId="3" xfId="0" applyNumberFormat="1" applyFont="1" applyFill="1" applyBorder="1" applyAlignment="1">
      <alignment horizontal="center"/>
    </xf>
    <xf numFmtId="178" fontId="33" fillId="12" borderId="3" xfId="0" applyNumberFormat="1" applyFont="1" applyFill="1" applyBorder="1" applyAlignment="1">
      <alignment horizontal="center"/>
    </xf>
    <xf numFmtId="178" fontId="33" fillId="12" borderId="54" xfId="0" applyNumberFormat="1" applyFont="1" applyFill="1" applyBorder="1" applyAlignment="1">
      <alignment horizontal="center"/>
    </xf>
    <xf numFmtId="0" fontId="8" fillId="41" borderId="42" xfId="0" applyFont="1" applyFill="1" applyBorder="1" applyAlignment="1" applyProtection="1">
      <alignment horizontal="center" vertical="center"/>
      <protection locked="0"/>
    </xf>
    <xf numFmtId="0" fontId="14" fillId="4" borderId="42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4" fillId="31" borderId="43" xfId="0" applyFont="1" applyFill="1" applyBorder="1" applyAlignment="1">
      <alignment horizontal="center" vertical="center" wrapText="1"/>
    </xf>
    <xf numFmtId="0" fontId="24" fillId="17" borderId="43" xfId="0" applyFont="1" applyFill="1" applyBorder="1" applyAlignment="1">
      <alignment horizontal="center" vertical="center" wrapText="1"/>
    </xf>
    <xf numFmtId="0" fontId="14" fillId="17" borderId="5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41" borderId="34" xfId="0" applyFont="1" applyFill="1" applyBorder="1" applyAlignment="1" applyProtection="1">
      <alignment horizontal="center" vertical="center"/>
      <protection locked="0"/>
    </xf>
    <xf numFmtId="3" fontId="14" fillId="31" borderId="43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167" fontId="6" fillId="18" borderId="62" xfId="0" applyNumberFormat="1" applyFont="1" applyFill="1" applyBorder="1" applyAlignment="1">
      <alignment horizontal="center" vertical="center"/>
    </xf>
    <xf numFmtId="167" fontId="6" fillId="18" borderId="31" xfId="0" applyNumberFormat="1" applyFont="1" applyFill="1" applyBorder="1" applyAlignment="1">
      <alignment horizontal="center" vertical="center"/>
    </xf>
    <xf numFmtId="173" fontId="3" fillId="18" borderId="64" xfId="1" applyNumberFormat="1" applyFont="1" applyFill="1" applyBorder="1" applyAlignment="1">
      <alignment horizontal="center" vertical="center"/>
    </xf>
    <xf numFmtId="173" fontId="3" fillId="18" borderId="32" xfId="1" applyNumberFormat="1" applyFont="1" applyFill="1" applyBorder="1" applyAlignment="1">
      <alignment horizontal="center" vertical="center"/>
    </xf>
    <xf numFmtId="167" fontId="3" fillId="18" borderId="64" xfId="0" applyNumberFormat="1" applyFont="1" applyFill="1" applyBorder="1" applyAlignment="1">
      <alignment horizontal="center" vertical="center"/>
    </xf>
    <xf numFmtId="167" fontId="3" fillId="18" borderId="32" xfId="0" applyNumberFormat="1" applyFont="1" applyFill="1" applyBorder="1" applyAlignment="1">
      <alignment horizontal="center" vertical="center"/>
    </xf>
    <xf numFmtId="167" fontId="3" fillId="18" borderId="67" xfId="0" applyNumberFormat="1" applyFont="1" applyFill="1" applyBorder="1" applyAlignment="1">
      <alignment horizontal="center" vertical="center"/>
    </xf>
    <xf numFmtId="167" fontId="3" fillId="18" borderId="34" xfId="0" applyNumberFormat="1" applyFont="1" applyFill="1" applyBorder="1" applyAlignment="1">
      <alignment horizontal="center" vertical="center"/>
    </xf>
    <xf numFmtId="0" fontId="25" fillId="9" borderId="45" xfId="0" applyFont="1" applyFill="1" applyBorder="1" applyAlignment="1">
      <alignment horizontal="center" vertical="center"/>
    </xf>
    <xf numFmtId="0" fontId="25" fillId="19" borderId="46" xfId="0" applyFont="1" applyFill="1" applyBorder="1" applyAlignment="1">
      <alignment horizontal="center" vertical="center" wrapText="1"/>
    </xf>
    <xf numFmtId="169" fontId="25" fillId="21" borderId="6" xfId="1" applyNumberFormat="1" applyFont="1" applyFill="1" applyBorder="1" applyAlignment="1">
      <alignment horizontal="center" vertical="center"/>
    </xf>
    <xf numFmtId="169" fontId="25" fillId="9" borderId="6" xfId="1" applyNumberFormat="1" applyFont="1" applyFill="1" applyBorder="1"/>
    <xf numFmtId="2" fontId="23" fillId="7" borderId="6" xfId="0" applyNumberFormat="1" applyFont="1" applyFill="1" applyBorder="1" applyAlignment="1">
      <alignment horizontal="right" vertical="center"/>
    </xf>
    <xf numFmtId="0" fontId="9" fillId="9" borderId="6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vertical="center"/>
    </xf>
    <xf numFmtId="169" fontId="25" fillId="9" borderId="6" xfId="1" applyNumberFormat="1" applyFont="1" applyFill="1" applyBorder="1" applyAlignment="1">
      <alignment vertical="center"/>
    </xf>
    <xf numFmtId="0" fontId="23" fillId="3" borderId="6" xfId="0" applyFont="1" applyFill="1" applyBorder="1" applyAlignment="1">
      <alignment horizontal="center" vertical="center"/>
    </xf>
    <xf numFmtId="4" fontId="23" fillId="7" borderId="6" xfId="0" applyNumberFormat="1" applyFont="1" applyFill="1" applyBorder="1" applyAlignment="1">
      <alignment horizontal="right" vertical="center"/>
    </xf>
    <xf numFmtId="169" fontId="25" fillId="22" borderId="6" xfId="1" applyNumberFormat="1" applyFont="1" applyFill="1" applyBorder="1" applyAlignment="1">
      <alignment horizontal="center" vertical="center"/>
    </xf>
    <xf numFmtId="169" fontId="25" fillId="23" borderId="6" xfId="0" applyNumberFormat="1" applyFont="1" applyFill="1" applyBorder="1" applyAlignment="1">
      <alignment vertical="center"/>
    </xf>
    <xf numFmtId="0" fontId="25" fillId="20" borderId="66" xfId="0" applyFont="1" applyFill="1" applyBorder="1" applyAlignment="1">
      <alignment vertical="center" wrapText="1"/>
    </xf>
    <xf numFmtId="0" fontId="25" fillId="20" borderId="4" xfId="0" applyFont="1" applyFill="1" applyBorder="1" applyAlignment="1">
      <alignment vertical="center" wrapText="1"/>
    </xf>
    <xf numFmtId="0" fontId="25" fillId="20" borderId="28" xfId="0" applyFont="1" applyFill="1" applyBorder="1" applyAlignment="1">
      <alignment vertical="center" wrapText="1"/>
    </xf>
    <xf numFmtId="0" fontId="9" fillId="9" borderId="48" xfId="0" applyFont="1" applyFill="1" applyBorder="1" applyAlignment="1">
      <alignment horizontal="center" vertical="center"/>
    </xf>
    <xf numFmtId="0" fontId="25" fillId="46" borderId="23" xfId="0" applyFont="1" applyFill="1" applyBorder="1" applyAlignment="1">
      <alignment vertical="center" wrapText="1"/>
    </xf>
    <xf numFmtId="10" fontId="27" fillId="46" borderId="3" xfId="2" applyNumberFormat="1" applyFont="1" applyFill="1" applyBorder="1" applyAlignment="1" applyProtection="1">
      <alignment vertical="center"/>
    </xf>
    <xf numFmtId="169" fontId="25" fillId="46" borderId="3" xfId="1" applyNumberFormat="1" applyFont="1" applyFill="1" applyBorder="1" applyAlignment="1">
      <alignment horizontal="left" vertical="center"/>
    </xf>
    <xf numFmtId="169" fontId="9" fillId="0" borderId="3" xfId="1" applyNumberFormat="1" applyFont="1" applyBorder="1" applyAlignment="1">
      <alignment vertical="center"/>
    </xf>
    <xf numFmtId="169" fontId="9" fillId="0" borderId="11" xfId="1" applyNumberFormat="1" applyFont="1" applyBorder="1" applyAlignment="1">
      <alignment vertical="center"/>
    </xf>
    <xf numFmtId="4" fontId="9" fillId="0" borderId="0" xfId="0" applyNumberFormat="1" applyFont="1"/>
    <xf numFmtId="10" fontId="27" fillId="9" borderId="11" xfId="2" applyNumberFormat="1" applyFont="1" applyFill="1" applyBorder="1" applyAlignment="1" applyProtection="1">
      <alignment vertical="center"/>
    </xf>
    <xf numFmtId="10" fontId="27" fillId="47" borderId="62" xfId="2" applyNumberFormat="1" applyFont="1" applyFill="1" applyBorder="1" applyAlignment="1" applyProtection="1">
      <alignment vertical="center"/>
    </xf>
    <xf numFmtId="169" fontId="25" fillId="47" borderId="46" xfId="1" applyNumberFormat="1" applyFont="1" applyFill="1" applyBorder="1" applyAlignment="1">
      <alignment vertical="center"/>
    </xf>
    <xf numFmtId="10" fontId="27" fillId="47" borderId="64" xfId="2" applyNumberFormat="1" applyFont="1" applyFill="1" applyBorder="1" applyAlignment="1" applyProtection="1">
      <alignment vertical="center"/>
    </xf>
    <xf numFmtId="169" fontId="25" fillId="47" borderId="3" xfId="1" applyNumberFormat="1" applyFont="1" applyFill="1" applyBorder="1" applyAlignment="1">
      <alignment vertical="center"/>
    </xf>
    <xf numFmtId="10" fontId="27" fillId="47" borderId="67" xfId="2" applyNumberFormat="1" applyFont="1" applyFill="1" applyBorder="1" applyAlignment="1" applyProtection="1">
      <alignment vertical="center"/>
    </xf>
    <xf numFmtId="169" fontId="25" fillId="47" borderId="43" xfId="1" applyNumberFormat="1" applyFont="1" applyFill="1" applyBorder="1" applyAlignment="1">
      <alignment vertical="center"/>
    </xf>
    <xf numFmtId="0" fontId="27" fillId="9" borderId="7" xfId="2" applyNumberFormat="1" applyFont="1" applyFill="1" applyBorder="1" applyAlignment="1" applyProtection="1">
      <alignment vertical="center"/>
    </xf>
    <xf numFmtId="169" fontId="9" fillId="9" borderId="7" xfId="1" applyNumberFormat="1" applyFont="1" applyFill="1" applyBorder="1" applyAlignment="1">
      <alignment vertical="center"/>
    </xf>
    <xf numFmtId="169" fontId="9" fillId="9" borderId="20" xfId="1" applyNumberFormat="1" applyFont="1" applyFill="1" applyBorder="1" applyAlignment="1">
      <alignment vertical="center"/>
    </xf>
    <xf numFmtId="169" fontId="9" fillId="9" borderId="60" xfId="1" applyNumberFormat="1" applyFont="1" applyFill="1" applyBorder="1" applyAlignment="1">
      <alignment vertical="center"/>
    </xf>
    <xf numFmtId="10" fontId="25" fillId="23" borderId="43" xfId="0" applyNumberFormat="1" applyFont="1" applyFill="1" applyBorder="1" applyAlignment="1">
      <alignment horizontal="right" vertical="center" wrapText="1"/>
    </xf>
    <xf numFmtId="169" fontId="25" fillId="23" borderId="43" xfId="0" applyNumberFormat="1" applyFont="1" applyFill="1" applyBorder="1" applyAlignment="1">
      <alignment vertical="center"/>
    </xf>
    <xf numFmtId="169" fontId="25" fillId="23" borderId="44" xfId="0" applyNumberFormat="1" applyFont="1" applyFill="1" applyBorder="1" applyAlignment="1">
      <alignment vertical="center"/>
    </xf>
    <xf numFmtId="169" fontId="25" fillId="23" borderId="55" xfId="0" applyNumberFormat="1" applyFont="1" applyFill="1" applyBorder="1" applyAlignment="1">
      <alignment vertical="center"/>
    </xf>
    <xf numFmtId="0" fontId="25" fillId="24" borderId="46" xfId="0" applyFont="1" applyFill="1" applyBorder="1" applyAlignment="1">
      <alignment horizontal="center" vertical="center" wrapText="1"/>
    </xf>
    <xf numFmtId="0" fontId="25" fillId="24" borderId="47" xfId="0" applyFont="1" applyFill="1" applyBorder="1" applyAlignment="1">
      <alignment horizontal="center" vertical="center" wrapText="1"/>
    </xf>
    <xf numFmtId="0" fontId="25" fillId="24" borderId="53" xfId="0" applyFont="1" applyFill="1" applyBorder="1" applyAlignment="1">
      <alignment horizontal="center" vertical="center" wrapText="1"/>
    </xf>
    <xf numFmtId="169" fontId="25" fillId="25" borderId="11" xfId="1" applyNumberFormat="1" applyFont="1" applyFill="1" applyBorder="1" applyAlignment="1">
      <alignment horizontal="center" vertical="center"/>
    </xf>
    <xf numFmtId="169" fontId="25" fillId="25" borderId="61" xfId="1" applyNumberFormat="1" applyFont="1" applyFill="1" applyBorder="1" applyAlignment="1">
      <alignment horizontal="center" vertical="center"/>
    </xf>
    <xf numFmtId="169" fontId="25" fillId="9" borderId="46" xfId="0" applyNumberFormat="1" applyFont="1" applyFill="1" applyBorder="1" applyAlignment="1">
      <alignment vertical="center"/>
    </xf>
    <xf numFmtId="169" fontId="25" fillId="9" borderId="53" xfId="0" applyNumberFormat="1" applyFont="1" applyFill="1" applyBorder="1" applyAlignment="1">
      <alignment vertical="center"/>
    </xf>
    <xf numFmtId="169" fontId="29" fillId="9" borderId="6" xfId="0" applyNumberFormat="1" applyFont="1" applyFill="1" applyBorder="1" applyAlignment="1">
      <alignment vertical="center"/>
    </xf>
    <xf numFmtId="169" fontId="29" fillId="9" borderId="11" xfId="0" applyNumberFormat="1" applyFont="1" applyFill="1" applyBorder="1" applyAlignment="1">
      <alignment vertical="center"/>
    </xf>
    <xf numFmtId="169" fontId="29" fillId="9" borderId="61" xfId="0" applyNumberFormat="1" applyFont="1" applyFill="1" applyBorder="1" applyAlignment="1">
      <alignment vertical="center"/>
    </xf>
    <xf numFmtId="169" fontId="29" fillId="9" borderId="65" xfId="0" applyNumberFormat="1" applyFont="1" applyFill="1" applyBorder="1" applyAlignment="1">
      <alignment vertical="center"/>
    </xf>
    <xf numFmtId="169" fontId="29" fillId="9" borderId="28" xfId="0" applyNumberFormat="1" applyFont="1" applyFill="1" applyBorder="1" applyAlignment="1">
      <alignment vertical="center"/>
    </xf>
    <xf numFmtId="0" fontId="25" fillId="26" borderId="39" xfId="0" applyFont="1" applyFill="1" applyBorder="1" applyAlignment="1">
      <alignment vertical="center" wrapText="1"/>
    </xf>
    <xf numFmtId="0" fontId="25" fillId="26" borderId="41" xfId="0" applyFont="1" applyFill="1" applyBorder="1" applyAlignment="1">
      <alignment vertical="center" wrapText="1"/>
    </xf>
    <xf numFmtId="175" fontId="25" fillId="26" borderId="41" xfId="0" applyNumberFormat="1" applyFont="1" applyFill="1" applyBorder="1" applyAlignment="1">
      <alignment horizontal="right" vertical="center" wrapText="1"/>
    </xf>
    <xf numFmtId="175" fontId="25" fillId="26" borderId="57" xfId="0" applyNumberFormat="1" applyFont="1" applyFill="1" applyBorder="1" applyAlignment="1">
      <alignment horizontal="right" vertical="center" wrapText="1"/>
    </xf>
    <xf numFmtId="0" fontId="25" fillId="26" borderId="33" xfId="0" applyFont="1" applyFill="1" applyBorder="1" applyAlignment="1">
      <alignment vertical="center" wrapText="1"/>
    </xf>
    <xf numFmtId="0" fontId="25" fillId="26" borderId="0" xfId="0" applyFont="1" applyFill="1" applyAlignment="1">
      <alignment vertical="center" wrapText="1"/>
    </xf>
    <xf numFmtId="175" fontId="25" fillId="26" borderId="0" xfId="0" applyNumberFormat="1" applyFont="1" applyFill="1" applyAlignment="1">
      <alignment horizontal="right" vertical="center" wrapText="1"/>
    </xf>
    <xf numFmtId="175" fontId="25" fillId="26" borderId="29" xfId="0" applyNumberFormat="1" applyFont="1" applyFill="1" applyBorder="1" applyAlignment="1">
      <alignment horizontal="right" vertical="center" wrapText="1"/>
    </xf>
    <xf numFmtId="0" fontId="25" fillId="30" borderId="39" xfId="0" applyFont="1" applyFill="1" applyBorder="1" applyAlignment="1">
      <alignment vertical="center" wrapText="1"/>
    </xf>
    <xf numFmtId="0" fontId="25" fillId="30" borderId="41" xfId="0" applyFont="1" applyFill="1" applyBorder="1" applyAlignment="1">
      <alignment vertical="center" wrapText="1"/>
    </xf>
    <xf numFmtId="175" fontId="33" fillId="30" borderId="41" xfId="0" applyNumberFormat="1" applyFont="1" applyFill="1" applyBorder="1" applyAlignment="1">
      <alignment horizontal="right" vertical="center" wrapText="1"/>
    </xf>
    <xf numFmtId="175" fontId="25" fillId="30" borderId="41" xfId="0" applyNumberFormat="1" applyFont="1" applyFill="1" applyBorder="1" applyAlignment="1">
      <alignment horizontal="right" vertical="center" wrapText="1"/>
    </xf>
    <xf numFmtId="175" fontId="25" fillId="30" borderId="57" xfId="0" applyNumberFormat="1" applyFont="1" applyFill="1" applyBorder="1" applyAlignment="1">
      <alignment horizontal="right" vertical="center" wrapText="1"/>
    </xf>
    <xf numFmtId="0" fontId="25" fillId="30" borderId="33" xfId="0" applyFont="1" applyFill="1" applyBorder="1" applyAlignment="1">
      <alignment vertical="center" wrapText="1"/>
    </xf>
    <xf numFmtId="0" fontId="25" fillId="30" borderId="0" xfId="0" applyFont="1" applyFill="1" applyAlignment="1">
      <alignment vertical="center" wrapText="1"/>
    </xf>
    <xf numFmtId="175" fontId="33" fillId="30" borderId="0" xfId="0" applyNumberFormat="1" applyFont="1" applyFill="1" applyAlignment="1">
      <alignment horizontal="right" vertical="center" wrapText="1"/>
    </xf>
    <xf numFmtId="175" fontId="25" fillId="30" borderId="0" xfId="0" applyNumberFormat="1" applyFont="1" applyFill="1" applyAlignment="1">
      <alignment horizontal="right" vertical="center" wrapText="1"/>
    </xf>
    <xf numFmtId="175" fontId="25" fillId="30" borderId="29" xfId="0" applyNumberFormat="1" applyFont="1" applyFill="1" applyBorder="1" applyAlignment="1">
      <alignment horizontal="right" vertical="center" wrapText="1"/>
    </xf>
    <xf numFmtId="0" fontId="25" fillId="30" borderId="56" xfId="0" applyFont="1" applyFill="1" applyBorder="1" applyAlignment="1">
      <alignment vertical="center" wrapText="1"/>
    </xf>
    <xf numFmtId="0" fontId="25" fillId="30" borderId="1" xfId="0" applyFont="1" applyFill="1" applyBorder="1" applyAlignment="1">
      <alignment vertical="center" wrapText="1"/>
    </xf>
    <xf numFmtId="175" fontId="33" fillId="30" borderId="1" xfId="0" applyNumberFormat="1" applyFont="1" applyFill="1" applyBorder="1" applyAlignment="1">
      <alignment horizontal="right" vertical="center" wrapText="1"/>
    </xf>
    <xf numFmtId="175" fontId="25" fillId="30" borderId="1" xfId="0" applyNumberFormat="1" applyFont="1" applyFill="1" applyBorder="1" applyAlignment="1">
      <alignment horizontal="right" vertical="center" wrapText="1"/>
    </xf>
    <xf numFmtId="175" fontId="25" fillId="30" borderId="17" xfId="0" applyNumberFormat="1" applyFont="1" applyFill="1" applyBorder="1" applyAlignment="1">
      <alignment horizontal="right" vertical="center" wrapText="1"/>
    </xf>
    <xf numFmtId="0" fontId="9" fillId="0" borderId="33" xfId="0" applyFont="1" applyBorder="1"/>
    <xf numFmtId="0" fontId="9" fillId="9" borderId="33" xfId="0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/>
    </xf>
    <xf numFmtId="180" fontId="9" fillId="9" borderId="0" xfId="0" applyNumberFormat="1" applyFont="1" applyFill="1" applyAlignment="1">
      <alignment vertical="center"/>
    </xf>
    <xf numFmtId="0" fontId="9" fillId="9" borderId="0" xfId="0" applyFont="1" applyFill="1"/>
    <xf numFmtId="0" fontId="0" fillId="9" borderId="0" xfId="0" applyFill="1"/>
    <xf numFmtId="0" fontId="25" fillId="19" borderId="53" xfId="0" applyFont="1" applyFill="1" applyBorder="1" applyAlignment="1">
      <alignment horizontal="center" vertical="center" wrapText="1"/>
    </xf>
    <xf numFmtId="0" fontId="35" fillId="42" borderId="39" xfId="0" applyFont="1" applyFill="1" applyBorder="1" applyAlignment="1">
      <alignment horizontal="center" vertical="center" wrapText="1"/>
    </xf>
    <xf numFmtId="0" fontId="35" fillId="35" borderId="13" xfId="0" applyFont="1" applyFill="1" applyBorder="1" applyAlignment="1">
      <alignment horizontal="center" vertical="center" wrapText="1"/>
    </xf>
    <xf numFmtId="0" fontId="8" fillId="0" borderId="62" xfId="0" applyFont="1" applyBorder="1" applyAlignment="1" applyProtection="1">
      <alignment horizontal="left" vertical="center"/>
      <protection locked="0"/>
    </xf>
    <xf numFmtId="168" fontId="14" fillId="5" borderId="46" xfId="1" applyFont="1" applyFill="1" applyBorder="1" applyAlignment="1">
      <alignment horizontal="center" vertical="center"/>
    </xf>
    <xf numFmtId="168" fontId="24" fillId="42" borderId="62" xfId="1" applyFont="1" applyFill="1" applyBorder="1" applyAlignment="1">
      <alignment vertical="center"/>
    </xf>
    <xf numFmtId="168" fontId="24" fillId="35" borderId="62" xfId="1" applyFont="1" applyFill="1" applyBorder="1" applyAlignment="1">
      <alignment vertical="center"/>
    </xf>
    <xf numFmtId="168" fontId="24" fillId="35" borderId="31" xfId="1" applyFont="1" applyFill="1" applyBorder="1" applyAlignment="1">
      <alignment vertical="center"/>
    </xf>
    <xf numFmtId="0" fontId="14" fillId="0" borderId="64" xfId="0" applyFont="1" applyBorder="1" applyAlignment="1" applyProtection="1">
      <alignment horizontal="left" vertical="center"/>
      <protection locked="0"/>
    </xf>
    <xf numFmtId="168" fontId="14" fillId="5" borderId="3" xfId="1" applyFont="1" applyFill="1" applyBorder="1" applyAlignment="1">
      <alignment horizontal="center" vertical="center"/>
    </xf>
    <xf numFmtId="168" fontId="24" fillId="42" borderId="64" xfId="1" applyFont="1" applyFill="1" applyBorder="1" applyAlignment="1">
      <alignment vertical="center"/>
    </xf>
    <xf numFmtId="168" fontId="24" fillId="35" borderId="64" xfId="1" applyFont="1" applyFill="1" applyBorder="1" applyAlignment="1">
      <alignment vertical="center"/>
    </xf>
    <xf numFmtId="168" fontId="24" fillId="35" borderId="32" xfId="1" applyFont="1" applyFill="1" applyBorder="1" applyAlignment="1">
      <alignment vertical="center"/>
    </xf>
    <xf numFmtId="0" fontId="14" fillId="0" borderId="66" xfId="0" applyFont="1" applyBorder="1" applyAlignment="1" applyProtection="1">
      <alignment horizontal="left" vertical="center"/>
      <protection locked="0"/>
    </xf>
    <xf numFmtId="168" fontId="14" fillId="5" borderId="11" xfId="1" applyFont="1" applyFill="1" applyBorder="1" applyAlignment="1">
      <alignment horizontal="center" vertical="center"/>
    </xf>
    <xf numFmtId="168" fontId="24" fillId="35" borderId="67" xfId="1" applyFont="1" applyFill="1" applyBorder="1" applyAlignment="1">
      <alignment vertical="center"/>
    </xf>
    <xf numFmtId="0" fontId="49" fillId="29" borderId="40" xfId="0" applyFont="1" applyFill="1" applyBorder="1" applyAlignment="1">
      <alignment horizontal="center" vertical="center"/>
    </xf>
    <xf numFmtId="168" fontId="8" fillId="29" borderId="35" xfId="1" applyFont="1" applyFill="1" applyBorder="1" applyAlignment="1">
      <alignment horizontal="center" vertical="center"/>
    </xf>
    <xf numFmtId="168" fontId="8" fillId="29" borderId="36" xfId="1" applyFont="1" applyFill="1" applyBorder="1" applyAlignment="1">
      <alignment horizontal="center" vertical="center"/>
    </xf>
    <xf numFmtId="168" fontId="8" fillId="29" borderId="52" xfId="1" applyFont="1" applyFill="1" applyBorder="1" applyAlignment="1">
      <alignment horizontal="center" vertical="center"/>
    </xf>
    <xf numFmtId="168" fontId="23" fillId="33" borderId="56" xfId="1" applyFont="1" applyFill="1" applyBorder="1" applyAlignment="1">
      <alignment vertical="center"/>
    </xf>
    <xf numFmtId="168" fontId="23" fillId="33" borderId="12" xfId="1" applyFont="1" applyFill="1" applyBorder="1" applyAlignment="1">
      <alignment vertical="center"/>
    </xf>
    <xf numFmtId="2" fontId="33" fillId="45" borderId="63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6" fillId="6" borderId="78" xfId="0" applyFont="1" applyFill="1" applyBorder="1" applyAlignment="1">
      <alignment horizontal="center"/>
    </xf>
    <xf numFmtId="0" fontId="0" fillId="6" borderId="79" xfId="0" applyFill="1" applyBorder="1"/>
    <xf numFmtId="170" fontId="3" fillId="6" borderId="5" xfId="1" applyNumberFormat="1" applyFont="1" applyFill="1" applyBorder="1" applyAlignment="1">
      <alignment horizontal="center" vertical="center"/>
    </xf>
    <xf numFmtId="0" fontId="18" fillId="0" borderId="77" xfId="0" applyFont="1" applyBorder="1" applyAlignment="1">
      <alignment vertical="center"/>
    </xf>
    <xf numFmtId="2" fontId="18" fillId="0" borderId="77" xfId="0" applyNumberFormat="1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18" fillId="0" borderId="80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8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49" borderId="86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83" fontId="3" fillId="0" borderId="9" xfId="0" applyNumberFormat="1" applyFont="1" applyBorder="1"/>
    <xf numFmtId="0" fontId="8" fillId="12" borderId="11" xfId="0" applyFont="1" applyFill="1" applyBorder="1" applyAlignment="1" applyProtection="1">
      <alignment horizontal="center" vertical="center"/>
      <protection locked="0"/>
    </xf>
    <xf numFmtId="0" fontId="23" fillId="26" borderId="41" xfId="3" applyNumberFormat="1" applyFont="1" applyFill="1" applyBorder="1" applyAlignment="1" applyProtection="1">
      <alignment horizontal="center" vertical="center"/>
    </xf>
    <xf numFmtId="10" fontId="24" fillId="39" borderId="2" xfId="0" applyNumberFormat="1" applyFont="1" applyFill="1" applyBorder="1" applyAlignment="1" applyProtection="1">
      <alignment horizontal="center" vertical="center" wrapText="1"/>
      <protection locked="0"/>
    </xf>
    <xf numFmtId="168" fontId="39" fillId="29" borderId="68" xfId="1" applyFont="1" applyFill="1" applyBorder="1" applyAlignment="1">
      <alignment horizontal="center" vertical="center"/>
    </xf>
    <xf numFmtId="10" fontId="24" fillId="40" borderId="63" xfId="0" applyNumberFormat="1" applyFont="1" applyFill="1" applyBorder="1" applyAlignment="1" applyProtection="1">
      <alignment horizontal="center" vertical="center"/>
      <protection locked="0"/>
    </xf>
    <xf numFmtId="10" fontId="24" fillId="40" borderId="4" xfId="0" applyNumberFormat="1" applyFont="1" applyFill="1" applyBorder="1" applyAlignment="1" applyProtection="1">
      <alignment horizontal="center" vertical="center"/>
      <protection locked="0"/>
    </xf>
    <xf numFmtId="10" fontId="3" fillId="0" borderId="3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25" fillId="48" borderId="77" xfId="0" applyFont="1" applyFill="1" applyBorder="1" applyAlignment="1">
      <alignment horizontal="center" vertical="center"/>
    </xf>
    <xf numFmtId="0" fontId="25" fillId="48" borderId="77" xfId="0" applyFont="1" applyFill="1" applyBorder="1" applyAlignment="1">
      <alignment horizontal="center" vertical="center" wrapText="1"/>
    </xf>
    <xf numFmtId="0" fontId="9" fillId="48" borderId="77" xfId="0" applyFont="1" applyFill="1" applyBorder="1"/>
    <xf numFmtId="179" fontId="9" fillId="48" borderId="77" xfId="0" applyNumberFormat="1" applyFont="1" applyFill="1" applyBorder="1"/>
    <xf numFmtId="169" fontId="9" fillId="48" borderId="77" xfId="0" applyNumberFormat="1" applyFont="1" applyFill="1" applyBorder="1"/>
    <xf numFmtId="0" fontId="25" fillId="48" borderId="77" xfId="0" applyFont="1" applyFill="1" applyBorder="1"/>
    <xf numFmtId="0" fontId="47" fillId="4" borderId="77" xfId="0" applyFont="1" applyFill="1" applyBorder="1" applyAlignment="1">
      <alignment horizontal="right"/>
    </xf>
    <xf numFmtId="179" fontId="47" fillId="4" borderId="77" xfId="0" applyNumberFormat="1" applyFont="1" applyFill="1" applyBorder="1"/>
    <xf numFmtId="169" fontId="47" fillId="4" borderId="77" xfId="0" applyNumberFormat="1" applyFont="1" applyFill="1" applyBorder="1"/>
    <xf numFmtId="181" fontId="9" fillId="48" borderId="77" xfId="0" applyNumberFormat="1" applyFont="1" applyFill="1" applyBorder="1"/>
    <xf numFmtId="4" fontId="9" fillId="48" borderId="77" xfId="0" applyNumberFormat="1" applyFont="1" applyFill="1" applyBorder="1"/>
    <xf numFmtId="0" fontId="47" fillId="31" borderId="77" xfId="0" applyFont="1" applyFill="1" applyBorder="1" applyAlignment="1">
      <alignment horizontal="right"/>
    </xf>
    <xf numFmtId="179" fontId="9" fillId="31" borderId="77" xfId="0" applyNumberFormat="1" applyFont="1" applyFill="1" applyBorder="1"/>
    <xf numFmtId="4" fontId="9" fillId="31" borderId="77" xfId="0" applyNumberFormat="1" applyFont="1" applyFill="1" applyBorder="1"/>
    <xf numFmtId="169" fontId="47" fillId="31" borderId="77" xfId="0" applyNumberFormat="1" applyFont="1" applyFill="1" applyBorder="1"/>
    <xf numFmtId="181" fontId="9" fillId="31" borderId="77" xfId="0" applyNumberFormat="1" applyFont="1" applyFill="1" applyBorder="1"/>
    <xf numFmtId="0" fontId="24" fillId="48" borderId="77" xfId="0" applyFont="1" applyFill="1" applyBorder="1"/>
    <xf numFmtId="0" fontId="44" fillId="17" borderId="77" xfId="0" applyFont="1" applyFill="1" applyBorder="1" applyAlignment="1">
      <alignment horizontal="right" vertical="center" wrapText="1"/>
    </xf>
    <xf numFmtId="182" fontId="9" fillId="17" borderId="77" xfId="0" applyNumberFormat="1" applyFont="1" applyFill="1" applyBorder="1"/>
    <xf numFmtId="4" fontId="9" fillId="17" borderId="77" xfId="0" applyNumberFormat="1" applyFont="1" applyFill="1" applyBorder="1"/>
    <xf numFmtId="169" fontId="47" fillId="17" borderId="77" xfId="0" applyNumberFormat="1" applyFont="1" applyFill="1" applyBorder="1"/>
    <xf numFmtId="168" fontId="8" fillId="0" borderId="19" xfId="1" applyFont="1" applyBorder="1" applyAlignment="1">
      <alignment horizontal="center" vertical="center"/>
    </xf>
    <xf numFmtId="168" fontId="8" fillId="0" borderId="23" xfId="1" applyFont="1" applyBorder="1" applyAlignment="1">
      <alignment horizontal="center" vertical="center"/>
    </xf>
    <xf numFmtId="168" fontId="8" fillId="0" borderId="26" xfId="1" applyFont="1" applyBorder="1" applyAlignment="1">
      <alignment horizontal="center" vertical="center"/>
    </xf>
    <xf numFmtId="165" fontId="50" fillId="0" borderId="9" xfId="1" applyNumberFormat="1" applyFont="1" applyBorder="1" applyAlignment="1">
      <alignment horizontal="center" vertical="center"/>
    </xf>
    <xf numFmtId="165" fontId="50" fillId="0" borderId="5" xfId="1" applyNumberFormat="1" applyFont="1" applyBorder="1" applyAlignment="1">
      <alignment horizontal="center" vertical="center"/>
    </xf>
    <xf numFmtId="165" fontId="50" fillId="0" borderId="65" xfId="1" applyNumberFormat="1" applyFont="1" applyBorder="1" applyAlignment="1">
      <alignment horizontal="center" vertical="center"/>
    </xf>
    <xf numFmtId="168" fontId="8" fillId="0" borderId="101" xfId="1" applyFont="1" applyBorder="1" applyAlignment="1">
      <alignment horizontal="center" vertical="center"/>
    </xf>
    <xf numFmtId="165" fontId="50" fillId="0" borderId="102" xfId="1" applyNumberFormat="1" applyFont="1" applyBorder="1" applyAlignment="1">
      <alignment horizontal="center" vertical="center"/>
    </xf>
    <xf numFmtId="168" fontId="8" fillId="0" borderId="103" xfId="1" applyFont="1" applyBorder="1" applyAlignment="1">
      <alignment horizontal="center" vertical="center"/>
    </xf>
    <xf numFmtId="165" fontId="50" fillId="0" borderId="104" xfId="1" applyNumberFormat="1" applyFont="1" applyBorder="1" applyAlignment="1">
      <alignment horizontal="center" vertical="center"/>
    </xf>
    <xf numFmtId="168" fontId="8" fillId="0" borderId="105" xfId="1" applyFont="1" applyBorder="1" applyAlignment="1">
      <alignment horizontal="center" vertical="center"/>
    </xf>
    <xf numFmtId="165" fontId="50" fillId="0" borderId="106" xfId="1" applyNumberFormat="1" applyFont="1" applyBorder="1" applyAlignment="1">
      <alignment horizontal="center" vertical="center"/>
    </xf>
    <xf numFmtId="168" fontId="8" fillId="0" borderId="9" xfId="1" applyFont="1" applyBorder="1" applyAlignment="1">
      <alignment horizontal="center" vertical="center"/>
    </xf>
    <xf numFmtId="168" fontId="8" fillId="0" borderId="5" xfId="1" applyFont="1" applyBorder="1" applyAlignment="1">
      <alignment horizontal="center" vertical="center"/>
    </xf>
    <xf numFmtId="4" fontId="8" fillId="0" borderId="5" xfId="1" applyNumberFormat="1" applyFont="1" applyBorder="1" applyAlignment="1">
      <alignment horizontal="center" vertical="center"/>
    </xf>
    <xf numFmtId="168" fontId="8" fillId="0" borderId="65" xfId="1" applyFont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8" fontId="39" fillId="29" borderId="58" xfId="1" applyFont="1" applyFill="1" applyBorder="1" applyAlignment="1">
      <alignment horizontal="center" vertical="center"/>
    </xf>
    <xf numFmtId="165" fontId="39" fillId="29" borderId="58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107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0" fontId="7" fillId="0" borderId="78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48" xfId="0" applyFont="1" applyBorder="1" applyAlignment="1">
      <alignment vertical="center"/>
    </xf>
    <xf numFmtId="0" fontId="7" fillId="0" borderId="108" xfId="0" applyFont="1" applyBorder="1" applyAlignment="1">
      <alignment vertical="center"/>
    </xf>
    <xf numFmtId="0" fontId="7" fillId="0" borderId="87" xfId="0" applyFont="1" applyBorder="1" applyAlignment="1">
      <alignment vertical="center"/>
    </xf>
    <xf numFmtId="10" fontId="7" fillId="0" borderId="109" xfId="0" applyNumberFormat="1" applyFont="1" applyBorder="1" applyAlignment="1">
      <alignment vertical="center"/>
    </xf>
    <xf numFmtId="10" fontId="7" fillId="0" borderId="110" xfId="0" applyNumberFormat="1" applyFont="1" applyBorder="1" applyAlignment="1">
      <alignment vertical="center"/>
    </xf>
    <xf numFmtId="10" fontId="7" fillId="0" borderId="111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25" fillId="20" borderId="32" xfId="0" applyFont="1" applyFill="1" applyBorder="1" applyAlignment="1">
      <alignment vertical="center" wrapText="1"/>
    </xf>
    <xf numFmtId="4" fontId="23" fillId="0" borderId="3" xfId="0" applyNumberFormat="1" applyFont="1" applyBorder="1" applyAlignment="1">
      <alignment horizontal="right" vertical="center"/>
    </xf>
    <xf numFmtId="4" fontId="23" fillId="0" borderId="6" xfId="0" applyNumberFormat="1" applyFont="1" applyBorder="1" applyAlignment="1">
      <alignment horizontal="right" vertical="center"/>
    </xf>
    <xf numFmtId="4" fontId="23" fillId="0" borderId="54" xfId="0" applyNumberFormat="1" applyFont="1" applyBorder="1" applyAlignment="1">
      <alignment horizontal="right" vertical="center"/>
    </xf>
    <xf numFmtId="0" fontId="51" fillId="0" borderId="112" xfId="0" applyFont="1" applyBorder="1"/>
    <xf numFmtId="0" fontId="51" fillId="0" borderId="85" xfId="0" applyFont="1" applyBorder="1"/>
    <xf numFmtId="8" fontId="51" fillId="0" borderId="85" xfId="0" applyNumberFormat="1" applyFont="1" applyBorder="1" applyAlignment="1">
      <alignment wrapText="1"/>
    </xf>
    <xf numFmtId="0" fontId="18" fillId="0" borderId="112" xfId="0" applyFont="1" applyBorder="1"/>
    <xf numFmtId="0" fontId="18" fillId="0" borderId="113" xfId="0" applyFont="1" applyBorder="1"/>
    <xf numFmtId="0" fontId="18" fillId="0" borderId="79" xfId="0" applyFont="1" applyBorder="1"/>
    <xf numFmtId="8" fontId="18" fillId="0" borderId="85" xfId="0" applyNumberFormat="1" applyFont="1" applyBorder="1" applyAlignment="1">
      <alignment wrapText="1"/>
    </xf>
    <xf numFmtId="0" fontId="18" fillId="0" borderId="114" xfId="0" applyFont="1" applyBorder="1" applyAlignment="1">
      <alignment vertical="center"/>
    </xf>
    <xf numFmtId="0" fontId="18" fillId="0" borderId="115" xfId="0" applyFont="1" applyBorder="1" applyAlignment="1">
      <alignment vertical="center"/>
    </xf>
    <xf numFmtId="0" fontId="45" fillId="0" borderId="116" xfId="0" applyFont="1" applyBorder="1"/>
    <xf numFmtId="8" fontId="18" fillId="0" borderId="117" xfId="0" applyNumberFormat="1" applyFont="1" applyBorder="1" applyAlignment="1">
      <alignment wrapText="1"/>
    </xf>
    <xf numFmtId="168" fontId="23" fillId="42" borderId="39" xfId="1" applyFont="1" applyFill="1" applyBorder="1" applyAlignment="1">
      <alignment vertical="center"/>
    </xf>
    <xf numFmtId="0" fontId="18" fillId="0" borderId="120" xfId="0" applyFont="1" applyBorder="1"/>
    <xf numFmtId="0" fontId="18" fillId="0" borderId="121" xfId="0" applyFont="1" applyBorder="1"/>
    <xf numFmtId="168" fontId="23" fillId="33" borderId="0" xfId="1" applyFont="1" applyFill="1" applyAlignment="1">
      <alignment horizontal="center" vertical="center"/>
    </xf>
    <xf numFmtId="2" fontId="33" fillId="0" borderId="41" xfId="0" applyNumberFormat="1" applyFont="1" applyBorder="1" applyAlignment="1">
      <alignment horizontal="left"/>
    </xf>
    <xf numFmtId="2" fontId="33" fillId="0" borderId="119" xfId="0" applyNumberFormat="1" applyFont="1" applyBorder="1" applyAlignment="1">
      <alignment horizontal="left"/>
    </xf>
    <xf numFmtId="0" fontId="45" fillId="0" borderId="118" xfId="0" applyFont="1" applyBorder="1" applyAlignment="1">
      <alignment horizontal="right"/>
    </xf>
    <xf numFmtId="2" fontId="52" fillId="0" borderId="118" xfId="0" applyNumberFormat="1" applyFont="1" applyBorder="1" applyAlignment="1">
      <alignment horizontal="right"/>
    </xf>
    <xf numFmtId="0" fontId="45" fillId="51" borderId="118" xfId="0" applyFont="1" applyFill="1" applyBorder="1" applyAlignment="1">
      <alignment horizontal="right"/>
    </xf>
    <xf numFmtId="2" fontId="33" fillId="51" borderId="119" xfId="0" applyNumberFormat="1" applyFont="1" applyFill="1" applyBorder="1" applyAlignment="1">
      <alignment horizontal="left"/>
    </xf>
    <xf numFmtId="0" fontId="45" fillId="52" borderId="118" xfId="0" applyFont="1" applyFill="1" applyBorder="1" applyAlignment="1">
      <alignment horizontal="right"/>
    </xf>
    <xf numFmtId="2" fontId="33" fillId="52" borderId="41" xfId="0" applyNumberFormat="1" applyFont="1" applyFill="1" applyBorder="1" applyAlignment="1">
      <alignment horizontal="left"/>
    </xf>
    <xf numFmtId="8" fontId="18" fillId="0" borderId="108" xfId="0" applyNumberFormat="1" applyFont="1" applyBorder="1" applyAlignment="1">
      <alignment wrapText="1"/>
    </xf>
    <xf numFmtId="8" fontId="18" fillId="0" borderId="85" xfId="0" applyNumberFormat="1" applyFont="1" applyBorder="1"/>
    <xf numFmtId="8" fontId="18" fillId="0" borderId="117" xfId="0" applyNumberFormat="1" applyFont="1" applyBorder="1"/>
    <xf numFmtId="8" fontId="18" fillId="0" borderId="81" xfId="0" applyNumberFormat="1" applyFont="1" applyBorder="1"/>
    <xf numFmtId="8" fontId="18" fillId="0" borderId="86" xfId="0" applyNumberFormat="1" applyFont="1" applyBorder="1" applyAlignment="1">
      <alignment wrapText="1"/>
    </xf>
    <xf numFmtId="8" fontId="18" fillId="0" borderId="122" xfId="0" applyNumberFormat="1" applyFont="1" applyBorder="1" applyAlignment="1">
      <alignment wrapText="1"/>
    </xf>
    <xf numFmtId="8" fontId="18" fillId="0" borderId="81" xfId="0" applyNumberFormat="1" applyFont="1" applyBorder="1" applyAlignment="1">
      <alignment wrapText="1"/>
    </xf>
    <xf numFmtId="0" fontId="35" fillId="30" borderId="40" xfId="0" applyFont="1" applyFill="1" applyBorder="1" applyAlignment="1">
      <alignment horizontal="center" vertical="center" wrapText="1"/>
    </xf>
    <xf numFmtId="0" fontId="35" fillId="36" borderId="57" xfId="0" applyFont="1" applyFill="1" applyBorder="1" applyAlignment="1">
      <alignment horizontal="center" vertical="center" wrapText="1"/>
    </xf>
    <xf numFmtId="168" fontId="24" fillId="36" borderId="123" xfId="1" applyFont="1" applyFill="1" applyBorder="1" applyAlignment="1">
      <alignment horizontal="center" vertical="center"/>
    </xf>
    <xf numFmtId="168" fontId="24" fillId="36" borderId="63" xfId="1" applyFont="1" applyFill="1" applyBorder="1" applyAlignment="1">
      <alignment horizontal="center" vertical="center"/>
    </xf>
    <xf numFmtId="168" fontId="24" fillId="36" borderId="124" xfId="1" applyFont="1" applyFill="1" applyBorder="1" applyAlignment="1">
      <alignment horizontal="center" vertical="center"/>
    </xf>
    <xf numFmtId="172" fontId="39" fillId="29" borderId="125" xfId="1" applyNumberFormat="1" applyFont="1" applyFill="1" applyBorder="1" applyAlignment="1">
      <alignment horizontal="center" vertical="center"/>
    </xf>
    <xf numFmtId="0" fontId="35" fillId="35" borderId="126" xfId="0" applyFont="1" applyFill="1" applyBorder="1" applyAlignment="1">
      <alignment horizontal="center" vertical="center" wrapText="1"/>
    </xf>
    <xf numFmtId="172" fontId="24" fillId="35" borderId="127" xfId="1" applyNumberFormat="1" applyFont="1" applyFill="1" applyBorder="1" applyAlignment="1">
      <alignment horizontal="center" vertical="center"/>
    </xf>
    <xf numFmtId="172" fontId="24" fillId="35" borderId="128" xfId="1" applyNumberFormat="1" applyFont="1" applyFill="1" applyBorder="1" applyAlignment="1">
      <alignment horizontal="center" vertical="center"/>
    </xf>
    <xf numFmtId="0" fontId="26" fillId="9" borderId="91" xfId="0" applyFont="1" applyFill="1" applyBorder="1" applyAlignment="1">
      <alignment vertical="center"/>
    </xf>
    <xf numFmtId="167" fontId="6" fillId="18" borderId="136" xfId="0" applyNumberFormat="1" applyFont="1" applyFill="1" applyBorder="1" applyAlignment="1">
      <alignment horizontal="center" vertical="center"/>
    </xf>
    <xf numFmtId="0" fontId="9" fillId="9" borderId="91" xfId="0" applyFont="1" applyFill="1" applyBorder="1" applyAlignment="1">
      <alignment vertical="center"/>
    </xf>
    <xf numFmtId="173" fontId="3" fillId="18" borderId="137" xfId="1" applyNumberFormat="1" applyFont="1" applyFill="1" applyBorder="1" applyAlignment="1">
      <alignment horizontal="center" vertical="center"/>
    </xf>
    <xf numFmtId="167" fontId="3" fillId="18" borderId="137" xfId="0" applyNumberFormat="1" applyFont="1" applyFill="1" applyBorder="1" applyAlignment="1">
      <alignment horizontal="center" vertical="center"/>
    </xf>
    <xf numFmtId="167" fontId="3" fillId="18" borderId="138" xfId="0" applyNumberFormat="1" applyFont="1" applyFill="1" applyBorder="1" applyAlignment="1">
      <alignment horizontal="center" vertical="center"/>
    </xf>
    <xf numFmtId="0" fontId="25" fillId="9" borderId="141" xfId="0" applyFont="1" applyFill="1" applyBorder="1" applyAlignment="1">
      <alignment horizontal="center" vertical="center"/>
    </xf>
    <xf numFmtId="0" fontId="25" fillId="19" borderId="142" xfId="0" applyFont="1" applyFill="1" applyBorder="1" applyAlignment="1">
      <alignment horizontal="center" vertical="center" wrapText="1"/>
    </xf>
    <xf numFmtId="0" fontId="25" fillId="20" borderId="143" xfId="0" applyFont="1" applyFill="1" applyBorder="1" applyAlignment="1">
      <alignment vertical="center" wrapText="1"/>
    </xf>
    <xf numFmtId="0" fontId="25" fillId="20" borderId="137" xfId="0" applyFont="1" applyFill="1" applyBorder="1" applyAlignment="1">
      <alignment vertical="center" wrapText="1"/>
    </xf>
    <xf numFmtId="0" fontId="25" fillId="21" borderId="103" xfId="0" applyFont="1" applyFill="1" applyBorder="1" applyAlignment="1">
      <alignment vertical="center" wrapText="1"/>
    </xf>
    <xf numFmtId="169" fontId="25" fillId="21" borderId="144" xfId="1" applyNumberFormat="1" applyFont="1" applyFill="1" applyBorder="1" applyAlignment="1">
      <alignment horizontal="center" vertical="center"/>
    </xf>
    <xf numFmtId="0" fontId="9" fillId="9" borderId="103" xfId="0" applyFont="1" applyFill="1" applyBorder="1" applyAlignment="1">
      <alignment vertical="center" wrapText="1"/>
    </xf>
    <xf numFmtId="169" fontId="25" fillId="9" borderId="144" xfId="1" applyNumberFormat="1" applyFont="1" applyFill="1" applyBorder="1"/>
    <xf numFmtId="0" fontId="23" fillId="7" borderId="103" xfId="0" applyFont="1" applyFill="1" applyBorder="1" applyAlignment="1">
      <alignment horizontal="right" vertical="center"/>
    </xf>
    <xf numFmtId="2" fontId="23" fillId="7" borderId="144" xfId="0" applyNumberFormat="1" applyFont="1" applyFill="1" applyBorder="1" applyAlignment="1">
      <alignment horizontal="right" vertical="center"/>
    </xf>
    <xf numFmtId="0" fontId="9" fillId="9" borderId="103" xfId="0" applyFont="1" applyFill="1" applyBorder="1" applyAlignment="1">
      <alignment horizontal="center" vertical="center"/>
    </xf>
    <xf numFmtId="0" fontId="9" fillId="9" borderId="144" xfId="0" applyFont="1" applyFill="1" applyBorder="1" applyAlignment="1">
      <alignment horizontal="center" vertical="center"/>
    </xf>
    <xf numFmtId="0" fontId="23" fillId="3" borderId="103" xfId="0" applyFont="1" applyFill="1" applyBorder="1" applyAlignment="1">
      <alignment vertical="center"/>
    </xf>
    <xf numFmtId="169" fontId="25" fillId="22" borderId="144" xfId="1" applyNumberFormat="1" applyFont="1" applyFill="1" applyBorder="1" applyAlignment="1">
      <alignment horizontal="center" vertical="center"/>
    </xf>
    <xf numFmtId="0" fontId="24" fillId="0" borderId="103" xfId="0" applyFont="1" applyBorder="1" applyAlignment="1">
      <alignment vertical="center"/>
    </xf>
    <xf numFmtId="0" fontId="23" fillId="3" borderId="144" xfId="0" applyFont="1" applyFill="1" applyBorder="1" applyAlignment="1">
      <alignment vertical="center"/>
    </xf>
    <xf numFmtId="169" fontId="25" fillId="9" borderId="144" xfId="1" applyNumberFormat="1" applyFont="1" applyFill="1" applyBorder="1" applyAlignment="1">
      <alignment vertical="center"/>
    </xf>
    <xf numFmtId="4" fontId="24" fillId="0" borderId="144" xfId="0" applyNumberFormat="1" applyFont="1" applyBorder="1" applyAlignment="1">
      <alignment vertical="center"/>
    </xf>
    <xf numFmtId="0" fontId="23" fillId="3" borderId="144" xfId="0" applyFont="1" applyFill="1" applyBorder="1" applyAlignment="1">
      <alignment horizontal="center" vertical="center"/>
    </xf>
    <xf numFmtId="2" fontId="24" fillId="0" borderId="144" xfId="0" applyNumberFormat="1" applyFont="1" applyBorder="1" applyAlignment="1">
      <alignment horizontal="right" vertical="center"/>
    </xf>
    <xf numFmtId="4" fontId="23" fillId="7" borderId="144" xfId="0" applyNumberFormat="1" applyFont="1" applyFill="1" applyBorder="1" applyAlignment="1">
      <alignment horizontal="right" vertical="center"/>
    </xf>
    <xf numFmtId="4" fontId="23" fillId="0" borderId="144" xfId="0" applyNumberFormat="1" applyFont="1" applyBorder="1" applyAlignment="1">
      <alignment horizontal="right" vertical="center"/>
    </xf>
    <xf numFmtId="0" fontId="25" fillId="23" borderId="103" xfId="0" applyFont="1" applyFill="1" applyBorder="1" applyAlignment="1">
      <alignment horizontal="right" vertical="center" wrapText="1"/>
    </xf>
    <xf numFmtId="169" fontId="25" fillId="23" borderId="144" xfId="0" applyNumberFormat="1" applyFont="1" applyFill="1" applyBorder="1" applyAlignment="1">
      <alignment vertical="center"/>
    </xf>
    <xf numFmtId="0" fontId="25" fillId="20" borderId="145" xfId="0" applyFont="1" applyFill="1" applyBorder="1" applyAlignment="1">
      <alignment vertical="center" wrapText="1"/>
    </xf>
    <xf numFmtId="0" fontId="25" fillId="20" borderId="146" xfId="0" applyFont="1" applyFill="1" applyBorder="1" applyAlignment="1">
      <alignment vertical="center" wrapText="1"/>
    </xf>
    <xf numFmtId="0" fontId="24" fillId="0" borderId="103" xfId="0" applyFont="1" applyBorder="1" applyAlignment="1">
      <alignment wrapText="1"/>
    </xf>
    <xf numFmtId="0" fontId="9" fillId="9" borderId="147" xfId="0" applyFont="1" applyFill="1" applyBorder="1" applyAlignment="1">
      <alignment horizontal="center" vertical="center"/>
    </xf>
    <xf numFmtId="0" fontId="25" fillId="46" borderId="103" xfId="0" applyFont="1" applyFill="1" applyBorder="1" applyAlignment="1">
      <alignment vertical="center" wrapText="1"/>
    </xf>
    <xf numFmtId="169" fontId="25" fillId="46" borderId="144" xfId="1" applyNumberFormat="1" applyFont="1" applyFill="1" applyBorder="1" applyAlignment="1">
      <alignment horizontal="left" vertical="center"/>
    </xf>
    <xf numFmtId="169" fontId="9" fillId="0" borderId="144" xfId="1" applyNumberFormat="1" applyFont="1" applyBorder="1" applyAlignment="1">
      <alignment vertical="center"/>
    </xf>
    <xf numFmtId="169" fontId="9" fillId="0" borderId="147" xfId="1" applyNumberFormat="1" applyFont="1" applyBorder="1" applyAlignment="1">
      <alignment vertical="center"/>
    </xf>
    <xf numFmtId="169" fontId="25" fillId="47" borderId="142" xfId="1" applyNumberFormat="1" applyFont="1" applyFill="1" applyBorder="1" applyAlignment="1">
      <alignment vertical="center"/>
    </xf>
    <xf numFmtId="169" fontId="25" fillId="47" borderId="144" xfId="1" applyNumberFormat="1" applyFont="1" applyFill="1" applyBorder="1" applyAlignment="1">
      <alignment vertical="center"/>
    </xf>
    <xf numFmtId="169" fontId="25" fillId="47" borderId="149" xfId="1" applyNumberFormat="1" applyFont="1" applyFill="1" applyBorder="1" applyAlignment="1">
      <alignment vertical="center"/>
    </xf>
    <xf numFmtId="169" fontId="9" fillId="9" borderId="150" xfId="1" applyNumberFormat="1" applyFont="1" applyFill="1" applyBorder="1" applyAlignment="1">
      <alignment vertical="center"/>
    </xf>
    <xf numFmtId="0" fontId="25" fillId="23" borderId="151" xfId="0" applyFont="1" applyFill="1" applyBorder="1" applyAlignment="1">
      <alignment horizontal="right" vertical="center" wrapText="1"/>
    </xf>
    <xf numFmtId="169" fontId="25" fillId="23" borderId="149" xfId="0" applyNumberFormat="1" applyFont="1" applyFill="1" applyBorder="1" applyAlignment="1">
      <alignment vertical="center"/>
    </xf>
    <xf numFmtId="0" fontId="25" fillId="24" borderId="142" xfId="0" applyFont="1" applyFill="1" applyBorder="1" applyAlignment="1">
      <alignment horizontal="center" vertical="center" wrapText="1"/>
    </xf>
    <xf numFmtId="169" fontId="25" fillId="25" borderId="147" xfId="1" applyNumberFormat="1" applyFont="1" applyFill="1" applyBorder="1" applyAlignment="1">
      <alignment horizontal="center" vertical="center"/>
    </xf>
    <xf numFmtId="169" fontId="25" fillId="9" borderId="142" xfId="0" applyNumberFormat="1" applyFont="1" applyFill="1" applyBorder="1" applyAlignment="1">
      <alignment vertical="center"/>
    </xf>
    <xf numFmtId="169" fontId="25" fillId="9" borderId="144" xfId="0" applyNumberFormat="1" applyFont="1" applyFill="1" applyBorder="1" applyAlignment="1">
      <alignment vertical="center"/>
    </xf>
    <xf numFmtId="169" fontId="29" fillId="9" borderId="144" xfId="0" applyNumberFormat="1" applyFont="1" applyFill="1" applyBorder="1" applyAlignment="1">
      <alignment vertical="center"/>
    </xf>
    <xf numFmtId="169" fontId="29" fillId="9" borderId="147" xfId="0" applyNumberFormat="1" applyFont="1" applyFill="1" applyBorder="1" applyAlignment="1">
      <alignment vertical="center"/>
    </xf>
    <xf numFmtId="169" fontId="29" fillId="9" borderId="146" xfId="0" applyNumberFormat="1" applyFont="1" applyFill="1" applyBorder="1" applyAlignment="1">
      <alignment vertical="center"/>
    </xf>
    <xf numFmtId="0" fontId="25" fillId="26" borderId="155" xfId="0" applyFont="1" applyFill="1" applyBorder="1" applyAlignment="1">
      <alignment vertical="center" wrapText="1"/>
    </xf>
    <xf numFmtId="175" fontId="25" fillId="26" borderId="156" xfId="0" applyNumberFormat="1" applyFont="1" applyFill="1" applyBorder="1" applyAlignment="1">
      <alignment horizontal="right" vertical="center" wrapText="1"/>
    </xf>
    <xf numFmtId="0" fontId="25" fillId="26" borderId="91" xfId="0" applyFont="1" applyFill="1" applyBorder="1" applyAlignment="1">
      <alignment vertical="center" wrapText="1"/>
    </xf>
    <xf numFmtId="175" fontId="25" fillId="26" borderId="92" xfId="0" applyNumberFormat="1" applyFont="1" applyFill="1" applyBorder="1" applyAlignment="1">
      <alignment horizontal="right" vertical="center" wrapText="1"/>
    </xf>
    <xf numFmtId="0" fontId="25" fillId="30" borderId="155" xfId="0" applyFont="1" applyFill="1" applyBorder="1" applyAlignment="1">
      <alignment vertical="center" wrapText="1"/>
    </xf>
    <xf numFmtId="175" fontId="33" fillId="30" borderId="156" xfId="0" applyNumberFormat="1" applyFont="1" applyFill="1" applyBorder="1" applyAlignment="1">
      <alignment horizontal="right" vertical="center" wrapText="1"/>
    </xf>
    <xf numFmtId="0" fontId="25" fillId="30" borderId="91" xfId="0" applyFont="1" applyFill="1" applyBorder="1" applyAlignment="1">
      <alignment vertical="center" wrapText="1"/>
    </xf>
    <xf numFmtId="175" fontId="33" fillId="30" borderId="92" xfId="0" applyNumberFormat="1" applyFont="1" applyFill="1" applyBorder="1" applyAlignment="1">
      <alignment horizontal="right" vertical="center" wrapText="1"/>
    </xf>
    <xf numFmtId="0" fontId="25" fillId="30" borderId="93" xfId="0" applyFont="1" applyFill="1" applyBorder="1" applyAlignment="1">
      <alignment vertical="center" wrapText="1"/>
    </xf>
    <xf numFmtId="0" fontId="25" fillId="30" borderId="94" xfId="0" applyFont="1" applyFill="1" applyBorder="1" applyAlignment="1">
      <alignment vertical="center" wrapText="1"/>
    </xf>
    <xf numFmtId="175" fontId="33" fillId="30" borderId="94" xfId="0" applyNumberFormat="1" applyFont="1" applyFill="1" applyBorder="1" applyAlignment="1">
      <alignment horizontal="right" vertical="center" wrapText="1"/>
    </xf>
    <xf numFmtId="175" fontId="33" fillId="30" borderId="95" xfId="0" applyNumberFormat="1" applyFont="1" applyFill="1" applyBorder="1" applyAlignment="1">
      <alignment horizontal="right" vertical="center" wrapText="1"/>
    </xf>
    <xf numFmtId="171" fontId="27" fillId="9" borderId="3" xfId="2" applyNumberFormat="1" applyFont="1" applyFill="1" applyBorder="1" applyAlignment="1" applyProtection="1">
      <alignment wrapText="1"/>
    </xf>
    <xf numFmtId="171" fontId="27" fillId="9" borderId="3" xfId="2" applyNumberFormat="1" applyFont="1" applyFill="1" applyBorder="1" applyAlignment="1" applyProtection="1">
      <alignment vertical="center" wrapText="1"/>
    </xf>
    <xf numFmtId="166" fontId="27" fillId="9" borderId="3" xfId="2" applyNumberFormat="1" applyFont="1" applyFill="1" applyBorder="1" applyAlignment="1" applyProtection="1">
      <alignment vertical="center" wrapText="1"/>
    </xf>
    <xf numFmtId="10" fontId="27" fillId="9" borderId="3" xfId="2" applyNumberFormat="1" applyFont="1" applyFill="1" applyBorder="1" applyAlignment="1" applyProtection="1">
      <alignment vertical="center" wrapText="1"/>
    </xf>
    <xf numFmtId="2" fontId="33" fillId="0" borderId="0" xfId="0" applyNumberFormat="1" applyFont="1" applyAlignment="1">
      <alignment horizontal="left"/>
    </xf>
    <xf numFmtId="0" fontId="35" fillId="35" borderId="40" xfId="0" applyFont="1" applyFill="1" applyBorder="1" applyAlignment="1">
      <alignment horizontal="center" vertical="center" wrapText="1"/>
    </xf>
    <xf numFmtId="168" fontId="24" fillId="35" borderId="66" xfId="1" applyFont="1" applyFill="1" applyBorder="1" applyAlignment="1">
      <alignment horizontal="center" vertical="center"/>
    </xf>
    <xf numFmtId="168" fontId="23" fillId="33" borderId="39" xfId="1" applyFont="1" applyFill="1" applyBorder="1" applyAlignment="1">
      <alignment horizontal="center" vertical="center"/>
    </xf>
    <xf numFmtId="168" fontId="33" fillId="14" borderId="159" xfId="0" applyNumberFormat="1" applyFont="1" applyFill="1" applyBorder="1" applyAlignment="1">
      <alignment horizontal="center" vertical="center" wrapText="1"/>
    </xf>
    <xf numFmtId="168" fontId="33" fillId="45" borderId="99" xfId="0" applyNumberFormat="1" applyFont="1" applyFill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0" fontId="35" fillId="14" borderId="118" xfId="0" applyFont="1" applyFill="1" applyBorder="1" applyAlignment="1">
      <alignment horizontal="center" vertical="center" wrapText="1"/>
    </xf>
    <xf numFmtId="0" fontId="35" fillId="45" borderId="83" xfId="0" applyFont="1" applyFill="1" applyBorder="1" applyAlignment="1">
      <alignment horizontal="center" vertical="center" wrapText="1"/>
    </xf>
    <xf numFmtId="0" fontId="33" fillId="14" borderId="160" xfId="0" applyFont="1" applyFill="1" applyBorder="1" applyAlignment="1">
      <alignment horizontal="center" vertical="center" wrapText="1"/>
    </xf>
    <xf numFmtId="0" fontId="33" fillId="45" borderId="16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10" fontId="7" fillId="0" borderId="85" xfId="0" applyNumberFormat="1" applyFont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21" fillId="0" borderId="0" xfId="0" applyFont="1"/>
    <xf numFmtId="0" fontId="6" fillId="0" borderId="6" xfId="0" applyFont="1" applyBorder="1" applyAlignment="1">
      <alignment vertical="center"/>
    </xf>
    <xf numFmtId="184" fontId="3" fillId="3" borderId="3" xfId="0" applyNumberFormat="1" applyFont="1" applyFill="1" applyBorder="1" applyAlignment="1">
      <alignment horizontal="center" vertical="center"/>
    </xf>
    <xf numFmtId="185" fontId="0" fillId="0" borderId="0" xfId="0" applyNumberFormat="1"/>
    <xf numFmtId="8" fontId="9" fillId="0" borderId="33" xfId="0" applyNumberFormat="1" applyFont="1" applyBorder="1"/>
    <xf numFmtId="8" fontId="9" fillId="0" borderId="0" xfId="0" applyNumberFormat="1" applyFont="1"/>
    <xf numFmtId="0" fontId="53" fillId="0" borderId="0" xfId="4"/>
    <xf numFmtId="168" fontId="24" fillId="36" borderId="114" xfId="1" applyFont="1" applyFill="1" applyBorder="1" applyAlignment="1">
      <alignment horizontal="center" vertical="center"/>
    </xf>
    <xf numFmtId="168" fontId="24" fillId="36" borderId="115" xfId="1" applyFont="1" applyFill="1" applyBorder="1" applyAlignment="1">
      <alignment horizontal="center" vertical="center"/>
    </xf>
    <xf numFmtId="168" fontId="24" fillId="36" borderId="158" xfId="1" applyFont="1" applyFill="1" applyBorder="1" applyAlignment="1">
      <alignment horizontal="center" vertical="center"/>
    </xf>
    <xf numFmtId="168" fontId="24" fillId="36" borderId="162" xfId="1" applyFont="1" applyFill="1" applyBorder="1" applyAlignment="1">
      <alignment horizontal="center" vertical="center"/>
    </xf>
    <xf numFmtId="168" fontId="24" fillId="36" borderId="163" xfId="1" applyFont="1" applyFill="1" applyBorder="1" applyAlignment="1">
      <alignment horizontal="center" vertical="center"/>
    </xf>
    <xf numFmtId="0" fontId="33" fillId="14" borderId="91" xfId="0" applyFont="1" applyFill="1" applyBorder="1" applyAlignment="1">
      <alignment horizontal="center" vertical="center" wrapText="1"/>
    </xf>
    <xf numFmtId="168" fontId="33" fillId="14" borderId="160" xfId="0" applyNumberFormat="1" applyFont="1" applyFill="1" applyBorder="1" applyAlignment="1">
      <alignment horizontal="center" vertical="center" wrapText="1"/>
    </xf>
    <xf numFmtId="2" fontId="24" fillId="37" borderId="63" xfId="1" applyNumberFormat="1" applyFont="1" applyFill="1" applyBorder="1" applyAlignment="1">
      <alignment horizontal="center" vertical="center"/>
    </xf>
    <xf numFmtId="2" fontId="24" fillId="37" borderId="4" xfId="1" applyNumberFormat="1" applyFont="1" applyFill="1" applyBorder="1" applyAlignment="1">
      <alignment horizontal="center" vertical="center"/>
    </xf>
    <xf numFmtId="2" fontId="24" fillId="37" borderId="107" xfId="1" applyNumberFormat="1" applyFont="1" applyFill="1" applyBorder="1" applyAlignment="1">
      <alignment horizontal="center" vertical="center"/>
    </xf>
    <xf numFmtId="2" fontId="24" fillId="37" borderId="2" xfId="1" applyNumberFormat="1" applyFont="1" applyFill="1" applyBorder="1" applyAlignment="1">
      <alignment horizontal="center" vertical="center"/>
    </xf>
    <xf numFmtId="2" fontId="24" fillId="37" borderId="123" xfId="1" applyNumberFormat="1" applyFont="1" applyFill="1" applyBorder="1" applyAlignment="1">
      <alignment horizontal="center" vertical="center"/>
    </xf>
    <xf numFmtId="0" fontId="33" fillId="45" borderId="16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vertical="center"/>
    </xf>
    <xf numFmtId="10" fontId="7" fillId="0" borderId="86" xfId="0" applyNumberFormat="1" applyFont="1" applyBorder="1" applyAlignment="1">
      <alignment horizontal="left" vertical="center"/>
    </xf>
    <xf numFmtId="0" fontId="6" fillId="3" borderId="48" xfId="0" applyFont="1" applyFill="1" applyBorder="1" applyAlignment="1">
      <alignment horizontal="left" vertical="center"/>
    </xf>
    <xf numFmtId="10" fontId="7" fillId="0" borderId="108" xfId="0" applyNumberFormat="1" applyFont="1" applyBorder="1" applyAlignment="1">
      <alignment horizontal="left" vertical="center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10" fontId="7" fillId="0" borderId="7" xfId="0" applyNumberFormat="1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23" fillId="30" borderId="89" xfId="0" applyFont="1" applyFill="1" applyBorder="1" applyAlignment="1" applyProtection="1">
      <alignment horizontal="center" vertical="center"/>
      <protection locked="0"/>
    </xf>
    <xf numFmtId="0" fontId="23" fillId="30" borderId="0" xfId="0" applyFont="1" applyFill="1" applyAlignment="1" applyProtection="1">
      <alignment horizontal="center" vertical="center"/>
      <protection locked="0"/>
    </xf>
    <xf numFmtId="0" fontId="23" fillId="30" borderId="94" xfId="0" applyFont="1" applyFill="1" applyBorder="1" applyAlignment="1" applyProtection="1">
      <alignment horizontal="center" vertical="center"/>
      <protection locked="0"/>
    </xf>
    <xf numFmtId="0" fontId="20" fillId="8" borderId="13" xfId="0" applyFont="1" applyFill="1" applyBorder="1"/>
    <xf numFmtId="0" fontId="54" fillId="53" borderId="77" xfId="0" applyFont="1" applyFill="1" applyBorder="1"/>
    <xf numFmtId="0" fontId="21" fillId="8" borderId="33" xfId="0" applyFont="1" applyFill="1" applyBorder="1" applyAlignment="1">
      <alignment vertical="center"/>
    </xf>
    <xf numFmtId="0" fontId="21" fillId="8" borderId="0" xfId="0" applyFont="1" applyFill="1" applyAlignment="1">
      <alignment vertical="center"/>
    </xf>
    <xf numFmtId="0" fontId="51" fillId="0" borderId="120" xfId="0" applyFont="1" applyBorder="1"/>
    <xf numFmtId="0" fontId="51" fillId="0" borderId="117" xfId="0" applyFont="1" applyBorder="1"/>
    <xf numFmtId="0" fontId="54" fillId="53" borderId="80" xfId="0" applyFont="1" applyFill="1" applyBorder="1"/>
    <xf numFmtId="8" fontId="51" fillId="0" borderId="117" xfId="0" applyNumberFormat="1" applyFont="1" applyBorder="1" applyAlignment="1">
      <alignment wrapText="1"/>
    </xf>
    <xf numFmtId="0" fontId="19" fillId="7" borderId="118" xfId="0" applyFont="1" applyFill="1" applyBorder="1" applyAlignment="1">
      <alignment vertical="center"/>
    </xf>
    <xf numFmtId="0" fontId="19" fillId="7" borderId="167" xfId="0" applyFont="1" applyFill="1" applyBorder="1" applyAlignment="1">
      <alignment vertical="center"/>
    </xf>
    <xf numFmtId="165" fontId="19" fillId="7" borderId="167" xfId="0" applyNumberFormat="1" applyFont="1" applyFill="1" applyBorder="1" applyAlignment="1">
      <alignment vertical="center"/>
    </xf>
    <xf numFmtId="0" fontId="19" fillId="7" borderId="119" xfId="0" applyFont="1" applyFill="1" applyBorder="1" applyAlignment="1">
      <alignment vertical="center"/>
    </xf>
    <xf numFmtId="0" fontId="18" fillId="0" borderId="158" xfId="0" applyFont="1" applyBorder="1" applyAlignment="1">
      <alignment vertical="center"/>
    </xf>
    <xf numFmtId="171" fontId="19" fillId="3" borderId="88" xfId="0" applyNumberFormat="1" applyFont="1" applyFill="1" applyBorder="1" applyAlignment="1">
      <alignment horizontal="center" vertical="center"/>
    </xf>
    <xf numFmtId="171" fontId="19" fillId="3" borderId="90" xfId="0" applyNumberFormat="1" applyFont="1" applyFill="1" applyBorder="1" applyAlignment="1">
      <alignment horizontal="center" vertical="center"/>
    </xf>
    <xf numFmtId="171" fontId="19" fillId="3" borderId="118" xfId="0" applyNumberFormat="1" applyFont="1" applyFill="1" applyBorder="1" applyAlignment="1">
      <alignment horizontal="center" vertical="center"/>
    </xf>
    <xf numFmtId="171" fontId="19" fillId="3" borderId="119" xfId="0" applyNumberFormat="1" applyFont="1" applyFill="1" applyBorder="1" applyAlignment="1">
      <alignment horizontal="center" vertical="center"/>
    </xf>
    <xf numFmtId="171" fontId="19" fillId="3" borderId="12" xfId="0" applyNumberFormat="1" applyFont="1" applyFill="1" applyBorder="1" applyAlignment="1">
      <alignment horizontal="right" vertical="center"/>
    </xf>
    <xf numFmtId="0" fontId="19" fillId="38" borderId="118" xfId="0" applyFont="1" applyFill="1" applyBorder="1" applyAlignment="1">
      <alignment vertical="center"/>
    </xf>
    <xf numFmtId="0" fontId="19" fillId="38" borderId="167" xfId="0" applyFont="1" applyFill="1" applyBorder="1" applyAlignment="1">
      <alignment vertical="center"/>
    </xf>
    <xf numFmtId="0" fontId="19" fillId="38" borderId="119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10" borderId="168" xfId="0" applyFont="1" applyFill="1" applyBorder="1" applyAlignment="1">
      <alignment horizontal="center" vertical="center" wrapText="1"/>
    </xf>
    <xf numFmtId="0" fontId="18" fillId="0" borderId="169" xfId="0" applyFont="1" applyBorder="1"/>
    <xf numFmtId="8" fontId="18" fillId="0" borderId="86" xfId="0" applyNumberFormat="1" applyFont="1" applyBorder="1"/>
    <xf numFmtId="171" fontId="19" fillId="10" borderId="118" xfId="0" applyNumberFormat="1" applyFont="1" applyFill="1" applyBorder="1" applyAlignment="1">
      <alignment vertical="center"/>
    </xf>
    <xf numFmtId="171" fontId="19" fillId="0" borderId="0" xfId="0" applyNumberFormat="1" applyFont="1" applyAlignment="1">
      <alignment vertical="center"/>
    </xf>
    <xf numFmtId="171" fontId="19" fillId="10" borderId="33" xfId="0" applyNumberFormat="1" applyFont="1" applyFill="1" applyBorder="1" applyAlignment="1">
      <alignment vertical="center"/>
    </xf>
    <xf numFmtId="171" fontId="19" fillId="10" borderId="116" xfId="0" applyNumberFormat="1" applyFont="1" applyFill="1" applyBorder="1" applyAlignment="1">
      <alignment vertical="center"/>
    </xf>
    <xf numFmtId="171" fontId="19" fillId="10" borderId="173" xfId="0" applyNumberFormat="1" applyFont="1" applyFill="1" applyBorder="1" applyAlignment="1">
      <alignment vertical="center"/>
    </xf>
    <xf numFmtId="171" fontId="19" fillId="10" borderId="100" xfId="0" applyNumberFormat="1" applyFont="1" applyFill="1" applyBorder="1" applyAlignment="1">
      <alignment vertical="center"/>
    </xf>
    <xf numFmtId="0" fontId="20" fillId="12" borderId="174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vertical="center"/>
    </xf>
    <xf numFmtId="0" fontId="18" fillId="0" borderId="175" xfId="0" applyFont="1" applyBorder="1" applyAlignment="1">
      <alignment vertical="center"/>
    </xf>
    <xf numFmtId="0" fontId="18" fillId="0" borderId="103" xfId="0" applyFont="1" applyBorder="1" applyAlignment="1">
      <alignment vertical="center"/>
    </xf>
    <xf numFmtId="0" fontId="18" fillId="0" borderId="154" xfId="0" applyFont="1" applyBorder="1" applyAlignment="1">
      <alignment vertical="center"/>
    </xf>
    <xf numFmtId="0" fontId="18" fillId="0" borderId="151" xfId="0" applyFont="1" applyBorder="1" applyAlignment="1">
      <alignment vertical="center"/>
    </xf>
    <xf numFmtId="0" fontId="20" fillId="15" borderId="174" xfId="0" applyFont="1" applyFill="1" applyBorder="1" applyAlignment="1">
      <alignment horizontal="center" vertical="center" wrapText="1"/>
    </xf>
    <xf numFmtId="0" fontId="20" fillId="15" borderId="135" xfId="0" applyFont="1" applyFill="1" applyBorder="1" applyAlignment="1">
      <alignment horizontal="center" vertical="center" wrapText="1"/>
    </xf>
    <xf numFmtId="171" fontId="19" fillId="14" borderId="84" xfId="0" applyNumberFormat="1" applyFont="1" applyFill="1" applyBorder="1" applyAlignment="1">
      <alignment vertical="center"/>
    </xf>
    <xf numFmtId="2" fontId="18" fillId="0" borderId="85" xfId="0" applyNumberFormat="1" applyFont="1" applyBorder="1" applyAlignment="1">
      <alignment vertical="center"/>
    </xf>
    <xf numFmtId="0" fontId="18" fillId="0" borderId="117" xfId="0" applyFont="1" applyBorder="1" applyAlignment="1">
      <alignment vertical="center"/>
    </xf>
    <xf numFmtId="8" fontId="18" fillId="0" borderId="80" xfId="0" applyNumberFormat="1" applyFont="1" applyBorder="1"/>
    <xf numFmtId="171" fontId="18" fillId="0" borderId="13" xfId="0" applyNumberFormat="1" applyFont="1" applyBorder="1" applyAlignment="1">
      <alignment vertical="center"/>
    </xf>
    <xf numFmtId="0" fontId="20" fillId="15" borderId="177" xfId="0" applyFont="1" applyFill="1" applyBorder="1" applyAlignment="1">
      <alignment horizontal="center" vertical="center" wrapText="1"/>
    </xf>
    <xf numFmtId="0" fontId="20" fillId="15" borderId="178" xfId="0" applyFont="1" applyFill="1" applyBorder="1" applyAlignment="1">
      <alignment horizontal="center" vertical="center" wrapText="1"/>
    </xf>
    <xf numFmtId="0" fontId="20" fillId="15" borderId="179" xfId="0" applyFont="1" applyFill="1" applyBorder="1" applyAlignment="1">
      <alignment horizontal="center" vertical="center" wrapText="1"/>
    </xf>
    <xf numFmtId="0" fontId="20" fillId="15" borderId="83" xfId="0" applyFont="1" applyFill="1" applyBorder="1" applyAlignment="1">
      <alignment horizontal="center" vertical="center" wrapText="1"/>
    </xf>
    <xf numFmtId="0" fontId="20" fillId="15" borderId="84" xfId="0" applyFont="1" applyFill="1" applyBorder="1" applyAlignment="1">
      <alignment horizontal="center" vertical="center" wrapText="1"/>
    </xf>
    <xf numFmtId="171" fontId="19" fillId="14" borderId="25" xfId="0" applyNumberFormat="1" applyFont="1" applyFill="1" applyBorder="1" applyAlignment="1">
      <alignment vertical="center"/>
    </xf>
    <xf numFmtId="165" fontId="19" fillId="50" borderId="119" xfId="0" applyNumberFormat="1" applyFont="1" applyFill="1" applyBorder="1" applyAlignment="1">
      <alignment vertical="center"/>
    </xf>
    <xf numFmtId="165" fontId="19" fillId="9" borderId="0" xfId="0" applyNumberFormat="1" applyFont="1" applyFill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165" fontId="18" fillId="0" borderId="163" xfId="0" applyNumberFormat="1" applyFont="1" applyBorder="1" applyAlignment="1">
      <alignment vertical="center"/>
    </xf>
    <xf numFmtId="165" fontId="18" fillId="0" borderId="0" xfId="0" applyNumberFormat="1" applyFont="1" applyAlignment="1">
      <alignment vertical="center"/>
    </xf>
    <xf numFmtId="0" fontId="55" fillId="40" borderId="63" xfId="0" applyFont="1" applyFill="1" applyBorder="1" applyAlignment="1" applyProtection="1">
      <alignment horizontal="left" vertical="center"/>
      <protection locked="0"/>
    </xf>
    <xf numFmtId="165" fontId="19" fillId="12" borderId="99" xfId="0" applyNumberFormat="1" applyFont="1" applyFill="1" applyBorder="1" applyAlignment="1">
      <alignment vertical="center"/>
    </xf>
    <xf numFmtId="165" fontId="19" fillId="12" borderId="100" xfId="0" applyNumberFormat="1" applyFont="1" applyFill="1" applyBorder="1" applyAlignment="1">
      <alignment vertical="center"/>
    </xf>
    <xf numFmtId="165" fontId="18" fillId="0" borderId="30" xfId="0" applyNumberFormat="1" applyFont="1" applyBorder="1" applyAlignment="1">
      <alignment vertical="center"/>
    </xf>
    <xf numFmtId="165" fontId="18" fillId="0" borderId="114" xfId="0" applyNumberFormat="1" applyFont="1" applyBorder="1" applyAlignment="1">
      <alignment vertical="center"/>
    </xf>
    <xf numFmtId="165" fontId="18" fillId="0" borderId="157" xfId="0" applyNumberFormat="1" applyFont="1" applyBorder="1" applyAlignment="1">
      <alignment vertical="center"/>
    </xf>
    <xf numFmtId="0" fontId="20" fillId="10" borderId="18" xfId="0" applyFont="1" applyFill="1" applyBorder="1" applyAlignment="1">
      <alignment horizontal="center" vertical="center" wrapText="1"/>
    </xf>
    <xf numFmtId="171" fontId="19" fillId="10" borderId="163" xfId="0" applyNumberFormat="1" applyFont="1" applyFill="1" applyBorder="1" applyAlignment="1">
      <alignment vertical="center"/>
    </xf>
    <xf numFmtId="169" fontId="48" fillId="48" borderId="77" xfId="0" applyNumberFormat="1" applyFont="1" applyFill="1" applyBorder="1"/>
    <xf numFmtId="0" fontId="8" fillId="41" borderId="124" xfId="0" applyFont="1" applyFill="1" applyBorder="1" applyAlignment="1" applyProtection="1">
      <alignment horizontal="center" vertical="center"/>
      <protection locked="0"/>
    </xf>
    <xf numFmtId="10" fontId="24" fillId="0" borderId="30" xfId="0" applyNumberFormat="1" applyFont="1" applyBorder="1" applyAlignment="1" applyProtection="1">
      <alignment horizontal="center" vertical="center" wrapText="1"/>
      <protection locked="0"/>
    </xf>
    <xf numFmtId="10" fontId="24" fillId="0" borderId="64" xfId="0" applyNumberFormat="1" applyFont="1" applyBorder="1" applyAlignment="1" applyProtection="1">
      <alignment horizontal="center" vertical="center"/>
      <protection locked="0"/>
    </xf>
    <xf numFmtId="10" fontId="8" fillId="0" borderId="30" xfId="0" applyNumberFormat="1" applyFont="1" applyBorder="1" applyAlignment="1" applyProtection="1">
      <alignment horizontal="left" vertical="center"/>
      <protection locked="0"/>
    </xf>
    <xf numFmtId="0" fontId="48" fillId="0" borderId="0" xfId="0" applyFont="1" applyAlignment="1">
      <alignment vertical="center"/>
    </xf>
    <xf numFmtId="172" fontId="56" fillId="29" borderId="38" xfId="1" applyNumberFormat="1" applyFont="1" applyFill="1" applyBorder="1" applyAlignment="1">
      <alignment horizontal="center" vertical="center"/>
    </xf>
    <xf numFmtId="4" fontId="14" fillId="0" borderId="101" xfId="0" applyNumberFormat="1" applyFont="1" applyBorder="1"/>
    <xf numFmtId="0" fontId="14" fillId="0" borderId="175" xfId="0" applyFont="1" applyBorder="1"/>
    <xf numFmtId="4" fontId="14" fillId="0" borderId="175" xfId="0" applyNumberFormat="1" applyFont="1" applyBorder="1"/>
    <xf numFmtId="0" fontId="14" fillId="0" borderId="174" xfId="0" applyFont="1" applyBorder="1"/>
    <xf numFmtId="0" fontId="36" fillId="34" borderId="180" xfId="0" applyFont="1" applyFill="1" applyBorder="1" applyAlignment="1">
      <alignment horizontal="center" vertical="center" wrapText="1"/>
    </xf>
    <xf numFmtId="0" fontId="34" fillId="34" borderId="0" xfId="0" applyFont="1" applyFill="1" applyBorder="1" applyAlignment="1">
      <alignment horizontal="center" vertical="center" wrapText="1"/>
    </xf>
    <xf numFmtId="2" fontId="24" fillId="38" borderId="188" xfId="1" applyNumberFormat="1" applyFont="1" applyFill="1" applyBorder="1" applyAlignment="1">
      <alignment horizontal="center" vertical="center"/>
    </xf>
    <xf numFmtId="172" fontId="24" fillId="38" borderId="189" xfId="1" applyNumberFormat="1" applyFont="1" applyFill="1" applyBorder="1" applyAlignment="1">
      <alignment horizontal="center" vertical="center"/>
    </xf>
    <xf numFmtId="172" fontId="24" fillId="38" borderId="190" xfId="1" applyNumberFormat="1" applyFont="1" applyFill="1" applyBorder="1" applyAlignment="1">
      <alignment horizontal="center" vertical="center"/>
    </xf>
    <xf numFmtId="172" fontId="24" fillId="38" borderId="145" xfId="1" applyNumberFormat="1" applyFont="1" applyFill="1" applyBorder="1" applyAlignment="1">
      <alignment horizontal="center" vertical="center"/>
    </xf>
    <xf numFmtId="172" fontId="24" fillId="38" borderId="191" xfId="1" applyNumberFormat="1" applyFont="1" applyFill="1" applyBorder="1" applyAlignment="1">
      <alignment horizontal="center" vertical="center"/>
    </xf>
    <xf numFmtId="172" fontId="24" fillId="38" borderId="93" xfId="1" applyNumberFormat="1" applyFont="1" applyFill="1" applyBorder="1" applyAlignment="1">
      <alignment horizontal="center" vertical="center"/>
    </xf>
    <xf numFmtId="168" fontId="34" fillId="34" borderId="1" xfId="0" applyNumberFormat="1" applyFont="1" applyFill="1" applyBorder="1" applyAlignment="1">
      <alignment horizontal="center" vertical="center" wrapText="1"/>
    </xf>
    <xf numFmtId="168" fontId="24" fillId="44" borderId="21" xfId="1" applyFont="1" applyFill="1" applyBorder="1" applyAlignment="1">
      <alignment horizontal="center" vertical="center"/>
    </xf>
    <xf numFmtId="168" fontId="24" fillId="44" borderId="32" xfId="1" applyFont="1" applyFill="1" applyBorder="1" applyAlignment="1">
      <alignment horizontal="center" vertical="center"/>
    </xf>
    <xf numFmtId="168" fontId="24" fillId="44" borderId="49" xfId="1" applyFont="1" applyFill="1" applyBorder="1" applyAlignment="1">
      <alignment horizontal="center" vertical="center"/>
    </xf>
    <xf numFmtId="168" fontId="23" fillId="43" borderId="12" xfId="1" applyFont="1" applyFill="1" applyBorder="1" applyAlignment="1">
      <alignment horizontal="center" vertical="center"/>
    </xf>
    <xf numFmtId="0" fontId="36" fillId="34" borderId="192" xfId="0" applyFont="1" applyFill="1" applyBorder="1" applyAlignment="1">
      <alignment horizontal="center" vertical="center" wrapText="1"/>
    </xf>
    <xf numFmtId="0" fontId="34" fillId="34" borderId="118" xfId="0" applyFont="1" applyFill="1" applyBorder="1" applyAlignment="1">
      <alignment horizontal="center" vertical="center" wrapText="1"/>
    </xf>
    <xf numFmtId="2" fontId="24" fillId="38" borderId="193" xfId="1" applyNumberFormat="1" applyFont="1" applyFill="1" applyBorder="1" applyAlignment="1">
      <alignment horizontal="center" vertical="center"/>
    </xf>
    <xf numFmtId="168" fontId="24" fillId="44" borderId="21" xfId="1" applyFont="1" applyFill="1" applyBorder="1" applyAlignment="1">
      <alignment vertical="center"/>
    </xf>
    <xf numFmtId="168" fontId="24" fillId="44" borderId="32" xfId="1" applyFont="1" applyFill="1" applyBorder="1" applyAlignment="1">
      <alignment vertical="center"/>
    </xf>
    <xf numFmtId="168" fontId="23" fillId="43" borderId="12" xfId="1" applyFont="1" applyFill="1" applyBorder="1" applyAlignment="1">
      <alignment vertical="center"/>
    </xf>
    <xf numFmtId="0" fontId="18" fillId="39" borderId="0" xfId="0" applyFont="1" applyFill="1" applyAlignment="1">
      <alignment vertical="center"/>
    </xf>
    <xf numFmtId="0" fontId="59" fillId="0" borderId="3" xfId="0" applyFont="1" applyBorder="1"/>
    <xf numFmtId="0" fontId="58" fillId="0" borderId="3" xfId="0" applyFont="1" applyBorder="1" applyAlignment="1">
      <alignment horizontal="center" wrapText="1"/>
    </xf>
    <xf numFmtId="0" fontId="60" fillId="0" borderId="3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2" fillId="0" borderId="3" xfId="0" applyFont="1" applyBorder="1" applyAlignment="1">
      <alignment horizontal="left" wrapText="1"/>
    </xf>
    <xf numFmtId="175" fontId="60" fillId="0" borderId="3" xfId="0" applyNumberFormat="1" applyFont="1" applyBorder="1" applyAlignment="1">
      <alignment horizontal="center" vertical="center"/>
    </xf>
    <xf numFmtId="0" fontId="60" fillId="0" borderId="3" xfId="0" applyFont="1" applyBorder="1" applyAlignment="1">
      <alignment wrapText="1"/>
    </xf>
    <xf numFmtId="0" fontId="60" fillId="0" borderId="3" xfId="0" applyFont="1" applyBorder="1" applyAlignment="1">
      <alignment vertical="center" wrapText="1"/>
    </xf>
    <xf numFmtId="175" fontId="58" fillId="0" borderId="3" xfId="0" applyNumberFormat="1" applyFont="1" applyBorder="1" applyAlignment="1">
      <alignment vertical="center"/>
    </xf>
    <xf numFmtId="175" fontId="59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58" fillId="0" borderId="0" xfId="0" applyFont="1" applyBorder="1" applyAlignment="1">
      <alignment horizontal="left" vertical="center"/>
    </xf>
    <xf numFmtId="175" fontId="58" fillId="0" borderId="0" xfId="0" applyNumberFormat="1" applyFont="1" applyBorder="1" applyAlignment="1">
      <alignment horizontal="center" vertical="center"/>
    </xf>
    <xf numFmtId="0" fontId="0" fillId="0" borderId="0" xfId="0" applyFont="1"/>
    <xf numFmtId="165" fontId="18" fillId="0" borderId="2" xfId="0" applyNumberFormat="1" applyFont="1" applyBorder="1" applyAlignment="1">
      <alignment vertical="center"/>
    </xf>
    <xf numFmtId="165" fontId="18" fillId="0" borderId="3" xfId="0" applyNumberFormat="1" applyFont="1" applyBorder="1" applyAlignment="1">
      <alignment vertical="center"/>
    </xf>
    <xf numFmtId="0" fontId="58" fillId="0" borderId="6" xfId="0" applyFont="1" applyBorder="1" applyAlignment="1">
      <alignment horizontal="center" vertical="center"/>
    </xf>
    <xf numFmtId="0" fontId="58" fillId="0" borderId="6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9" fillId="0" borderId="65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4" xfId="0" applyFont="1" applyBorder="1" applyAlignment="1">
      <alignment horizontal="left" vertical="center"/>
    </xf>
    <xf numFmtId="0" fontId="6" fillId="0" borderId="165" xfId="0" applyFont="1" applyBorder="1" applyAlignment="1">
      <alignment horizontal="left" vertical="center"/>
    </xf>
    <xf numFmtId="0" fontId="6" fillId="0" borderId="16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4" fillId="2" borderId="97" xfId="0" applyFont="1" applyFill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108" xfId="0" applyFont="1" applyBorder="1" applyAlignment="1">
      <alignment horizontal="left" vertical="center"/>
    </xf>
    <xf numFmtId="0" fontId="7" fillId="0" borderId="8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9" fillId="16" borderId="82" xfId="0" applyFont="1" applyFill="1" applyBorder="1" applyAlignment="1">
      <alignment horizontal="center" vertical="center"/>
    </xf>
    <xf numFmtId="0" fontId="19" fillId="16" borderId="83" xfId="0" applyFont="1" applyFill="1" applyBorder="1" applyAlignment="1">
      <alignment horizontal="center" vertical="center"/>
    </xf>
    <xf numFmtId="0" fontId="19" fillId="16" borderId="180" xfId="0" applyFont="1" applyFill="1" applyBorder="1" applyAlignment="1">
      <alignment horizontal="center" vertical="center"/>
    </xf>
    <xf numFmtId="171" fontId="18" fillId="0" borderId="16" xfId="0" applyNumberFormat="1" applyFont="1" applyBorder="1" applyAlignment="1">
      <alignment horizontal="center" vertical="center"/>
    </xf>
    <xf numFmtId="171" fontId="18" fillId="0" borderId="1" xfId="0" applyNumberFormat="1" applyFont="1" applyBorder="1" applyAlignment="1">
      <alignment horizontal="center" vertical="center"/>
    </xf>
    <xf numFmtId="0" fontId="24" fillId="9" borderId="3" xfId="0" applyFont="1" applyFill="1" applyBorder="1" applyAlignment="1">
      <alignment horizontal="left" vertical="center" wrapText="1"/>
    </xf>
    <xf numFmtId="0" fontId="19" fillId="10" borderId="171" xfId="0" applyFont="1" applyFill="1" applyBorder="1" applyAlignment="1">
      <alignment horizontal="center" vertical="center"/>
    </xf>
    <xf numFmtId="0" fontId="19" fillId="10" borderId="172" xfId="0" applyFont="1" applyFill="1" applyBorder="1" applyAlignment="1">
      <alignment horizontal="center" vertical="center"/>
    </xf>
    <xf numFmtId="0" fontId="19" fillId="14" borderId="88" xfId="0" applyFont="1" applyFill="1" applyBorder="1" applyAlignment="1">
      <alignment horizontal="center" vertical="center"/>
    </xf>
    <xf numFmtId="0" fontId="19" fillId="14" borderId="89" xfId="0" applyFont="1" applyFill="1" applyBorder="1" applyAlignment="1">
      <alignment horizontal="center" vertical="center"/>
    </xf>
    <xf numFmtId="0" fontId="19" fillId="14" borderId="90" xfId="0" applyFont="1" applyFill="1" applyBorder="1" applyAlignment="1">
      <alignment horizontal="center" vertical="center"/>
    </xf>
    <xf numFmtId="0" fontId="19" fillId="14" borderId="118" xfId="0" applyFont="1" applyFill="1" applyBorder="1" applyAlignment="1">
      <alignment horizontal="center" vertical="center"/>
    </xf>
    <xf numFmtId="0" fontId="19" fillId="14" borderId="167" xfId="0" applyFont="1" applyFill="1" applyBorder="1" applyAlignment="1">
      <alignment horizontal="center" vertical="center"/>
    </xf>
    <xf numFmtId="0" fontId="19" fillId="14" borderId="176" xfId="0" applyFont="1" applyFill="1" applyBorder="1" applyAlignment="1">
      <alignment horizontal="center" vertical="center"/>
    </xf>
    <xf numFmtId="0" fontId="19" fillId="14" borderId="56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19" fillId="14" borderId="17" xfId="0" applyFont="1" applyFill="1" applyBorder="1" applyAlignment="1">
      <alignment horizontal="center" vertical="center"/>
    </xf>
    <xf numFmtId="0" fontId="20" fillId="9" borderId="23" xfId="0" applyFont="1" applyFill="1" applyBorder="1" applyAlignment="1">
      <alignment horizontal="left" vertical="top"/>
    </xf>
    <xf numFmtId="0" fontId="19" fillId="11" borderId="159" xfId="0" applyFont="1" applyFill="1" applyBorder="1" applyAlignment="1">
      <alignment horizontal="center" vertical="center"/>
    </xf>
    <xf numFmtId="0" fontId="19" fillId="11" borderId="181" xfId="0" applyFont="1" applyFill="1" applyBorder="1" applyAlignment="1">
      <alignment horizontal="center" vertical="center"/>
    </xf>
    <xf numFmtId="0" fontId="19" fillId="11" borderId="182" xfId="0" applyFont="1" applyFill="1" applyBorder="1" applyAlignment="1">
      <alignment horizontal="center" vertical="center"/>
    </xf>
    <xf numFmtId="0" fontId="19" fillId="13" borderId="170" xfId="0" applyFont="1" applyFill="1" applyBorder="1" applyAlignment="1">
      <alignment horizontal="center" vertical="center"/>
    </xf>
    <xf numFmtId="0" fontId="19" fillId="13" borderId="59" xfId="0" applyFont="1" applyFill="1" applyBorder="1" applyAlignment="1">
      <alignment horizontal="center" vertical="center"/>
    </xf>
    <xf numFmtId="0" fontId="19" fillId="13" borderId="37" xfId="0" applyFont="1" applyFill="1" applyBorder="1" applyAlignment="1">
      <alignment horizontal="center" vertical="center"/>
    </xf>
    <xf numFmtId="0" fontId="19" fillId="13" borderId="160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9" fillId="13" borderId="17" xfId="0" applyFont="1" applyFill="1" applyBorder="1" applyAlignment="1">
      <alignment horizontal="center" vertical="center"/>
    </xf>
    <xf numFmtId="0" fontId="19" fillId="12" borderId="170" xfId="0" applyFont="1" applyFill="1" applyBorder="1" applyAlignment="1">
      <alignment horizontal="center" vertical="center"/>
    </xf>
    <xf numFmtId="0" fontId="19" fillId="12" borderId="59" xfId="0" applyFont="1" applyFill="1" applyBorder="1" applyAlignment="1">
      <alignment horizontal="center" vertical="center"/>
    </xf>
    <xf numFmtId="0" fontId="19" fillId="12" borderId="183" xfId="0" applyFont="1" applyFill="1" applyBorder="1" applyAlignment="1">
      <alignment horizontal="center" vertical="center"/>
    </xf>
    <xf numFmtId="0" fontId="19" fillId="12" borderId="184" xfId="0" applyFont="1" applyFill="1" applyBorder="1" applyAlignment="1">
      <alignment horizontal="center" vertical="center"/>
    </xf>
    <xf numFmtId="0" fontId="19" fillId="12" borderId="185" xfId="0" applyFont="1" applyFill="1" applyBorder="1" applyAlignment="1">
      <alignment horizontal="center" vertical="center"/>
    </xf>
    <xf numFmtId="0" fontId="19" fillId="12" borderId="186" xfId="0" applyFont="1" applyFill="1" applyBorder="1" applyAlignment="1">
      <alignment horizontal="center" vertical="center"/>
    </xf>
    <xf numFmtId="0" fontId="19" fillId="10" borderId="170" xfId="0" applyFont="1" applyFill="1" applyBorder="1" applyAlignment="1">
      <alignment horizontal="right" vertical="center"/>
    </xf>
    <xf numFmtId="0" fontId="19" fillId="10" borderId="40" xfId="0" applyFont="1" applyFill="1" applyBorder="1" applyAlignment="1">
      <alignment horizontal="right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59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0" fontId="19" fillId="10" borderId="148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19" fillId="10" borderId="40" xfId="0" applyFont="1" applyFill="1" applyBorder="1" applyAlignment="1">
      <alignment horizontal="center" vertical="center"/>
    </xf>
    <xf numFmtId="0" fontId="33" fillId="33" borderId="57" xfId="0" applyFont="1" applyFill="1" applyBorder="1" applyAlignment="1">
      <alignment horizontal="center" vertical="center" wrapText="1"/>
    </xf>
    <xf numFmtId="0" fontId="33" fillId="33" borderId="29" xfId="0" applyFont="1" applyFill="1" applyBorder="1" applyAlignment="1">
      <alignment horizontal="center" vertical="center" wrapText="1"/>
    </xf>
    <xf numFmtId="0" fontId="38" fillId="29" borderId="98" xfId="0" applyFont="1" applyFill="1" applyBorder="1" applyAlignment="1">
      <alignment horizontal="center" vertical="center"/>
    </xf>
    <xf numFmtId="0" fontId="38" fillId="29" borderId="97" xfId="0" applyFont="1" applyFill="1" applyBorder="1" applyAlignment="1">
      <alignment horizontal="center" vertical="center"/>
    </xf>
    <xf numFmtId="0" fontId="38" fillId="29" borderId="96" xfId="0" applyFont="1" applyFill="1" applyBorder="1" applyAlignment="1">
      <alignment horizontal="center" vertical="center"/>
    </xf>
    <xf numFmtId="4" fontId="39" fillId="2" borderId="73" xfId="0" applyNumberFormat="1" applyFont="1" applyFill="1" applyBorder="1" applyAlignment="1">
      <alignment horizontal="center" vertical="center"/>
    </xf>
    <xf numFmtId="0" fontId="33" fillId="45" borderId="13" xfId="0" applyFont="1" applyFill="1" applyBorder="1" applyAlignment="1">
      <alignment horizontal="center" vertical="center" wrapText="1"/>
    </xf>
    <xf numFmtId="0" fontId="33" fillId="45" borderId="25" xfId="0" applyFont="1" applyFill="1" applyBorder="1" applyAlignment="1">
      <alignment horizontal="center" vertical="center" wrapText="1"/>
    </xf>
    <xf numFmtId="0" fontId="23" fillId="30" borderId="88" xfId="0" applyFont="1" applyFill="1" applyBorder="1" applyAlignment="1" applyProtection="1">
      <alignment horizontal="center" vertical="center"/>
      <protection locked="0"/>
    </xf>
    <xf numFmtId="0" fontId="23" fillId="30" borderId="91" xfId="0" applyFont="1" applyFill="1" applyBorder="1" applyAlignment="1" applyProtection="1">
      <alignment horizontal="center" vertical="center"/>
      <protection locked="0"/>
    </xf>
    <xf numFmtId="0" fontId="23" fillId="30" borderId="93" xfId="0" applyFont="1" applyFill="1" applyBorder="1" applyAlignment="1" applyProtection="1">
      <alignment horizontal="center" vertical="center"/>
      <protection locked="0"/>
    </xf>
    <xf numFmtId="0" fontId="34" fillId="34" borderId="13" xfId="0" applyFont="1" applyFill="1" applyBorder="1" applyAlignment="1">
      <alignment horizontal="center" vertical="center" wrapText="1"/>
    </xf>
    <xf numFmtId="0" fontId="34" fillId="34" borderId="25" xfId="0" applyFont="1" applyFill="1" applyBorder="1" applyAlignment="1">
      <alignment horizontal="center" vertical="center" wrapText="1"/>
    </xf>
    <xf numFmtId="0" fontId="40" fillId="2" borderId="70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 vertical="center" wrapText="1"/>
    </xf>
    <xf numFmtId="0" fontId="8" fillId="17" borderId="12" xfId="0" applyFont="1" applyFill="1" applyBorder="1" applyAlignment="1">
      <alignment horizontal="center" vertical="center" wrapText="1"/>
    </xf>
    <xf numFmtId="0" fontId="33" fillId="32" borderId="12" xfId="0" applyFont="1" applyFill="1" applyBorder="1" applyAlignment="1">
      <alignment horizontal="center" vertical="center" wrapText="1"/>
    </xf>
    <xf numFmtId="0" fontId="33" fillId="14" borderId="13" xfId="0" applyFont="1" applyFill="1" applyBorder="1" applyAlignment="1">
      <alignment horizontal="center" vertical="center" wrapText="1"/>
    </xf>
    <xf numFmtId="0" fontId="33" fillId="14" borderId="2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1" borderId="12" xfId="0" applyFont="1" applyFill="1" applyBorder="1" applyAlignment="1">
      <alignment horizontal="center" vertical="center" wrapText="1"/>
    </xf>
    <xf numFmtId="0" fontId="14" fillId="31" borderId="12" xfId="0" applyFont="1" applyFill="1" applyBorder="1" applyAlignment="1">
      <alignment horizontal="center" vertical="center" wrapText="1"/>
    </xf>
    <xf numFmtId="0" fontId="23" fillId="30" borderId="89" xfId="0" applyFont="1" applyFill="1" applyBorder="1" applyAlignment="1" applyProtection="1">
      <alignment horizontal="center" vertical="center"/>
      <protection locked="0"/>
    </xf>
    <xf numFmtId="0" fontId="23" fillId="30" borderId="0" xfId="0" applyFont="1" applyFill="1" applyAlignment="1" applyProtection="1">
      <alignment horizontal="center" vertical="center"/>
      <protection locked="0"/>
    </xf>
    <xf numFmtId="0" fontId="23" fillId="30" borderId="94" xfId="0" applyFont="1" applyFill="1" applyBorder="1" applyAlignment="1" applyProtection="1">
      <alignment horizontal="center" vertical="center"/>
      <protection locked="0"/>
    </xf>
    <xf numFmtId="0" fontId="8" fillId="4" borderId="37" xfId="0" applyFont="1" applyFill="1" applyBorder="1" applyAlignment="1">
      <alignment horizontal="center" vertical="center" wrapText="1"/>
    </xf>
    <xf numFmtId="0" fontId="23" fillId="30" borderId="90" xfId="0" applyFont="1" applyFill="1" applyBorder="1" applyAlignment="1" applyProtection="1">
      <alignment horizontal="center" vertical="center"/>
      <protection locked="0"/>
    </xf>
    <xf numFmtId="0" fontId="23" fillId="30" borderId="92" xfId="0" applyFont="1" applyFill="1" applyBorder="1" applyAlignment="1" applyProtection="1">
      <alignment horizontal="center" vertical="center"/>
      <protection locked="0"/>
    </xf>
    <xf numFmtId="0" fontId="23" fillId="30" borderId="95" xfId="0" applyFont="1" applyFill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>
      <alignment horizontal="center" vertical="center"/>
    </xf>
    <xf numFmtId="0" fontId="23" fillId="26" borderId="39" xfId="3" applyNumberFormat="1" applyFont="1" applyFill="1" applyBorder="1" applyAlignment="1" applyProtection="1">
      <alignment horizontal="center" vertical="center"/>
    </xf>
    <xf numFmtId="0" fontId="23" fillId="27" borderId="59" xfId="0" applyFont="1" applyFill="1" applyBorder="1" applyAlignment="1">
      <alignment horizontal="center" vertical="center"/>
    </xf>
    <xf numFmtId="0" fontId="23" fillId="28" borderId="59" xfId="0" applyFont="1" applyFill="1" applyBorder="1" applyAlignment="1">
      <alignment horizontal="center" vertical="center"/>
    </xf>
    <xf numFmtId="0" fontId="23" fillId="29" borderId="59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31" borderId="59" xfId="0" applyFont="1" applyFill="1" applyBorder="1" applyAlignment="1">
      <alignment horizontal="center" vertical="center" wrapText="1"/>
    </xf>
    <xf numFmtId="0" fontId="23" fillId="17" borderId="40" xfId="0" applyFont="1" applyFill="1" applyBorder="1" applyAlignment="1">
      <alignment horizontal="center" vertical="center" wrapText="1"/>
    </xf>
    <xf numFmtId="0" fontId="8" fillId="17" borderId="59" xfId="0" applyFont="1" applyFill="1" applyBorder="1" applyAlignment="1">
      <alignment horizontal="center" vertical="center" wrapText="1"/>
    </xf>
    <xf numFmtId="0" fontId="35" fillId="42" borderId="40" xfId="0" applyFont="1" applyFill="1" applyBorder="1" applyAlignment="1">
      <alignment horizontal="center" vertical="center" wrapText="1"/>
    </xf>
    <xf numFmtId="0" fontId="35" fillId="42" borderId="13" xfId="0" applyFont="1" applyFill="1" applyBorder="1" applyAlignment="1">
      <alignment horizontal="center" vertical="center" wrapText="1"/>
    </xf>
    <xf numFmtId="0" fontId="35" fillId="33" borderId="41" xfId="0" applyFont="1" applyFill="1" applyBorder="1" applyAlignment="1">
      <alignment horizontal="center" vertical="center" wrapText="1"/>
    </xf>
    <xf numFmtId="0" fontId="23" fillId="27" borderId="50" xfId="0" applyFont="1" applyFill="1" applyBorder="1" applyAlignment="1">
      <alignment horizontal="center" vertical="center"/>
    </xf>
    <xf numFmtId="0" fontId="23" fillId="28" borderId="51" xfId="0" applyFont="1" applyFill="1" applyBorder="1" applyAlignment="1">
      <alignment horizontal="center" vertical="center"/>
    </xf>
    <xf numFmtId="0" fontId="23" fillId="29" borderId="75" xfId="0" applyFont="1" applyFill="1" applyBorder="1" applyAlignment="1">
      <alignment horizontal="center" vertical="center"/>
    </xf>
    <xf numFmtId="0" fontId="8" fillId="31" borderId="40" xfId="0" applyFont="1" applyFill="1" applyBorder="1" applyAlignment="1">
      <alignment horizontal="center" vertical="center" wrapText="1"/>
    </xf>
    <xf numFmtId="0" fontId="14" fillId="31" borderId="99" xfId="0" applyFont="1" applyFill="1" applyBorder="1" applyAlignment="1">
      <alignment horizontal="center" wrapText="1"/>
    </xf>
    <xf numFmtId="0" fontId="14" fillId="31" borderId="100" xfId="0" applyFont="1" applyFill="1" applyBorder="1" applyAlignment="1">
      <alignment horizontal="center" wrapText="1"/>
    </xf>
    <xf numFmtId="0" fontId="23" fillId="41" borderId="40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23" fillId="41" borderId="13" xfId="0" applyFont="1" applyFill="1" applyBorder="1" applyAlignment="1" applyProtection="1">
      <alignment horizontal="center" vertical="center"/>
      <protection locked="0"/>
    </xf>
    <xf numFmtId="0" fontId="23" fillId="41" borderId="25" xfId="0" applyFont="1" applyFill="1" applyBorder="1" applyAlignment="1" applyProtection="1">
      <alignment horizontal="center" vertical="center"/>
      <protection locked="0"/>
    </xf>
    <xf numFmtId="0" fontId="9" fillId="0" borderId="1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3" fillId="31" borderId="77" xfId="0" applyFont="1" applyFill="1" applyBorder="1" applyAlignment="1">
      <alignment horizontal="center" vertical="center" wrapText="1"/>
    </xf>
    <xf numFmtId="0" fontId="23" fillId="17" borderId="78" xfId="0" applyFont="1" applyFill="1" applyBorder="1" applyAlignment="1">
      <alignment horizontal="center" vertical="center" wrapText="1"/>
    </xf>
    <xf numFmtId="0" fontId="23" fillId="17" borderId="79" xfId="0" applyFont="1" applyFill="1" applyBorder="1" applyAlignment="1">
      <alignment horizontal="center" vertical="center" wrapText="1"/>
    </xf>
    <xf numFmtId="0" fontId="23" fillId="17" borderId="77" xfId="0" applyFont="1" applyFill="1" applyBorder="1" applyAlignment="1">
      <alignment horizontal="center" vertical="center" wrapText="1"/>
    </xf>
    <xf numFmtId="0" fontId="23" fillId="31" borderId="78" xfId="0" applyFont="1" applyFill="1" applyBorder="1" applyAlignment="1">
      <alignment horizontal="center" vertical="center" wrapText="1"/>
    </xf>
    <xf numFmtId="0" fontId="23" fillId="31" borderId="79" xfId="0" applyFont="1" applyFill="1" applyBorder="1" applyAlignment="1">
      <alignment horizontal="center" vertical="center" wrapText="1"/>
    </xf>
    <xf numFmtId="0" fontId="23" fillId="4" borderId="77" xfId="0" applyFont="1" applyFill="1" applyBorder="1" applyAlignment="1">
      <alignment horizontal="center" vertical="center" wrapText="1"/>
    </xf>
    <xf numFmtId="0" fontId="23" fillId="4" borderId="78" xfId="0" applyFont="1" applyFill="1" applyBorder="1" applyAlignment="1">
      <alignment horizontal="center" vertical="center" wrapText="1"/>
    </xf>
    <xf numFmtId="0" fontId="23" fillId="4" borderId="79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29" xfId="0" applyFont="1" applyFill="1" applyBorder="1" applyAlignment="1">
      <alignment horizontal="center" vertical="center" wrapText="1"/>
    </xf>
    <xf numFmtId="0" fontId="23" fillId="4" borderId="130" xfId="0" applyFont="1" applyFill="1" applyBorder="1" applyAlignment="1">
      <alignment horizontal="center" vertical="center" wrapText="1"/>
    </xf>
    <xf numFmtId="0" fontId="25" fillId="9" borderId="23" xfId="0" applyFont="1" applyFill="1" applyBorder="1" applyAlignment="1">
      <alignment horizontal="left" vertical="center" wrapText="1"/>
    </xf>
    <xf numFmtId="0" fontId="25" fillId="9" borderId="26" xfId="0" applyFont="1" applyFill="1" applyBorder="1" applyAlignment="1">
      <alignment horizontal="left" vertical="center" wrapText="1"/>
    </xf>
    <xf numFmtId="0" fontId="23" fillId="4" borderId="80" xfId="0" applyFont="1" applyFill="1" applyBorder="1" applyAlignment="1">
      <alignment horizontal="center" vertical="center" wrapText="1"/>
    </xf>
    <xf numFmtId="0" fontId="25" fillId="9" borderId="23" xfId="0" applyFont="1" applyFill="1" applyBorder="1" applyAlignment="1">
      <alignment horizontal="center" vertical="center" wrapText="1"/>
    </xf>
    <xf numFmtId="0" fontId="25" fillId="25" borderId="42" xfId="0" applyFont="1" applyFill="1" applyBorder="1" applyAlignment="1">
      <alignment horizontal="left" vertical="center" wrapText="1"/>
    </xf>
    <xf numFmtId="0" fontId="25" fillId="9" borderId="45" xfId="0" applyFont="1" applyFill="1" applyBorder="1" applyAlignment="1">
      <alignment horizontal="left" vertical="center" wrapText="1"/>
    </xf>
    <xf numFmtId="0" fontId="9" fillId="9" borderId="23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25" fillId="24" borderId="45" xfId="0" applyFont="1" applyFill="1" applyBorder="1" applyAlignment="1">
      <alignment horizontal="center" vertical="center" wrapText="1"/>
    </xf>
    <xf numFmtId="0" fontId="25" fillId="20" borderId="32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/>
    </xf>
    <xf numFmtId="0" fontId="26" fillId="9" borderId="18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25" fillId="9" borderId="103" xfId="0" applyFont="1" applyFill="1" applyBorder="1" applyAlignment="1">
      <alignment horizontal="left" vertical="center" wrapText="1"/>
    </xf>
    <xf numFmtId="0" fontId="25" fillId="9" borderId="154" xfId="0" applyFont="1" applyFill="1" applyBorder="1" applyAlignment="1">
      <alignment horizontal="left" vertical="center" wrapText="1"/>
    </xf>
    <xf numFmtId="0" fontId="25" fillId="9" borderId="103" xfId="0" applyFont="1" applyFill="1" applyBorder="1" applyAlignment="1">
      <alignment horizontal="center" vertical="center" wrapText="1"/>
    </xf>
    <xf numFmtId="0" fontId="9" fillId="9" borderId="103" xfId="0" applyFont="1" applyFill="1" applyBorder="1" applyAlignment="1">
      <alignment horizontal="center" vertical="center"/>
    </xf>
    <xf numFmtId="0" fontId="25" fillId="20" borderId="143" xfId="0" applyFont="1" applyFill="1" applyBorder="1" applyAlignment="1">
      <alignment horizontal="left" vertical="center" wrapText="1"/>
    </xf>
    <xf numFmtId="0" fontId="25" fillId="20" borderId="137" xfId="0" applyFont="1" applyFill="1" applyBorder="1" applyAlignment="1">
      <alignment horizontal="left" vertical="center" wrapText="1"/>
    </xf>
    <xf numFmtId="0" fontId="23" fillId="7" borderId="148" xfId="0" applyFont="1" applyFill="1" applyBorder="1" applyAlignment="1">
      <alignment horizontal="center" vertical="center"/>
    </xf>
    <xf numFmtId="0" fontId="9" fillId="9" borderId="152" xfId="0" applyFont="1" applyFill="1" applyBorder="1" applyAlignment="1">
      <alignment horizontal="center" vertical="center"/>
    </xf>
    <xf numFmtId="0" fontId="9" fillId="9" borderId="153" xfId="0" applyFont="1" applyFill="1" applyBorder="1" applyAlignment="1">
      <alignment horizontal="center" vertical="center"/>
    </xf>
    <xf numFmtId="0" fontId="9" fillId="9" borderId="134" xfId="0" applyFont="1" applyFill="1" applyBorder="1" applyAlignment="1">
      <alignment horizontal="center" vertical="center"/>
    </xf>
    <xf numFmtId="0" fontId="9" fillId="9" borderId="135" xfId="0" applyFont="1" applyFill="1" applyBorder="1" applyAlignment="1">
      <alignment horizontal="center" vertical="center"/>
    </xf>
    <xf numFmtId="0" fontId="25" fillId="24" borderId="141" xfId="0" applyFont="1" applyFill="1" applyBorder="1" applyAlignment="1">
      <alignment horizontal="center" vertical="center" wrapText="1"/>
    </xf>
    <xf numFmtId="0" fontId="25" fillId="25" borderId="151" xfId="0" applyFont="1" applyFill="1" applyBorder="1" applyAlignment="1">
      <alignment horizontal="left" vertical="center" wrapText="1"/>
    </xf>
    <xf numFmtId="0" fontId="25" fillId="9" borderId="141" xfId="0" applyFont="1" applyFill="1" applyBorder="1" applyAlignment="1">
      <alignment horizontal="left" vertical="center" wrapText="1"/>
    </xf>
    <xf numFmtId="0" fontId="26" fillId="0" borderId="131" xfId="0" applyFont="1" applyBorder="1" applyAlignment="1">
      <alignment horizontal="center" vertical="center"/>
    </xf>
    <xf numFmtId="0" fontId="26" fillId="0" borderId="132" xfId="0" applyFont="1" applyBorder="1" applyAlignment="1">
      <alignment horizontal="center" vertical="center"/>
    </xf>
    <xf numFmtId="0" fontId="26" fillId="0" borderId="133" xfId="0" applyFont="1" applyBorder="1" applyAlignment="1">
      <alignment horizontal="center" vertical="center"/>
    </xf>
    <xf numFmtId="0" fontId="26" fillId="9" borderId="134" xfId="0" applyFont="1" applyFill="1" applyBorder="1" applyAlignment="1">
      <alignment horizontal="center" vertical="center"/>
    </xf>
    <xf numFmtId="0" fontId="26" fillId="9" borderId="135" xfId="0" applyFont="1" applyFill="1" applyBorder="1" applyAlignment="1">
      <alignment horizontal="center" vertical="center"/>
    </xf>
    <xf numFmtId="0" fontId="9" fillId="9" borderId="139" xfId="0" applyFont="1" applyFill="1" applyBorder="1" applyAlignment="1">
      <alignment horizontal="center" vertical="center"/>
    </xf>
    <xf numFmtId="0" fontId="9" fillId="9" borderId="140" xfId="0" applyFont="1" applyFill="1" applyBorder="1" applyAlignment="1">
      <alignment horizontal="center" vertical="center"/>
    </xf>
    <xf numFmtId="0" fontId="35" fillId="42" borderId="59" xfId="0" applyFont="1" applyFill="1" applyBorder="1" applyAlignment="1">
      <alignment horizontal="center" vertical="center" wrapText="1"/>
    </xf>
    <xf numFmtId="0" fontId="8" fillId="27" borderId="50" xfId="0" applyFont="1" applyFill="1" applyBorder="1" applyAlignment="1">
      <alignment horizontal="center" vertical="center"/>
    </xf>
    <xf numFmtId="0" fontId="8" fillId="28" borderId="51" xfId="0" applyFont="1" applyFill="1" applyBorder="1" applyAlignment="1">
      <alignment horizontal="center" vertical="center"/>
    </xf>
    <xf numFmtId="0" fontId="8" fillId="29" borderId="57" xfId="0" applyFont="1" applyFill="1" applyBorder="1" applyAlignment="1">
      <alignment horizontal="center" vertical="center"/>
    </xf>
    <xf numFmtId="0" fontId="8" fillId="17" borderId="37" xfId="0" applyFont="1" applyFill="1" applyBorder="1" applyAlignment="1">
      <alignment horizontal="center" vertical="center" wrapText="1"/>
    </xf>
    <xf numFmtId="0" fontId="23" fillId="41" borderId="187" xfId="0" applyFont="1" applyFill="1" applyBorder="1" applyAlignment="1" applyProtection="1">
      <alignment horizontal="center" vertical="center"/>
      <protection locked="0"/>
    </xf>
    <xf numFmtId="0" fontId="23" fillId="41" borderId="163" xfId="0" applyFont="1" applyFill="1" applyBorder="1" applyAlignment="1" applyProtection="1">
      <alignment horizontal="center" vertical="center"/>
      <protection locked="0"/>
    </xf>
  </cellXfs>
  <cellStyles count="5">
    <cellStyle name="Hyperlink" xfId="4"/>
    <cellStyle name="Normal" xfId="0" builtinId="0"/>
    <cellStyle name="Porcentagem" xfId="2" builtinId="5"/>
    <cellStyle name="TableStyleLight1" xfId="3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DDDDD"/>
      <rgbColor rgb="FFFFFF00"/>
      <rgbColor rgb="FFF4B183"/>
      <rgbColor rgb="FFA9D18E"/>
      <rgbColor rgb="FFD9D9D9"/>
      <rgbColor rgb="FF5EB91E"/>
      <rgbColor rgb="FFFFE699"/>
      <rgbColor rgb="FF70AD47"/>
      <rgbColor rgb="FFCCCCCC"/>
      <rgbColor rgb="FF8FAADC"/>
      <rgbColor rgb="FFC0C0C0"/>
      <rgbColor rgb="FF808080"/>
      <rgbColor rgb="FF8EA9DB"/>
      <rgbColor rgb="FFA1467E"/>
      <rgbColor rgb="FFFFFFCC"/>
      <rgbColor rgb="FFDEEBF7"/>
      <rgbColor rgb="FFFFCCCC"/>
      <rgbColor rgb="FFBF819E"/>
      <rgbColor rgb="FFB4C6E7"/>
      <rgbColor rgb="FFCCCCFF"/>
      <rgbColor rgb="FFFFF2CC"/>
      <rgbColor rgb="FFC1C1C1"/>
      <rgbColor rgb="FFFFD966"/>
      <rgbColor rgb="FFA9D08E"/>
      <rgbColor rgb="FFD0CECE"/>
      <rgbColor rgb="FFDBDBDB"/>
      <rgbColor rgb="FFADB9CA"/>
      <rgbColor rgb="FFFCE4D6"/>
      <rgbColor rgb="FF00CCFF"/>
      <rgbColor rgb="FFD9E1F2"/>
      <rgbColor rgb="FFC6E0B4"/>
      <rgbColor rgb="FFFFFF99"/>
      <rgbColor rgb="FF9BC2E6"/>
      <rgbColor rgb="FFFF9999"/>
      <rgbColor rgb="FFCC99FF"/>
      <rgbColor rgb="FFF8CBAD"/>
      <rgbColor rgb="FF729FCF"/>
      <rgbColor rgb="FF5B9BD5"/>
      <rgbColor rgb="FFBBE33D"/>
      <rgbColor rgb="FFFFCC00"/>
      <rgbColor rgb="FFFFC000"/>
      <rgbColor rgb="FFFD6802"/>
      <rgbColor rgb="FF5983B0"/>
      <rgbColor rgb="FF8497B0"/>
      <rgbColor rgb="FFB4C7DC"/>
      <rgbColor rgb="FF49873A"/>
      <rgbColor rgb="FFD6DCE4"/>
      <rgbColor rgb="FF3D4C2F"/>
      <rgbColor rgb="FF824802"/>
      <rgbColor rgb="FFA6A6A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7070"/>
      <color rgb="FFFACFD6"/>
      <color rgb="FFF7C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="88" zoomScaleNormal="88" workbookViewId="0">
      <selection sqref="A1:H1"/>
    </sheetView>
  </sheetViews>
  <sheetFormatPr defaultRowHeight="14.25" x14ac:dyDescent="0.2"/>
  <cols>
    <col min="2" max="2" width="15.125" customWidth="1"/>
    <col min="4" max="4" width="59.375" customWidth="1"/>
    <col min="5" max="5" width="12.375" customWidth="1"/>
    <col min="6" max="6" width="11.25" customWidth="1"/>
    <col min="7" max="7" width="16.5" customWidth="1"/>
    <col min="8" max="8" width="18.875" customWidth="1"/>
    <col min="9" max="9" width="11.625" bestFit="1" customWidth="1"/>
  </cols>
  <sheetData>
    <row r="1" spans="1:9" ht="15" x14ac:dyDescent="0.2">
      <c r="A1" s="770" t="s">
        <v>598</v>
      </c>
      <c r="B1" s="770"/>
      <c r="C1" s="770"/>
      <c r="D1" s="770"/>
      <c r="E1" s="770"/>
      <c r="F1" s="770"/>
      <c r="G1" s="770"/>
      <c r="H1" s="770"/>
    </row>
    <row r="2" spans="1:9" ht="15" x14ac:dyDescent="0.2">
      <c r="A2" s="770" t="s">
        <v>564</v>
      </c>
      <c r="B2" s="770"/>
      <c r="C2" s="770"/>
      <c r="D2" s="770"/>
      <c r="E2" s="770"/>
      <c r="F2" s="770"/>
      <c r="G2" s="770"/>
      <c r="H2" s="770"/>
    </row>
    <row r="3" spans="1:9" ht="15" x14ac:dyDescent="0.2">
      <c r="A3" s="770" t="s">
        <v>565</v>
      </c>
      <c r="B3" s="770"/>
      <c r="C3" s="770"/>
      <c r="D3" s="770"/>
      <c r="E3" s="770"/>
      <c r="F3" s="770"/>
      <c r="G3" s="770"/>
      <c r="H3" s="770"/>
    </row>
    <row r="4" spans="1:9" ht="15" x14ac:dyDescent="0.2">
      <c r="A4" s="771" t="s">
        <v>566</v>
      </c>
      <c r="B4" s="771"/>
      <c r="C4" s="771"/>
      <c r="D4" s="771"/>
      <c r="E4" s="771"/>
      <c r="F4" s="771"/>
      <c r="G4" s="771"/>
      <c r="H4" s="771"/>
    </row>
    <row r="5" spans="1:9" ht="44.85" customHeight="1" x14ac:dyDescent="0.2">
      <c r="A5" s="772" t="s">
        <v>567</v>
      </c>
      <c r="B5" s="773"/>
      <c r="C5" s="773"/>
      <c r="D5" s="773"/>
      <c r="E5" s="773"/>
      <c r="F5" s="773"/>
      <c r="G5" s="773"/>
      <c r="H5" s="774"/>
    </row>
    <row r="7" spans="1:9" ht="30" x14ac:dyDescent="0.25">
      <c r="A7" s="751" t="s">
        <v>568</v>
      </c>
      <c r="B7" s="752" t="s">
        <v>569</v>
      </c>
      <c r="C7" s="752" t="s">
        <v>570</v>
      </c>
      <c r="D7" s="752" t="s">
        <v>571</v>
      </c>
      <c r="E7" s="752" t="s">
        <v>572</v>
      </c>
      <c r="F7" s="752" t="s">
        <v>573</v>
      </c>
      <c r="G7" s="752" t="s">
        <v>574</v>
      </c>
      <c r="H7" s="752" t="s">
        <v>575</v>
      </c>
    </row>
    <row r="8" spans="1:9" ht="73.5" customHeight="1" x14ac:dyDescent="0.25">
      <c r="A8" s="775">
        <v>1</v>
      </c>
      <c r="B8" s="753">
        <v>1</v>
      </c>
      <c r="C8" s="754">
        <v>24023</v>
      </c>
      <c r="D8" s="755" t="s">
        <v>576</v>
      </c>
      <c r="E8" s="753" t="s">
        <v>577</v>
      </c>
      <c r="F8" s="753" t="s">
        <v>578</v>
      </c>
      <c r="G8" s="756">
        <f>'Resumo Proposta'!Y42</f>
        <v>0</v>
      </c>
      <c r="H8" s="756">
        <f>G8*12</f>
        <v>0</v>
      </c>
    </row>
    <row r="9" spans="1:9" ht="73.5" customHeight="1" x14ac:dyDescent="0.25">
      <c r="A9" s="776"/>
      <c r="B9" s="753">
        <v>2</v>
      </c>
      <c r="C9" s="754">
        <v>25194</v>
      </c>
      <c r="D9" s="755" t="s">
        <v>579</v>
      </c>
      <c r="E9" s="753" t="s">
        <v>148</v>
      </c>
      <c r="F9" s="753" t="s">
        <v>578</v>
      </c>
      <c r="G9" s="756">
        <f>'Resumo Proposta'!Z42</f>
        <v>0</v>
      </c>
      <c r="H9" s="756">
        <f t="shared" ref="H9:H12" si="0">G9*12</f>
        <v>0</v>
      </c>
    </row>
    <row r="10" spans="1:9" ht="73.5" customHeight="1" x14ac:dyDescent="0.25">
      <c r="A10" s="776"/>
      <c r="B10" s="753">
        <v>3</v>
      </c>
      <c r="C10" s="754">
        <v>25194</v>
      </c>
      <c r="D10" s="757" t="s">
        <v>580</v>
      </c>
      <c r="E10" s="753" t="s">
        <v>148</v>
      </c>
      <c r="F10" s="753" t="s">
        <v>578</v>
      </c>
      <c r="G10" s="756">
        <f>'Resumo Proposta'!AA42</f>
        <v>0</v>
      </c>
      <c r="H10" s="756">
        <f t="shared" si="0"/>
        <v>0</v>
      </c>
    </row>
    <row r="11" spans="1:9" ht="73.5" customHeight="1" x14ac:dyDescent="0.25">
      <c r="A11" s="776"/>
      <c r="B11" s="753">
        <v>4</v>
      </c>
      <c r="C11" s="754">
        <v>25194</v>
      </c>
      <c r="D11" s="757" t="s">
        <v>581</v>
      </c>
      <c r="E11" s="753" t="s">
        <v>148</v>
      </c>
      <c r="F11" s="753" t="s">
        <v>578</v>
      </c>
      <c r="G11" s="756">
        <f>'Resumo Proposta'!AB42</f>
        <v>0</v>
      </c>
      <c r="H11" s="756">
        <f t="shared" si="0"/>
        <v>0</v>
      </c>
    </row>
    <row r="12" spans="1:9" ht="73.5" customHeight="1" x14ac:dyDescent="0.2">
      <c r="A12" s="776"/>
      <c r="B12" s="753">
        <v>5</v>
      </c>
      <c r="C12" s="754">
        <v>15890</v>
      </c>
      <c r="D12" s="758" t="s">
        <v>582</v>
      </c>
      <c r="E12" s="753" t="s">
        <v>148</v>
      </c>
      <c r="F12" s="753" t="s">
        <v>578</v>
      </c>
      <c r="G12" s="756">
        <f>'Resumo Proposta'!AC42</f>
        <v>0</v>
      </c>
      <c r="H12" s="756">
        <f t="shared" si="0"/>
        <v>0</v>
      </c>
    </row>
    <row r="13" spans="1:9" ht="17.25" customHeight="1" x14ac:dyDescent="0.2">
      <c r="A13" s="767" t="s">
        <v>583</v>
      </c>
      <c r="B13" s="768"/>
      <c r="C13" s="768"/>
      <c r="D13" s="768"/>
      <c r="E13" s="768"/>
      <c r="F13" s="768"/>
      <c r="G13" s="759">
        <f>SUM(G8:G12)</f>
        <v>0</v>
      </c>
      <c r="H13" s="760">
        <f>SUM(H8:H12)</f>
        <v>0</v>
      </c>
      <c r="I13" s="761"/>
    </row>
    <row r="14" spans="1:9" ht="15" x14ac:dyDescent="0.2">
      <c r="A14" s="762"/>
      <c r="B14" s="762"/>
      <c r="C14" s="762"/>
      <c r="D14" s="762"/>
      <c r="E14" s="762"/>
      <c r="F14" s="762"/>
      <c r="G14" s="762"/>
      <c r="H14" s="763"/>
    </row>
    <row r="15" spans="1:9" x14ac:dyDescent="0.2">
      <c r="A15" t="s">
        <v>584</v>
      </c>
    </row>
    <row r="16" spans="1:9" x14ac:dyDescent="0.2">
      <c r="A16" t="s">
        <v>585</v>
      </c>
    </row>
    <row r="17" spans="1:8" x14ac:dyDescent="0.2">
      <c r="A17" s="764" t="s">
        <v>586</v>
      </c>
    </row>
    <row r="18" spans="1:8" x14ac:dyDescent="0.2">
      <c r="A18" s="764" t="s">
        <v>587</v>
      </c>
    </row>
    <row r="19" spans="1:8" x14ac:dyDescent="0.2">
      <c r="A19" s="764" t="s">
        <v>588</v>
      </c>
    </row>
    <row r="20" spans="1:8" x14ac:dyDescent="0.2">
      <c r="A20" s="764" t="s">
        <v>589</v>
      </c>
    </row>
    <row r="21" spans="1:8" x14ac:dyDescent="0.2">
      <c r="A21" s="764" t="s">
        <v>590</v>
      </c>
    </row>
    <row r="22" spans="1:8" x14ac:dyDescent="0.2">
      <c r="A22" s="764" t="s">
        <v>591</v>
      </c>
    </row>
    <row r="23" spans="1:8" x14ac:dyDescent="0.2">
      <c r="A23" s="764" t="s">
        <v>592</v>
      </c>
    </row>
    <row r="24" spans="1:8" x14ac:dyDescent="0.2">
      <c r="A24" s="764" t="s">
        <v>593</v>
      </c>
    </row>
    <row r="25" spans="1:8" x14ac:dyDescent="0.2">
      <c r="A25" s="764" t="s">
        <v>594</v>
      </c>
    </row>
    <row r="26" spans="1:8" x14ac:dyDescent="0.2">
      <c r="A26" s="764" t="s">
        <v>595</v>
      </c>
    </row>
    <row r="27" spans="1:8" x14ac:dyDescent="0.2">
      <c r="A27" s="764" t="s">
        <v>596</v>
      </c>
    </row>
    <row r="28" spans="1:8" x14ac:dyDescent="0.2">
      <c r="A28" s="764"/>
      <c r="B28" s="764"/>
    </row>
    <row r="29" spans="1:8" x14ac:dyDescent="0.2">
      <c r="B29" s="769" t="s">
        <v>597</v>
      </c>
      <c r="C29" s="769"/>
      <c r="D29" s="769"/>
      <c r="E29" s="769"/>
      <c r="F29" s="769"/>
      <c r="G29" s="769"/>
      <c r="H29" s="769"/>
    </row>
  </sheetData>
  <mergeCells count="8">
    <mergeCell ref="A13:F13"/>
    <mergeCell ref="B29:H29"/>
    <mergeCell ref="A1:H1"/>
    <mergeCell ref="A2:H2"/>
    <mergeCell ref="A3:H3"/>
    <mergeCell ref="A4:H4"/>
    <mergeCell ref="A5:H5"/>
    <mergeCell ref="A8:A12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E144"/>
  <sheetViews>
    <sheetView topLeftCell="A54" zoomScale="80" zoomScaleNormal="80" workbookViewId="0">
      <selection activeCell="H87" sqref="H87"/>
    </sheetView>
  </sheetViews>
  <sheetFormatPr defaultRowHeight="14.25" x14ac:dyDescent="0.2"/>
  <cols>
    <col min="1" max="1" width="55.5" style="104" customWidth="1"/>
    <col min="2" max="2" width="17" style="104" customWidth="1"/>
    <col min="3" max="3" width="15.25" style="104" customWidth="1"/>
    <col min="4" max="4" width="16.25" style="104" customWidth="1"/>
    <col min="5" max="1019" width="9" style="104"/>
  </cols>
  <sheetData>
    <row r="1" spans="1:4" ht="15.75" x14ac:dyDescent="0.2">
      <c r="A1" s="940" t="s">
        <v>412</v>
      </c>
      <c r="B1" s="941"/>
      <c r="C1" s="941"/>
      <c r="D1" s="942"/>
    </row>
    <row r="2" spans="1:4" ht="15.75" x14ac:dyDescent="0.2">
      <c r="A2" s="943" t="s">
        <v>413</v>
      </c>
      <c r="B2" s="924"/>
      <c r="C2" s="924"/>
      <c r="D2" s="944"/>
    </row>
    <row r="3" spans="1:4" ht="15.75" customHeight="1" x14ac:dyDescent="0.2">
      <c r="A3" s="943" t="s">
        <v>414</v>
      </c>
      <c r="B3" s="924"/>
      <c r="C3" s="924"/>
      <c r="D3" s="944"/>
    </row>
    <row r="4" spans="1:4" ht="15.75" x14ac:dyDescent="0.2">
      <c r="A4" s="541"/>
      <c r="B4" s="106"/>
      <c r="C4" s="107" t="s">
        <v>415</v>
      </c>
      <c r="D4" s="542" t="s">
        <v>416</v>
      </c>
    </row>
    <row r="5" spans="1:4" x14ac:dyDescent="0.2">
      <c r="A5" s="543"/>
      <c r="B5" s="109" t="s">
        <v>419</v>
      </c>
      <c r="C5" s="110">
        <f>MC!D11</f>
        <v>0</v>
      </c>
      <c r="D5" s="544">
        <f>MC!E11</f>
        <v>0</v>
      </c>
    </row>
    <row r="6" spans="1:4" x14ac:dyDescent="0.2">
      <c r="A6" s="543"/>
      <c r="B6" s="109" t="s">
        <v>420</v>
      </c>
      <c r="C6" s="111">
        <f>MC!D8</f>
        <v>0</v>
      </c>
      <c r="D6" s="545">
        <f>MC!D8</f>
        <v>0</v>
      </c>
    </row>
    <row r="7" spans="1:4" x14ac:dyDescent="0.2">
      <c r="A7" s="543"/>
      <c r="B7" s="109" t="s">
        <v>421</v>
      </c>
      <c r="C7" s="111">
        <f>MC!C8</f>
        <v>0</v>
      </c>
      <c r="D7" s="545">
        <f>MC!C8</f>
        <v>0</v>
      </c>
    </row>
    <row r="8" spans="1:4" x14ac:dyDescent="0.2">
      <c r="A8" s="543"/>
      <c r="B8" s="109" t="s">
        <v>422</v>
      </c>
      <c r="C8" s="112">
        <f>MC!E8</f>
        <v>0</v>
      </c>
      <c r="D8" s="546">
        <f>MC!E8</f>
        <v>0</v>
      </c>
    </row>
    <row r="9" spans="1:4" x14ac:dyDescent="0.2">
      <c r="A9" s="945"/>
      <c r="B9" s="925"/>
      <c r="C9" s="925"/>
      <c r="D9" s="946"/>
    </row>
    <row r="10" spans="1:4" ht="66.75" customHeight="1" x14ac:dyDescent="0.2">
      <c r="A10" s="547" t="s">
        <v>423</v>
      </c>
      <c r="B10" s="315" t="s">
        <v>424</v>
      </c>
      <c r="C10" s="315" t="s">
        <v>556</v>
      </c>
      <c r="D10" s="548" t="s">
        <v>557</v>
      </c>
    </row>
    <row r="11" spans="1:4" ht="14.25" customHeight="1" x14ac:dyDescent="0.2">
      <c r="A11" s="549" t="s">
        <v>428</v>
      </c>
      <c r="B11" s="498"/>
      <c r="C11" s="498"/>
      <c r="D11" s="550"/>
    </row>
    <row r="12" spans="1:4" ht="14.25" customHeight="1" x14ac:dyDescent="0.2">
      <c r="A12" s="551" t="s">
        <v>429</v>
      </c>
      <c r="B12" s="114" t="s">
        <v>430</v>
      </c>
      <c r="C12" s="114" t="s">
        <v>431</v>
      </c>
      <c r="D12" s="552" t="s">
        <v>431</v>
      </c>
    </row>
    <row r="13" spans="1:4" ht="14.25" customHeight="1" x14ac:dyDescent="0.2">
      <c r="A13" s="553" t="s">
        <v>432</v>
      </c>
      <c r="B13" s="117"/>
      <c r="C13" s="118">
        <f>C5</f>
        <v>0</v>
      </c>
      <c r="D13" s="554">
        <f>D5</f>
        <v>0</v>
      </c>
    </row>
    <row r="14" spans="1:4" ht="14.25" customHeight="1" x14ac:dyDescent="0.2">
      <c r="A14" s="553" t="s">
        <v>433</v>
      </c>
      <c r="B14" s="120">
        <v>0</v>
      </c>
      <c r="C14" s="118">
        <f>C13*$B$14</f>
        <v>0</v>
      </c>
      <c r="D14" s="554">
        <f>D13*$B$14</f>
        <v>0</v>
      </c>
    </row>
    <row r="15" spans="1:4" ht="14.25" customHeight="1" x14ac:dyDescent="0.2">
      <c r="A15" s="553" t="s">
        <v>434</v>
      </c>
      <c r="B15" s="121"/>
      <c r="C15" s="118"/>
      <c r="D15" s="554"/>
    </row>
    <row r="16" spans="1:4" ht="14.25" customHeight="1" x14ac:dyDescent="0.2">
      <c r="A16" s="553" t="s">
        <v>435</v>
      </c>
      <c r="B16" s="121"/>
      <c r="C16" s="118"/>
      <c r="D16" s="554"/>
    </row>
    <row r="17" spans="1:4" ht="14.25" customHeight="1" x14ac:dyDescent="0.2">
      <c r="A17" s="553" t="s">
        <v>436</v>
      </c>
      <c r="B17" s="121"/>
      <c r="C17" s="118"/>
      <c r="D17" s="554"/>
    </row>
    <row r="18" spans="1:4" ht="14.25" customHeight="1" x14ac:dyDescent="0.2">
      <c r="A18" s="553" t="s">
        <v>437</v>
      </c>
      <c r="B18" s="122"/>
      <c r="C18" s="118"/>
      <c r="D18" s="554"/>
    </row>
    <row r="19" spans="1:4" ht="14.25" customHeight="1" x14ac:dyDescent="0.2">
      <c r="A19" s="555" t="s">
        <v>438</v>
      </c>
      <c r="B19" s="124"/>
      <c r="C19" s="133">
        <f>SUM(C13:C18)</f>
        <v>0</v>
      </c>
      <c r="D19" s="556">
        <f>SUM(D13:D18)</f>
        <v>0</v>
      </c>
    </row>
    <row r="20" spans="1:4" ht="14.25" customHeight="1" x14ac:dyDescent="0.2">
      <c r="A20" s="929"/>
      <c r="B20" s="917"/>
      <c r="C20" s="126"/>
      <c r="D20" s="558"/>
    </row>
    <row r="21" spans="1:4" ht="14.25" customHeight="1" x14ac:dyDescent="0.2">
      <c r="A21" s="930" t="s">
        <v>439</v>
      </c>
      <c r="B21" s="922"/>
      <c r="C21" s="922"/>
      <c r="D21" s="931"/>
    </row>
    <row r="22" spans="1:4" ht="14.25" customHeight="1" x14ac:dyDescent="0.2">
      <c r="A22" s="559" t="s">
        <v>440</v>
      </c>
      <c r="B22" s="129" t="s">
        <v>430</v>
      </c>
      <c r="C22" s="129" t="s">
        <v>431</v>
      </c>
      <c r="D22" s="560" t="s">
        <v>431</v>
      </c>
    </row>
    <row r="23" spans="1:4" ht="14.25" customHeight="1" x14ac:dyDescent="0.2">
      <c r="A23" s="561" t="s">
        <v>441</v>
      </c>
      <c r="B23" s="120">
        <f>1/12</f>
        <v>8.3333333333333329E-2</v>
      </c>
      <c r="C23" s="118">
        <f>ROUND($B23*C$19,2)</f>
        <v>0</v>
      </c>
      <c r="D23" s="554">
        <f>ROUND($B23*D$19,2)</f>
        <v>0</v>
      </c>
    </row>
    <row r="24" spans="1:4" ht="14.25" customHeight="1" x14ac:dyDescent="0.2">
      <c r="A24" s="561" t="s">
        <v>442</v>
      </c>
      <c r="B24" s="120">
        <f>1/3*1/12</f>
        <v>2.7777777777777776E-2</v>
      </c>
      <c r="C24" s="118">
        <f>C$19*$B$24</f>
        <v>0</v>
      </c>
      <c r="D24" s="554">
        <f>D$19*$B$24</f>
        <v>0</v>
      </c>
    </row>
    <row r="25" spans="1:4" ht="14.25" customHeight="1" x14ac:dyDescent="0.2">
      <c r="A25" s="555" t="s">
        <v>438</v>
      </c>
      <c r="B25" s="132">
        <f>SUM(B23:B24)</f>
        <v>0.1111111111111111</v>
      </c>
      <c r="C25" s="133">
        <f>SUM(C23:C24)</f>
        <v>0</v>
      </c>
      <c r="D25" s="556">
        <f>SUM(D23:D24)</f>
        <v>0</v>
      </c>
    </row>
    <row r="26" spans="1:4" ht="14.25" customHeight="1" x14ac:dyDescent="0.2">
      <c r="A26" s="559" t="s">
        <v>443</v>
      </c>
      <c r="B26" s="129" t="s">
        <v>430</v>
      </c>
      <c r="C26" s="129" t="s">
        <v>431</v>
      </c>
      <c r="D26" s="560" t="s">
        <v>431</v>
      </c>
    </row>
    <row r="27" spans="1:4" ht="14.25" customHeight="1" x14ac:dyDescent="0.2">
      <c r="A27" s="559" t="s">
        <v>444</v>
      </c>
      <c r="B27" s="135"/>
      <c r="C27" s="135"/>
      <c r="D27" s="562"/>
    </row>
    <row r="28" spans="1:4" ht="14.25" customHeight="1" x14ac:dyDescent="0.2">
      <c r="A28" s="561" t="s">
        <v>445</v>
      </c>
      <c r="B28" s="120">
        <v>0.2</v>
      </c>
      <c r="C28" s="137">
        <f t="shared" ref="C28:C35" si="0">ROUND(($C$19+$C$25)*B28,2)</f>
        <v>0</v>
      </c>
      <c r="D28" s="563">
        <f t="shared" ref="D28:D35" si="1">ROUND(($D$19+$D$25)*B28,2)</f>
        <v>0</v>
      </c>
    </row>
    <row r="29" spans="1:4" ht="14.25" customHeight="1" x14ac:dyDescent="0.2">
      <c r="A29" s="561" t="s">
        <v>446</v>
      </c>
      <c r="B29" s="120">
        <v>2.5000000000000001E-2</v>
      </c>
      <c r="C29" s="137">
        <f t="shared" si="0"/>
        <v>0</v>
      </c>
      <c r="D29" s="563">
        <f t="shared" si="1"/>
        <v>0</v>
      </c>
    </row>
    <row r="30" spans="1:4" ht="14.25" customHeight="1" x14ac:dyDescent="0.2">
      <c r="A30" s="561" t="s">
        <v>447</v>
      </c>
      <c r="B30" s="120">
        <v>0.03</v>
      </c>
      <c r="C30" s="137">
        <f t="shared" si="0"/>
        <v>0</v>
      </c>
      <c r="D30" s="563">
        <f t="shared" si="1"/>
        <v>0</v>
      </c>
    </row>
    <row r="31" spans="1:4" ht="14.25" customHeight="1" x14ac:dyDescent="0.2">
      <c r="A31" s="561" t="s">
        <v>448</v>
      </c>
      <c r="B31" s="120">
        <v>1.4999999999999999E-2</v>
      </c>
      <c r="C31" s="137">
        <f t="shared" si="0"/>
        <v>0</v>
      </c>
      <c r="D31" s="563">
        <f t="shared" si="1"/>
        <v>0</v>
      </c>
    </row>
    <row r="32" spans="1:4" ht="14.25" customHeight="1" x14ac:dyDescent="0.2">
      <c r="A32" s="561" t="s">
        <v>449</v>
      </c>
      <c r="B32" s="120">
        <v>0.01</v>
      </c>
      <c r="C32" s="137">
        <f t="shared" si="0"/>
        <v>0</v>
      </c>
      <c r="D32" s="563">
        <f t="shared" si="1"/>
        <v>0</v>
      </c>
    </row>
    <row r="33" spans="1:4" ht="14.25" customHeight="1" x14ac:dyDescent="0.2">
      <c r="A33" s="561" t="s">
        <v>450</v>
      </c>
      <c r="B33" s="120">
        <v>6.0000000000000001E-3</v>
      </c>
      <c r="C33" s="137">
        <f t="shared" si="0"/>
        <v>0</v>
      </c>
      <c r="D33" s="563">
        <f t="shared" si="1"/>
        <v>0</v>
      </c>
    </row>
    <row r="34" spans="1:4" ht="14.25" customHeight="1" x14ac:dyDescent="0.2">
      <c r="A34" s="561" t="s">
        <v>451</v>
      </c>
      <c r="B34" s="120">
        <v>2E-3</v>
      </c>
      <c r="C34" s="137">
        <f t="shared" si="0"/>
        <v>0</v>
      </c>
      <c r="D34" s="563">
        <f t="shared" si="1"/>
        <v>0</v>
      </c>
    </row>
    <row r="35" spans="1:4" ht="14.25" customHeight="1" x14ac:dyDescent="0.2">
      <c r="A35" s="561" t="s">
        <v>452</v>
      </c>
      <c r="B35" s="120">
        <v>0.08</v>
      </c>
      <c r="C35" s="137">
        <f t="shared" si="0"/>
        <v>0</v>
      </c>
      <c r="D35" s="563">
        <f t="shared" si="1"/>
        <v>0</v>
      </c>
    </row>
    <row r="36" spans="1:4" ht="14.25" customHeight="1" x14ac:dyDescent="0.2">
      <c r="A36" s="555" t="s">
        <v>438</v>
      </c>
      <c r="B36" s="132">
        <f>SUM(B28:B35)</f>
        <v>0.36800000000000005</v>
      </c>
      <c r="C36" s="133">
        <f>SUM(C27:C35)</f>
        <v>0</v>
      </c>
      <c r="D36" s="556">
        <f>SUM(D27:D35)</f>
        <v>0</v>
      </c>
    </row>
    <row r="37" spans="1:4" ht="14.25" customHeight="1" x14ac:dyDescent="0.2">
      <c r="A37" s="559" t="s">
        <v>453</v>
      </c>
      <c r="B37" s="129" t="s">
        <v>454</v>
      </c>
      <c r="C37" s="129" t="s">
        <v>431</v>
      </c>
      <c r="D37" s="560" t="s">
        <v>431</v>
      </c>
    </row>
    <row r="38" spans="1:4" ht="14.25" customHeight="1" x14ac:dyDescent="0.2">
      <c r="A38" s="561" t="s">
        <v>455</v>
      </c>
      <c r="B38" s="139">
        <f>MC!J87</f>
        <v>0</v>
      </c>
      <c r="C38" s="118">
        <f>ROUND(((2*22*$B$38)-0.06*C$13),2)</f>
        <v>0</v>
      </c>
      <c r="D38" s="554">
        <f>ROUND(((2*22*$B$38)-0.06*D$13),2)</f>
        <v>0</v>
      </c>
    </row>
    <row r="39" spans="1:4" ht="14.25" customHeight="1" x14ac:dyDescent="0.2">
      <c r="A39" s="561" t="s">
        <v>456</v>
      </c>
      <c r="B39" s="140"/>
      <c r="C39" s="137">
        <f>MC!E16</f>
        <v>0</v>
      </c>
      <c r="D39" s="563">
        <f>MC!E17</f>
        <v>0</v>
      </c>
    </row>
    <row r="40" spans="1:4" ht="14.25" customHeight="1" x14ac:dyDescent="0.2">
      <c r="A40" s="561" t="s">
        <v>457</v>
      </c>
      <c r="B40" s="120">
        <f>MC!C21</f>
        <v>0</v>
      </c>
      <c r="C40" s="137"/>
      <c r="D40" s="563"/>
    </row>
    <row r="41" spans="1:4" ht="14.25" customHeight="1" x14ac:dyDescent="0.2">
      <c r="A41" s="561" t="s">
        <v>458</v>
      </c>
      <c r="B41" s="141">
        <f>MC!E23</f>
        <v>0</v>
      </c>
      <c r="C41" s="137">
        <f>B41</f>
        <v>0</v>
      </c>
      <c r="D41" s="563">
        <f>B41</f>
        <v>0</v>
      </c>
    </row>
    <row r="42" spans="1:4" ht="14.25" customHeight="1" x14ac:dyDescent="0.2">
      <c r="A42" s="561" t="s">
        <v>459</v>
      </c>
      <c r="B42" s="141">
        <f>MC!E24</f>
        <v>0</v>
      </c>
      <c r="C42" s="137">
        <f>B42</f>
        <v>0</v>
      </c>
      <c r="D42" s="563">
        <f>B42</f>
        <v>0</v>
      </c>
    </row>
    <row r="43" spans="1:4" ht="14.25" customHeight="1" x14ac:dyDescent="0.2">
      <c r="A43" s="561" t="s">
        <v>460</v>
      </c>
      <c r="B43" s="120"/>
      <c r="C43" s="137"/>
      <c r="D43" s="563"/>
    </row>
    <row r="44" spans="1:4" ht="14.25" customHeight="1" x14ac:dyDescent="0.2">
      <c r="A44" s="555" t="s">
        <v>438</v>
      </c>
      <c r="B44" s="124"/>
      <c r="C44" s="133">
        <f>SUM(C38:C43)</f>
        <v>0</v>
      </c>
      <c r="D44" s="556">
        <f>SUM(D38:D43)</f>
        <v>0</v>
      </c>
    </row>
    <row r="45" spans="1:4" ht="14.25" customHeight="1" x14ac:dyDescent="0.2">
      <c r="A45" s="551" t="s">
        <v>461</v>
      </c>
      <c r="B45" s="114" t="s">
        <v>430</v>
      </c>
      <c r="C45" s="114" t="s">
        <v>431</v>
      </c>
      <c r="D45" s="552" t="s">
        <v>431</v>
      </c>
    </row>
    <row r="46" spans="1:4" ht="14.25" customHeight="1" x14ac:dyDescent="0.2">
      <c r="A46" s="561" t="s">
        <v>440</v>
      </c>
      <c r="B46" s="142">
        <f>B25</f>
        <v>0.1111111111111111</v>
      </c>
      <c r="C46" s="143">
        <f>C25</f>
        <v>0</v>
      </c>
      <c r="D46" s="564">
        <f>D25</f>
        <v>0</v>
      </c>
    </row>
    <row r="47" spans="1:4" ht="14.25" customHeight="1" x14ac:dyDescent="0.2">
      <c r="A47" s="561" t="s">
        <v>462</v>
      </c>
      <c r="B47" s="142">
        <f>B36</f>
        <v>0.36800000000000005</v>
      </c>
      <c r="C47" s="143">
        <f>C36</f>
        <v>0</v>
      </c>
      <c r="D47" s="564">
        <f>D36</f>
        <v>0</v>
      </c>
    </row>
    <row r="48" spans="1:4" ht="14.25" customHeight="1" x14ac:dyDescent="0.2">
      <c r="A48" s="561" t="s">
        <v>453</v>
      </c>
      <c r="B48" s="142"/>
      <c r="C48" s="143">
        <f>C44</f>
        <v>0</v>
      </c>
      <c r="D48" s="564">
        <f>D44</f>
        <v>0</v>
      </c>
    </row>
    <row r="49" spans="1:4" ht="14.25" customHeight="1" x14ac:dyDescent="0.2">
      <c r="A49" s="555" t="s">
        <v>438</v>
      </c>
      <c r="B49" s="124"/>
      <c r="C49" s="133">
        <f>SUM(C46:C48)</f>
        <v>0</v>
      </c>
      <c r="D49" s="556">
        <f>SUM(D46:D48)</f>
        <v>0</v>
      </c>
    </row>
    <row r="50" spans="1:4" ht="14.25" customHeight="1" x14ac:dyDescent="0.2">
      <c r="A50" s="929"/>
      <c r="B50" s="917"/>
      <c r="C50" s="126"/>
      <c r="D50" s="558"/>
    </row>
    <row r="51" spans="1:4" s="145" customFormat="1" ht="14.25" customHeight="1" x14ac:dyDescent="0.2">
      <c r="A51" s="930" t="s">
        <v>463</v>
      </c>
      <c r="B51" s="922"/>
      <c r="C51" s="922"/>
      <c r="D51" s="931"/>
    </row>
    <row r="52" spans="1:4" ht="14.25" customHeight="1" x14ac:dyDescent="0.2">
      <c r="A52" s="551" t="s">
        <v>464</v>
      </c>
      <c r="B52" s="114" t="s">
        <v>430</v>
      </c>
      <c r="C52" s="114" t="s">
        <v>431</v>
      </c>
      <c r="D52" s="552" t="s">
        <v>431</v>
      </c>
    </row>
    <row r="53" spans="1:4" ht="14.25" customHeight="1" x14ac:dyDescent="0.2">
      <c r="A53" s="559" t="s">
        <v>465</v>
      </c>
      <c r="B53" s="146"/>
      <c r="C53" s="146"/>
      <c r="D53" s="565"/>
    </row>
    <row r="54" spans="1:4" ht="14.25" customHeight="1" x14ac:dyDescent="0.2">
      <c r="A54" s="561" t="s">
        <v>466</v>
      </c>
      <c r="B54" s="142">
        <f>1/12*0.05</f>
        <v>4.1666666666666666E-3</v>
      </c>
      <c r="C54" s="148">
        <f>C19*$B54</f>
        <v>0</v>
      </c>
      <c r="D54" s="566">
        <f t="shared" ref="D54" si="2">D19*$B54</f>
        <v>0</v>
      </c>
    </row>
    <row r="55" spans="1:4" ht="14.25" customHeight="1" x14ac:dyDescent="0.2">
      <c r="A55" s="561" t="s">
        <v>467</v>
      </c>
      <c r="B55" s="142">
        <f>B35*B54</f>
        <v>3.3333333333333332E-4</v>
      </c>
      <c r="C55" s="148">
        <f>$B$55*C19</f>
        <v>0</v>
      </c>
      <c r="D55" s="566">
        <f t="shared" ref="D55" si="3">$B$55*D19</f>
        <v>0</v>
      </c>
    </row>
    <row r="56" spans="1:4" ht="14.25" customHeight="1" x14ac:dyDescent="0.2">
      <c r="A56" s="561" t="s">
        <v>468</v>
      </c>
      <c r="B56" s="142">
        <v>0</v>
      </c>
      <c r="C56" s="148">
        <f>C35*$B56</f>
        <v>0</v>
      </c>
      <c r="D56" s="566">
        <f t="shared" ref="D56" si="4">D35*$B56</f>
        <v>0</v>
      </c>
    </row>
    <row r="57" spans="1:4" ht="14.25" customHeight="1" x14ac:dyDescent="0.2">
      <c r="A57" s="561" t="s">
        <v>469</v>
      </c>
      <c r="B57" s="142">
        <f>1/12*1/30*7</f>
        <v>1.9444444444444441E-2</v>
      </c>
      <c r="C57" s="143">
        <f>C19*$B57</f>
        <v>0</v>
      </c>
      <c r="D57" s="564">
        <f t="shared" ref="D57" si="5">D19*$B57</f>
        <v>0</v>
      </c>
    </row>
    <row r="58" spans="1:4" ht="14.25" customHeight="1" x14ac:dyDescent="0.2">
      <c r="A58" s="561" t="s">
        <v>470</v>
      </c>
      <c r="B58" s="142">
        <f>B36*B57</f>
        <v>7.1555555555555556E-3</v>
      </c>
      <c r="C58" s="143">
        <f>$B58*C19</f>
        <v>0</v>
      </c>
      <c r="D58" s="564">
        <f t="shared" ref="D58" si="6">$B58*D19</f>
        <v>0</v>
      </c>
    </row>
    <row r="59" spans="1:4" ht="14.25" customHeight="1" x14ac:dyDescent="0.2">
      <c r="A59" s="561" t="s">
        <v>471</v>
      </c>
      <c r="B59" s="142">
        <f>B35*40/100*90/100*(1+1/12+1/12+1/3*1/12)</f>
        <v>3.4399999999999993E-2</v>
      </c>
      <c r="C59" s="143">
        <f>C19*$B59</f>
        <v>0</v>
      </c>
      <c r="D59" s="564">
        <f t="shared" ref="D59" si="7">D19*$B59</f>
        <v>0</v>
      </c>
    </row>
    <row r="60" spans="1:4" ht="14.25" customHeight="1" x14ac:dyDescent="0.2">
      <c r="A60" s="555" t="s">
        <v>438</v>
      </c>
      <c r="B60" s="132">
        <f>SUM(B54:B59)</f>
        <v>6.5499999999999989E-2</v>
      </c>
      <c r="C60" s="149">
        <f>SUM(C54:C59)</f>
        <v>0</v>
      </c>
      <c r="D60" s="567">
        <f>SUM(D54:D59)</f>
        <v>0</v>
      </c>
    </row>
    <row r="61" spans="1:4" ht="14.25" customHeight="1" x14ac:dyDescent="0.2">
      <c r="A61" s="929"/>
      <c r="B61" s="917"/>
      <c r="C61" s="499"/>
      <c r="D61" s="568"/>
    </row>
    <row r="62" spans="1:4" ht="14.25" customHeight="1" x14ac:dyDescent="0.2">
      <c r="A62" s="930" t="s">
        <v>472</v>
      </c>
      <c r="B62" s="922"/>
      <c r="C62" s="922"/>
      <c r="D62" s="931"/>
    </row>
    <row r="63" spans="1:4" ht="14.25" customHeight="1" x14ac:dyDescent="0.2">
      <c r="A63" s="559" t="s">
        <v>39</v>
      </c>
      <c r="B63" s="129"/>
      <c r="C63" s="129"/>
      <c r="D63" s="560"/>
    </row>
    <row r="64" spans="1:4" ht="14.25" customHeight="1" x14ac:dyDescent="0.2">
      <c r="A64" s="561" t="s">
        <v>40</v>
      </c>
      <c r="B64" s="120">
        <f>1/12</f>
        <v>8.3333333333333329E-2</v>
      </c>
      <c r="C64" s="137">
        <f>B64*($C$19+$C$49+$C$60)</f>
        <v>0</v>
      </c>
      <c r="D64" s="563">
        <f>B64*($D$19+$D$49+$D$60)</f>
        <v>0</v>
      </c>
    </row>
    <row r="65" spans="1:4" ht="14.25" customHeight="1" x14ac:dyDescent="0.2">
      <c r="A65" s="561" t="s">
        <v>473</v>
      </c>
      <c r="B65" s="120">
        <f>MC!E51/30/12</f>
        <v>1.3538888888888885E-2</v>
      </c>
      <c r="C65" s="137">
        <f>B65*($C$19+$C$49+$C$60)</f>
        <v>0</v>
      </c>
      <c r="D65" s="563">
        <f>B65*($D$19+$D$49+$D$60)</f>
        <v>0</v>
      </c>
    </row>
    <row r="66" spans="1:4" ht="14.25" customHeight="1" x14ac:dyDescent="0.2">
      <c r="A66" s="561" t="s">
        <v>474</v>
      </c>
      <c r="B66" s="151">
        <f>(5/30)/12*MC!F53*MC!C54</f>
        <v>1.0764583333333333E-4</v>
      </c>
      <c r="C66" s="137">
        <f>B66*($C$19+$C$49+$C$60)</f>
        <v>0</v>
      </c>
      <c r="D66" s="563">
        <f>B66*($D$19+$D$49+$D$60)</f>
        <v>0</v>
      </c>
    </row>
    <row r="67" spans="1:4" ht="14.25" customHeight="1" x14ac:dyDescent="0.2">
      <c r="A67" s="561" t="s">
        <v>475</v>
      </c>
      <c r="B67" s="151">
        <f>MC!C56/30/12</f>
        <v>2.6830555555555553E-3</v>
      </c>
      <c r="C67" s="137">
        <f>B67*($C$19+$C$49+$C$60)</f>
        <v>0</v>
      </c>
      <c r="D67" s="563">
        <f>B67*($D$19+$D$49+$D$60)</f>
        <v>0</v>
      </c>
    </row>
    <row r="68" spans="1:4" ht="14.25" customHeight="1" x14ac:dyDescent="0.2">
      <c r="A68" s="561" t="s">
        <v>476</v>
      </c>
      <c r="B68" s="120"/>
      <c r="C68" s="137"/>
      <c r="D68" s="563"/>
    </row>
    <row r="69" spans="1:4" ht="14.25" customHeight="1" x14ac:dyDescent="0.2">
      <c r="A69" s="569" t="s">
        <v>477</v>
      </c>
      <c r="B69" s="153">
        <f>SUM(B64:B68)</f>
        <v>9.9662923611111107E-2</v>
      </c>
      <c r="C69" s="154">
        <f>SUM(C64:C68)</f>
        <v>0</v>
      </c>
      <c r="D69" s="570">
        <f>SUM(D64:D68)</f>
        <v>0</v>
      </c>
    </row>
    <row r="70" spans="1:4" ht="14.25" customHeight="1" x14ac:dyDescent="0.2">
      <c r="A70" s="559" t="s">
        <v>478</v>
      </c>
      <c r="B70" s="129"/>
      <c r="C70" s="129"/>
      <c r="D70" s="560"/>
    </row>
    <row r="71" spans="1:4" ht="14.25" customHeight="1" x14ac:dyDescent="0.2">
      <c r="A71" s="561" t="s">
        <v>479</v>
      </c>
      <c r="B71" s="120"/>
      <c r="C71" s="137"/>
      <c r="D71" s="563"/>
    </row>
    <row r="72" spans="1:4" ht="14.25" customHeight="1" x14ac:dyDescent="0.2">
      <c r="A72" s="569" t="s">
        <v>477</v>
      </c>
      <c r="B72" s="153"/>
      <c r="C72" s="154">
        <f>C71</f>
        <v>0</v>
      </c>
      <c r="D72" s="570"/>
    </row>
    <row r="73" spans="1:4" ht="14.25" customHeight="1" x14ac:dyDescent="0.2">
      <c r="A73" s="559" t="s">
        <v>61</v>
      </c>
      <c r="B73" s="129"/>
      <c r="C73" s="129"/>
      <c r="D73" s="560"/>
    </row>
    <row r="74" spans="1:4" ht="14.25" customHeight="1" x14ac:dyDescent="0.2">
      <c r="A74" s="561" t="s">
        <v>62</v>
      </c>
      <c r="B74" s="120">
        <f>120/30*MC!C59*MC!C60</f>
        <v>6.18624E-3</v>
      </c>
      <c r="C74" s="137">
        <f>(((C19*2)+ (C19*1/3))+(C36)+(C44-C38-C39))*$B$74</f>
        <v>0</v>
      </c>
      <c r="D74" s="563">
        <f>(((D19*2)+ (D19*1/3))+(D36)+(D44-D38-D39))*$B$74</f>
        <v>0</v>
      </c>
    </row>
    <row r="75" spans="1:4" ht="14.25" customHeight="1" x14ac:dyDescent="0.2">
      <c r="A75" s="569" t="s">
        <v>438</v>
      </c>
      <c r="B75" s="153"/>
      <c r="C75" s="154"/>
      <c r="D75" s="570"/>
    </row>
    <row r="76" spans="1:4" ht="14.25" customHeight="1" x14ac:dyDescent="0.2">
      <c r="A76" s="551" t="s">
        <v>480</v>
      </c>
      <c r="B76" s="114"/>
      <c r="C76" s="114"/>
      <c r="D76" s="552"/>
    </row>
    <row r="77" spans="1:4" ht="14.25" customHeight="1" x14ac:dyDescent="0.2">
      <c r="A77" s="561" t="s">
        <v>39</v>
      </c>
      <c r="B77" s="142">
        <f>B69</f>
        <v>9.9662923611111107E-2</v>
      </c>
      <c r="C77" s="143">
        <f>C69</f>
        <v>0</v>
      </c>
      <c r="D77" s="564">
        <f>D69</f>
        <v>0</v>
      </c>
    </row>
    <row r="78" spans="1:4" ht="14.25" customHeight="1" x14ac:dyDescent="0.2">
      <c r="A78" s="561" t="s">
        <v>478</v>
      </c>
      <c r="B78" s="142">
        <f>B72</f>
        <v>0</v>
      </c>
      <c r="C78" s="143">
        <f>C72</f>
        <v>0</v>
      </c>
      <c r="D78" s="564">
        <f>D72</f>
        <v>0</v>
      </c>
    </row>
    <row r="79" spans="1:4" ht="14.25" customHeight="1" x14ac:dyDescent="0.2">
      <c r="A79" s="561" t="s">
        <v>61</v>
      </c>
      <c r="B79" s="142">
        <f>B74</f>
        <v>6.18624E-3</v>
      </c>
      <c r="C79" s="143">
        <f>C74</f>
        <v>0</v>
      </c>
      <c r="D79" s="564">
        <f>D74</f>
        <v>0</v>
      </c>
    </row>
    <row r="80" spans="1:4" ht="14.25" customHeight="1" x14ac:dyDescent="0.2">
      <c r="A80" s="555" t="s">
        <v>438</v>
      </c>
      <c r="B80" s="124"/>
      <c r="C80" s="133">
        <f>SUM(C77:C79)</f>
        <v>0</v>
      </c>
      <c r="D80" s="556">
        <f>SUM(D77:D79)</f>
        <v>0</v>
      </c>
    </row>
    <row r="81" spans="1:4" ht="14.25" customHeight="1" x14ac:dyDescent="0.2">
      <c r="A81" s="557"/>
      <c r="B81" s="126"/>
      <c r="C81" s="126"/>
      <c r="D81" s="558"/>
    </row>
    <row r="82" spans="1:4" ht="14.25" customHeight="1" x14ac:dyDescent="0.2">
      <c r="A82" s="571" t="s">
        <v>481</v>
      </c>
      <c r="B82" s="327"/>
      <c r="C82" s="327"/>
      <c r="D82" s="572"/>
    </row>
    <row r="83" spans="1:4" ht="14.25" customHeight="1" x14ac:dyDescent="0.2">
      <c r="A83" s="551" t="s">
        <v>482</v>
      </c>
      <c r="B83" s="114" t="s">
        <v>454</v>
      </c>
      <c r="C83" s="114" t="s">
        <v>431</v>
      </c>
      <c r="D83" s="552" t="s">
        <v>431</v>
      </c>
    </row>
    <row r="84" spans="1:4" ht="14.25" customHeight="1" x14ac:dyDescent="0.2">
      <c r="A84" s="561" t="s">
        <v>483</v>
      </c>
      <c r="B84" s="604">
        <f>Insumos!G117</f>
        <v>0</v>
      </c>
      <c r="C84" s="118">
        <f>B84</f>
        <v>0</v>
      </c>
      <c r="D84" s="554">
        <f>B84</f>
        <v>0</v>
      </c>
    </row>
    <row r="85" spans="1:4" ht="14.25" customHeight="1" x14ac:dyDescent="0.2">
      <c r="A85" s="573" t="s">
        <v>484</v>
      </c>
      <c r="B85" s="604">
        <f>Insumos!G69</f>
        <v>0</v>
      </c>
      <c r="C85" s="118">
        <f>B85</f>
        <v>0</v>
      </c>
      <c r="D85" s="554">
        <f>B85</f>
        <v>0</v>
      </c>
    </row>
    <row r="86" spans="1:4" ht="14.25" customHeight="1" x14ac:dyDescent="0.2">
      <c r="A86" s="573" t="s">
        <v>485</v>
      </c>
      <c r="B86" s="605">
        <v>0</v>
      </c>
      <c r="C86" s="118"/>
      <c r="D86" s="554"/>
    </row>
    <row r="87" spans="1:4" ht="14.25" customHeight="1" x14ac:dyDescent="0.2">
      <c r="A87" s="573" t="s">
        <v>486</v>
      </c>
      <c r="B87" s="606"/>
      <c r="C87" s="118">
        <f>Insumos!I122</f>
        <v>0</v>
      </c>
      <c r="D87" s="554">
        <f>Insumos!H122</f>
        <v>0</v>
      </c>
    </row>
    <row r="88" spans="1:4" ht="14.25" customHeight="1" x14ac:dyDescent="0.2">
      <c r="A88" s="573" t="s">
        <v>487</v>
      </c>
      <c r="B88" s="607">
        <v>0</v>
      </c>
      <c r="C88" s="118"/>
      <c r="D88" s="554"/>
    </row>
    <row r="89" spans="1:4" ht="14.25" customHeight="1" x14ac:dyDescent="0.2">
      <c r="A89" s="573" t="s">
        <v>558</v>
      </c>
      <c r="B89" s="604">
        <v>0</v>
      </c>
      <c r="C89" s="118"/>
      <c r="D89" s="554"/>
    </row>
    <row r="90" spans="1:4" ht="14.25" customHeight="1" x14ac:dyDescent="0.2">
      <c r="A90" s="573" t="s">
        <v>489</v>
      </c>
      <c r="B90" s="604">
        <v>0</v>
      </c>
      <c r="C90" s="118"/>
      <c r="D90" s="554"/>
    </row>
    <row r="91" spans="1:4" ht="14.25" customHeight="1" x14ac:dyDescent="0.2">
      <c r="A91" s="569" t="s">
        <v>438</v>
      </c>
      <c r="B91" s="159"/>
      <c r="C91" s="154">
        <f>SUM(C84:C90)</f>
        <v>0</v>
      </c>
      <c r="D91" s="570">
        <f t="shared" ref="D91" si="8">SUM(D84:D90)</f>
        <v>0</v>
      </c>
    </row>
    <row r="92" spans="1:4" ht="14.25" customHeight="1" x14ac:dyDescent="0.2">
      <c r="A92" s="929"/>
      <c r="B92" s="917"/>
      <c r="C92" s="160"/>
      <c r="D92" s="574"/>
    </row>
    <row r="93" spans="1:4" ht="14.25" customHeight="1" x14ac:dyDescent="0.2">
      <c r="A93" s="571" t="s">
        <v>490</v>
      </c>
      <c r="B93" s="327"/>
      <c r="C93" s="327"/>
      <c r="D93" s="572"/>
    </row>
    <row r="94" spans="1:4" ht="14.25" customHeight="1" x14ac:dyDescent="0.2">
      <c r="A94" s="551" t="s">
        <v>491</v>
      </c>
      <c r="B94" s="114" t="s">
        <v>430</v>
      </c>
      <c r="C94" s="114" t="s">
        <v>431</v>
      </c>
      <c r="D94" s="552" t="s">
        <v>431</v>
      </c>
    </row>
    <row r="95" spans="1:4" ht="14.25" customHeight="1" x14ac:dyDescent="0.2">
      <c r="A95" s="553" t="s">
        <v>67</v>
      </c>
      <c r="B95" s="120">
        <v>0.03</v>
      </c>
      <c r="C95" s="137">
        <f>($C$19+$C$49+$C$60+$C$80+$C$91)*$B$95</f>
        <v>0</v>
      </c>
      <c r="D95" s="563">
        <f>($D$19+$D$49+$D$60+$D$80+$D$91)*$B$95</f>
        <v>0</v>
      </c>
    </row>
    <row r="96" spans="1:4" ht="14.25" customHeight="1" x14ac:dyDescent="0.2">
      <c r="A96" s="553" t="s">
        <v>68</v>
      </c>
      <c r="B96" s="120">
        <v>6.7900000000000002E-2</v>
      </c>
      <c r="C96" s="137">
        <f>($C$19+$C$49+$C$60+$C$80+$C$91+C95)*B96</f>
        <v>0</v>
      </c>
      <c r="D96" s="563">
        <f>($D$19+$D$49+$D$60+$D$80+$D$91+$D$95)*$B$96</f>
        <v>0</v>
      </c>
    </row>
    <row r="97" spans="1:5" ht="14.25" customHeight="1" x14ac:dyDescent="0.2">
      <c r="A97" s="575" t="s">
        <v>492</v>
      </c>
      <c r="B97" s="331">
        <f>B98+B99</f>
        <v>0.1125</v>
      </c>
      <c r="C97" s="332">
        <f>((C19+C49+C60+C80+C91+C95+C96)/(1-($B$97)))*$B$97</f>
        <v>0</v>
      </c>
      <c r="D97" s="576">
        <f>((D19+D49+D60+D80+D91+D95+D96)/(1-($B$97)))*$B$97</f>
        <v>0</v>
      </c>
    </row>
    <row r="98" spans="1:5" ht="14.25" customHeight="1" x14ac:dyDescent="0.2">
      <c r="A98" s="553" t="s">
        <v>493</v>
      </c>
      <c r="B98" s="120">
        <f>0.0165+0.076</f>
        <v>9.2499999999999999E-2</v>
      </c>
      <c r="C98" s="333">
        <f>((C$19+C$49+C$60+C$80+C$91+C$95+C$96)/(1-($B$97)))*$B$98</f>
        <v>0</v>
      </c>
      <c r="D98" s="577">
        <f t="shared" ref="D98" si="9">((D$19+D$49+D$60+D$80+D$91+D$95+D$96)/(1-($B$97)))*$B$98</f>
        <v>0</v>
      </c>
    </row>
    <row r="99" spans="1:5" ht="14.25" customHeight="1" x14ac:dyDescent="0.2">
      <c r="A99" s="553" t="s">
        <v>494</v>
      </c>
      <c r="B99" s="120">
        <v>0.02</v>
      </c>
      <c r="C99" s="334">
        <f>((C$19+C$49+C$60+C$80+C$91+C$95+C$96)/(1-($B$97)))*$B$99</f>
        <v>0</v>
      </c>
      <c r="D99" s="578">
        <f t="shared" ref="D99" si="10">((D$19+D$49+D$60+D$80+D$91+D$95+D$96)/(1-($B$97)))*$B$99</f>
        <v>0</v>
      </c>
    </row>
    <row r="100" spans="1:5" ht="14.25" customHeight="1" x14ac:dyDescent="0.2">
      <c r="A100" s="575" t="s">
        <v>495</v>
      </c>
      <c r="B100" s="331">
        <f>B101+B102</f>
        <v>0.11749999999999999</v>
      </c>
      <c r="C100" s="332">
        <f>((C19+C49+C60+C80+C91+C95+C96)/(1-($B$100)))*$B$100</f>
        <v>0</v>
      </c>
      <c r="D100" s="576">
        <f t="shared" ref="D100" si="11">((D19+D49+D60+D80+D91+D95+D96)/(1-($B$100)))*$B$100</f>
        <v>0</v>
      </c>
    </row>
    <row r="101" spans="1:5" ht="14.25" customHeight="1" x14ac:dyDescent="0.2">
      <c r="A101" s="553" t="s">
        <v>493</v>
      </c>
      <c r="B101" s="120">
        <f>0.0165+0.076</f>
        <v>9.2499999999999999E-2</v>
      </c>
      <c r="C101" s="333">
        <f>((C19+C49+C60+C80+C91+C95+C96)/(1-($B$100)))*$B$101</f>
        <v>0</v>
      </c>
      <c r="D101" s="577">
        <f t="shared" ref="D101" si="12">((D19+D49+D60+D80+D91+D95+D96)/(1-($B$100)))*$B$101</f>
        <v>0</v>
      </c>
    </row>
    <row r="102" spans="1:5" ht="14.25" customHeight="1" x14ac:dyDescent="0.2">
      <c r="A102" s="553" t="s">
        <v>494</v>
      </c>
      <c r="B102" s="120">
        <v>2.5000000000000001E-2</v>
      </c>
      <c r="C102" s="334">
        <f>((C$19+C$49+C$60+C$80+C$91+C$95+C$96)/(1-($B$100)))*$B$102</f>
        <v>0</v>
      </c>
      <c r="D102" s="578">
        <f t="shared" ref="D102" si="13">((D$19+D$49+D$60+D$80+D$91+D$95+D$96)/(1-($B$100)))*$B$102</f>
        <v>0</v>
      </c>
    </row>
    <row r="103" spans="1:5" ht="14.25" customHeight="1" x14ac:dyDescent="0.2">
      <c r="A103" s="575" t="s">
        <v>496</v>
      </c>
      <c r="B103" s="331">
        <f>B104+B105</f>
        <v>0.1225</v>
      </c>
      <c r="C103" s="332">
        <f>((C19+C49+C60+C80+C91+C95+C96)/(1-($B$103)))*$B$103</f>
        <v>0</v>
      </c>
      <c r="D103" s="576">
        <f t="shared" ref="D103" si="14">((D19+D49+D60+D80+D91+D95+D96)/(1-($B$103)))*$B$103</f>
        <v>0</v>
      </c>
    </row>
    <row r="104" spans="1:5" ht="14.25" customHeight="1" x14ac:dyDescent="0.2">
      <c r="A104" s="553" t="s">
        <v>493</v>
      </c>
      <c r="B104" s="120">
        <f>0.0165+0.076</f>
        <v>9.2499999999999999E-2</v>
      </c>
      <c r="C104" s="333">
        <f>((C19+C49+C60+C80+C91+C95+C96)/(1-($B$103)))*$B$104</f>
        <v>0</v>
      </c>
      <c r="D104" s="577">
        <f t="shared" ref="D104" si="15">((D19+D49+D60+D80+D91+D95+D96)/(1-($B$103)))*$B$104</f>
        <v>0</v>
      </c>
    </row>
    <row r="105" spans="1:5" ht="14.25" customHeight="1" x14ac:dyDescent="0.2">
      <c r="A105" s="553" t="s">
        <v>494</v>
      </c>
      <c r="B105" s="120">
        <v>0.03</v>
      </c>
      <c r="C105" s="334">
        <f>((C19+C49+C60+C80+C91+C95+C96)/(1-($B$103)))*$B$105</f>
        <v>0</v>
      </c>
      <c r="D105" s="578">
        <f t="shared" ref="D105" si="16">((D19+D49+D60+D80+D91+D95+D96)/(1-($B$103)))*$B$105</f>
        <v>0</v>
      </c>
      <c r="E105" s="335"/>
    </row>
    <row r="106" spans="1:5" ht="14.25" customHeight="1" x14ac:dyDescent="0.2">
      <c r="A106" s="575" t="s">
        <v>497</v>
      </c>
      <c r="B106" s="331">
        <f>B107+B108</f>
        <v>0.13250000000000001</v>
      </c>
      <c r="C106" s="332">
        <f>((C19+C49+C60+C80+C91+C95+C96)/(1-($B$106)))*$B$106</f>
        <v>0</v>
      </c>
      <c r="D106" s="576">
        <f t="shared" ref="D106" si="17">((D19+D49+D60+D80+D91+D95+D96)/(1-($B$106)))*$B$106</f>
        <v>0</v>
      </c>
    </row>
    <row r="107" spans="1:5" ht="14.25" customHeight="1" x14ac:dyDescent="0.2">
      <c r="A107" s="553" t="s">
        <v>493</v>
      </c>
      <c r="B107" s="120">
        <f>0.0165+0.076</f>
        <v>9.2499999999999999E-2</v>
      </c>
      <c r="C107" s="333">
        <f>((C19+C49+C60+C80+C91+C95+C96)/(1-($B$106)))*$B$107</f>
        <v>0</v>
      </c>
      <c r="D107" s="577">
        <f t="shared" ref="D107" si="18">((D19+D49+D60+D80+D91+D95+D96)/(1-($B$106)))*$B$107</f>
        <v>0</v>
      </c>
    </row>
    <row r="108" spans="1:5" ht="14.25" customHeight="1" x14ac:dyDescent="0.2">
      <c r="A108" s="553" t="s">
        <v>494</v>
      </c>
      <c r="B108" s="120">
        <v>0.04</v>
      </c>
      <c r="C108" s="334">
        <f>((C19+C49+C60+C80+C91+C95+C96)/(1-($B$106)))*$B$108</f>
        <v>0</v>
      </c>
      <c r="D108" s="578">
        <f t="shared" ref="D108" si="19">((D19+D49+D60+D80+D91+D95+D96)/(1-($B$106)))*$B$108</f>
        <v>0</v>
      </c>
    </row>
    <row r="109" spans="1:5" ht="14.25" customHeight="1" x14ac:dyDescent="0.2">
      <c r="A109" s="575" t="s">
        <v>498</v>
      </c>
      <c r="B109" s="331">
        <f>B110+B111</f>
        <v>0.14250000000000002</v>
      </c>
      <c r="C109" s="332">
        <f>((C19+C49+C60+C80+C91+C95+C96)/(1-($B$109)))*$B$109</f>
        <v>0</v>
      </c>
      <c r="D109" s="576">
        <f t="shared" ref="D109" si="20">((D19+D49+D60+D80+D91+D95+D96)/(1-($B$109)))*$B$109</f>
        <v>0</v>
      </c>
    </row>
    <row r="110" spans="1:5" ht="14.25" customHeight="1" x14ac:dyDescent="0.2">
      <c r="A110" s="553" t="s">
        <v>493</v>
      </c>
      <c r="B110" s="120">
        <f>0.0165+0.076</f>
        <v>9.2499999999999999E-2</v>
      </c>
      <c r="C110" s="333">
        <f>((C19+C49+C60+C80+C91+C95+C96)/(1-($B$109)))*$B$110</f>
        <v>0</v>
      </c>
      <c r="D110" s="577">
        <f t="shared" ref="D110" si="21">((D19+D49+D60+D80+D91+D95+D96)/(1-($B$109)))*$B$110</f>
        <v>0</v>
      </c>
    </row>
    <row r="111" spans="1:5" ht="14.25" customHeight="1" x14ac:dyDescent="0.2">
      <c r="A111" s="553" t="s">
        <v>494</v>
      </c>
      <c r="B111" s="336">
        <v>0.05</v>
      </c>
      <c r="C111" s="334">
        <f>((C19+C49+C60+C80+C91+C95+C96)/(1-($B$109)))*$B$111</f>
        <v>0</v>
      </c>
      <c r="D111" s="578">
        <f t="shared" ref="D111" si="22">((D19+D49+D60+D80+D91+D95+D96)/(1-($B$109)))*$B$111</f>
        <v>0</v>
      </c>
    </row>
    <row r="112" spans="1:5" ht="14.25" customHeight="1" x14ac:dyDescent="0.2">
      <c r="A112" s="932" t="s">
        <v>499</v>
      </c>
      <c r="B112" s="337">
        <v>0.02</v>
      </c>
      <c r="C112" s="338">
        <f>C95+C96+C97</f>
        <v>0</v>
      </c>
      <c r="D112" s="579">
        <f>D95+D96+D97</f>
        <v>0</v>
      </c>
    </row>
    <row r="113" spans="1:5" ht="14.25" customHeight="1" x14ac:dyDescent="0.2">
      <c r="A113" s="932"/>
      <c r="B113" s="339">
        <v>2.5000000000000001E-2</v>
      </c>
      <c r="C113" s="340">
        <f>C95+C96+C100</f>
        <v>0</v>
      </c>
      <c r="D113" s="580">
        <f>D95+D96+D100</f>
        <v>0</v>
      </c>
    </row>
    <row r="114" spans="1:5" ht="14.25" customHeight="1" x14ac:dyDescent="0.2">
      <c r="A114" s="932"/>
      <c r="B114" s="339">
        <v>0.03</v>
      </c>
      <c r="C114" s="340">
        <f>C95+C96+C103</f>
        <v>0</v>
      </c>
      <c r="D114" s="580">
        <f>D95+D96+D103</f>
        <v>0</v>
      </c>
      <c r="E114" s="335"/>
    </row>
    <row r="115" spans="1:5" ht="14.25" customHeight="1" x14ac:dyDescent="0.2">
      <c r="A115" s="932"/>
      <c r="B115" s="339">
        <v>0.04</v>
      </c>
      <c r="C115" s="340">
        <f>C95+C96+C106</f>
        <v>0</v>
      </c>
      <c r="D115" s="580">
        <f>D95+D96+D106</f>
        <v>0</v>
      </c>
    </row>
    <row r="116" spans="1:5" ht="14.25" customHeight="1" x14ac:dyDescent="0.2">
      <c r="A116" s="932"/>
      <c r="B116" s="341">
        <v>0.05</v>
      </c>
      <c r="C116" s="342">
        <f>C95+C96+C109</f>
        <v>0</v>
      </c>
      <c r="D116" s="581">
        <f>D95+D96+D109</f>
        <v>0</v>
      </c>
    </row>
    <row r="117" spans="1:5" ht="14.25" customHeight="1" x14ac:dyDescent="0.2">
      <c r="A117" s="553" t="s">
        <v>500</v>
      </c>
      <c r="B117" s="343"/>
      <c r="C117" s="344"/>
      <c r="D117" s="582"/>
    </row>
    <row r="118" spans="1:5" ht="14.25" customHeight="1" x14ac:dyDescent="0.2">
      <c r="A118" s="583"/>
      <c r="B118" s="347"/>
      <c r="C118" s="348"/>
      <c r="D118" s="584"/>
    </row>
    <row r="119" spans="1:5" ht="7.5" customHeight="1" x14ac:dyDescent="0.2">
      <c r="A119" s="933"/>
      <c r="B119" s="919"/>
      <c r="C119" s="919"/>
      <c r="D119" s="934"/>
    </row>
    <row r="120" spans="1:5" ht="7.5" customHeight="1" x14ac:dyDescent="0.2">
      <c r="A120" s="935"/>
      <c r="B120" s="920"/>
      <c r="C120" s="920"/>
      <c r="D120" s="936"/>
    </row>
    <row r="121" spans="1:5" ht="54.75" customHeight="1" x14ac:dyDescent="0.2">
      <c r="A121" s="937" t="s">
        <v>501</v>
      </c>
      <c r="B121" s="921"/>
      <c r="C121" s="351" t="str">
        <f>C10</f>
        <v>Servente 40h COVID</v>
      </c>
      <c r="D121" s="585" t="str">
        <f>D10</f>
        <v>Servente 30h COVID</v>
      </c>
    </row>
    <row r="122" spans="1:5" ht="15.75" customHeight="1" x14ac:dyDescent="0.2">
      <c r="A122" s="938" t="s">
        <v>502</v>
      </c>
      <c r="B122" s="915"/>
      <c r="C122" s="354" t="s">
        <v>431</v>
      </c>
      <c r="D122" s="586" t="s">
        <v>431</v>
      </c>
    </row>
    <row r="123" spans="1:5" ht="14.25" customHeight="1" x14ac:dyDescent="0.2">
      <c r="A123" s="939" t="s">
        <v>503</v>
      </c>
      <c r="B123" s="916"/>
      <c r="C123" s="356">
        <f>C19</f>
        <v>0</v>
      </c>
      <c r="D123" s="587">
        <f>D19</f>
        <v>0</v>
      </c>
    </row>
    <row r="124" spans="1:5" ht="14.25" customHeight="1" x14ac:dyDescent="0.2">
      <c r="A124" s="926" t="s">
        <v>504</v>
      </c>
      <c r="B124" s="911"/>
      <c r="C124" s="162">
        <f>C49</f>
        <v>0</v>
      </c>
      <c r="D124" s="588">
        <f>D49</f>
        <v>0</v>
      </c>
    </row>
    <row r="125" spans="1:5" ht="14.25" customHeight="1" x14ac:dyDescent="0.2">
      <c r="A125" s="926" t="s">
        <v>505</v>
      </c>
      <c r="B125" s="911"/>
      <c r="C125" s="162">
        <f>C60</f>
        <v>0</v>
      </c>
      <c r="D125" s="588">
        <f>D60</f>
        <v>0</v>
      </c>
    </row>
    <row r="126" spans="1:5" ht="14.25" customHeight="1" x14ac:dyDescent="0.2">
      <c r="A126" s="926" t="s">
        <v>506</v>
      </c>
      <c r="B126" s="911"/>
      <c r="C126" s="162">
        <f>C80</f>
        <v>0</v>
      </c>
      <c r="D126" s="588">
        <f>D80</f>
        <v>0</v>
      </c>
    </row>
    <row r="127" spans="1:5" ht="15.75" customHeight="1" x14ac:dyDescent="0.2">
      <c r="A127" s="926" t="s">
        <v>507</v>
      </c>
      <c r="B127" s="911"/>
      <c r="C127" s="162">
        <f>C91</f>
        <v>0</v>
      </c>
      <c r="D127" s="588">
        <f>D91</f>
        <v>0</v>
      </c>
    </row>
    <row r="128" spans="1:5" ht="15.75" customHeight="1" x14ac:dyDescent="0.2">
      <c r="A128" s="928" t="s">
        <v>508</v>
      </c>
      <c r="B128" s="914"/>
      <c r="C128" s="164">
        <f>SUM(C123:C127)</f>
        <v>0</v>
      </c>
      <c r="D128" s="589">
        <f>SUM(D123:D127)</f>
        <v>0</v>
      </c>
    </row>
    <row r="129" spans="1:4" ht="15.75" customHeight="1" x14ac:dyDescent="0.2">
      <c r="A129" s="927" t="s">
        <v>509</v>
      </c>
      <c r="B129" s="912"/>
      <c r="C129" s="359">
        <f t="shared" ref="C129:D133" si="23">C112</f>
        <v>0</v>
      </c>
      <c r="D129" s="590">
        <f t="shared" si="23"/>
        <v>0</v>
      </c>
    </row>
    <row r="130" spans="1:4" ht="15.75" customHeight="1" x14ac:dyDescent="0.2">
      <c r="A130" s="926" t="s">
        <v>510</v>
      </c>
      <c r="B130" s="911"/>
      <c r="C130" s="361">
        <f t="shared" si="23"/>
        <v>0</v>
      </c>
      <c r="D130" s="591">
        <f t="shared" si="23"/>
        <v>0</v>
      </c>
    </row>
    <row r="131" spans="1:4" ht="15.75" customHeight="1" x14ac:dyDescent="0.2">
      <c r="A131" s="926" t="s">
        <v>511</v>
      </c>
      <c r="B131" s="911"/>
      <c r="C131" s="361">
        <f t="shared" si="23"/>
        <v>0</v>
      </c>
      <c r="D131" s="591">
        <f t="shared" si="23"/>
        <v>0</v>
      </c>
    </row>
    <row r="132" spans="1:4" ht="15.75" customHeight="1" x14ac:dyDescent="0.2">
      <c r="A132" s="926" t="s">
        <v>512</v>
      </c>
      <c r="B132" s="911"/>
      <c r="C132" s="361">
        <f t="shared" si="23"/>
        <v>0</v>
      </c>
      <c r="D132" s="591">
        <f t="shared" si="23"/>
        <v>0</v>
      </c>
    </row>
    <row r="133" spans="1:4" ht="15.75" customHeight="1" x14ac:dyDescent="0.2">
      <c r="A133" s="927" t="s">
        <v>513</v>
      </c>
      <c r="B133" s="912"/>
      <c r="C133" s="361">
        <f t="shared" si="23"/>
        <v>0</v>
      </c>
      <c r="D133" s="591">
        <f t="shared" si="23"/>
        <v>0</v>
      </c>
    </row>
    <row r="134" spans="1:4" ht="15.75" customHeight="1" x14ac:dyDescent="0.2">
      <c r="A134" s="592" t="s">
        <v>514</v>
      </c>
      <c r="B134" s="364"/>
      <c r="C134" s="365">
        <f>C128+C129</f>
        <v>0</v>
      </c>
      <c r="D134" s="593">
        <f>D128+D129</f>
        <v>0</v>
      </c>
    </row>
    <row r="135" spans="1:4" ht="15.75" customHeight="1" x14ac:dyDescent="0.2">
      <c r="A135" s="594" t="s">
        <v>515</v>
      </c>
      <c r="B135" s="368"/>
      <c r="C135" s="369">
        <f>C128+C130</f>
        <v>0</v>
      </c>
      <c r="D135" s="595">
        <f>D128+D130</f>
        <v>0</v>
      </c>
    </row>
    <row r="136" spans="1:4" ht="15.75" customHeight="1" x14ac:dyDescent="0.2">
      <c r="A136" s="594" t="s">
        <v>516</v>
      </c>
      <c r="B136" s="368"/>
      <c r="C136" s="369">
        <f>C128+C131</f>
        <v>0</v>
      </c>
      <c r="D136" s="595">
        <f>D128+D131</f>
        <v>0</v>
      </c>
    </row>
    <row r="137" spans="1:4" ht="15.75" customHeight="1" x14ac:dyDescent="0.2">
      <c r="A137" s="594" t="s">
        <v>517</v>
      </c>
      <c r="B137" s="368"/>
      <c r="C137" s="369">
        <f>C128+C132</f>
        <v>0</v>
      </c>
      <c r="D137" s="595">
        <f>D128+D132</f>
        <v>0</v>
      </c>
    </row>
    <row r="138" spans="1:4" ht="15.75" customHeight="1" x14ac:dyDescent="0.2">
      <c r="A138" s="594" t="s">
        <v>518</v>
      </c>
      <c r="B138" s="368"/>
      <c r="C138" s="369">
        <f>C128+C133</f>
        <v>0</v>
      </c>
      <c r="D138" s="595">
        <f>D128+D133</f>
        <v>0</v>
      </c>
    </row>
    <row r="139" spans="1:4" ht="15.75" customHeight="1" x14ac:dyDescent="0.2">
      <c r="A139" s="596" t="s">
        <v>519</v>
      </c>
      <c r="B139" s="372"/>
      <c r="C139" s="373">
        <f>C134/200</f>
        <v>0</v>
      </c>
      <c r="D139" s="597"/>
    </row>
    <row r="140" spans="1:4" ht="15.75" customHeight="1" x14ac:dyDescent="0.2">
      <c r="A140" s="598" t="s">
        <v>520</v>
      </c>
      <c r="B140" s="377"/>
      <c r="C140" s="378">
        <f>C135/200</f>
        <v>0</v>
      </c>
      <c r="D140" s="599"/>
    </row>
    <row r="141" spans="1:4" ht="15.75" customHeight="1" x14ac:dyDescent="0.2">
      <c r="A141" s="598" t="s">
        <v>521</v>
      </c>
      <c r="B141" s="377"/>
      <c r="C141" s="378">
        <f>C136/200</f>
        <v>0</v>
      </c>
      <c r="D141" s="599"/>
    </row>
    <row r="142" spans="1:4" ht="15.75" customHeight="1" x14ac:dyDescent="0.2">
      <c r="A142" s="598" t="s">
        <v>522</v>
      </c>
      <c r="B142" s="377"/>
      <c r="C142" s="378">
        <f>C137/200</f>
        <v>0</v>
      </c>
      <c r="D142" s="599"/>
    </row>
    <row r="143" spans="1:4" ht="15.75" customHeight="1" x14ac:dyDescent="0.2">
      <c r="A143" s="600" t="s">
        <v>523</v>
      </c>
      <c r="B143" s="601"/>
      <c r="C143" s="602">
        <f>C138/200</f>
        <v>0</v>
      </c>
      <c r="D143" s="603"/>
    </row>
    <row r="144" spans="1:4" x14ac:dyDescent="0.2">
      <c r="A144" s="386"/>
    </row>
  </sheetData>
  <mergeCells count="27">
    <mergeCell ref="A21:D21"/>
    <mergeCell ref="A1:D1"/>
    <mergeCell ref="A2:D2"/>
    <mergeCell ref="A3:D3"/>
    <mergeCell ref="A9:D9"/>
    <mergeCell ref="A20:B2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MK1048510"/>
  <sheetViews>
    <sheetView zoomScale="80" zoomScaleNormal="80" workbookViewId="0">
      <selection activeCell="G97" sqref="G97"/>
    </sheetView>
  </sheetViews>
  <sheetFormatPr defaultRowHeight="14.25" x14ac:dyDescent="0.2"/>
  <cols>
    <col min="1" max="1" width="4.375" style="4"/>
    <col min="2" max="2" width="39.75" style="4"/>
    <col min="3" max="3" width="11" style="4"/>
    <col min="4" max="4" width="15.625" style="4"/>
    <col min="5" max="5" width="10" style="5"/>
    <col min="6" max="6" width="10.75" style="5"/>
    <col min="7" max="7" width="12" style="5"/>
    <col min="8" max="8" width="26.625" style="5"/>
    <col min="9" max="9" width="12.75" style="5"/>
    <col min="10" max="10" width="10.75" style="5"/>
    <col min="11" max="11" width="8.875" style="5"/>
    <col min="12" max="12" width="10.75" style="5"/>
    <col min="13" max="13" width="27.125" style="5"/>
    <col min="14" max="14" width="10.75" style="5"/>
    <col min="15" max="15" width="8.875" style="4"/>
    <col min="16" max="16" width="10.375" style="4"/>
    <col min="17" max="17" width="6.625" style="4"/>
    <col min="18" max="18" width="6.25" style="4"/>
    <col min="19" max="20" width="11.125" style="4"/>
    <col min="21" max="21" width="12.5" style="4"/>
    <col min="22" max="22" width="3.75" style="4"/>
    <col min="23" max="23" width="8.125" style="4"/>
    <col min="24" max="24" width="8" style="4"/>
    <col min="25" max="1025" width="10.5" style="4"/>
  </cols>
  <sheetData>
    <row r="1" spans="1:17" ht="23.25" x14ac:dyDescent="0.2">
      <c r="A1" s="2"/>
      <c r="B1" s="796" t="s">
        <v>0</v>
      </c>
      <c r="C1" s="796"/>
      <c r="D1" s="796"/>
      <c r="E1" s="796"/>
      <c r="F1" s="796"/>
      <c r="G1" s="796"/>
      <c r="H1" s="796"/>
      <c r="I1" s="796"/>
      <c r="J1" s="796"/>
      <c r="K1" s="796"/>
      <c r="L1" s="796"/>
      <c r="M1"/>
      <c r="N1"/>
      <c r="O1"/>
      <c r="P1"/>
      <c r="Q1"/>
    </row>
    <row r="2" spans="1:17" x14ac:dyDescent="0.2">
      <c r="B2" s="6"/>
      <c r="C2" s="6"/>
      <c r="D2" s="6"/>
      <c r="E2" s="6"/>
      <c r="F2"/>
      <c r="G2"/>
      <c r="H2"/>
      <c r="I2"/>
      <c r="J2"/>
      <c r="K2"/>
      <c r="L2"/>
      <c r="M2"/>
      <c r="N2"/>
      <c r="O2"/>
      <c r="P2"/>
      <c r="Q2"/>
    </row>
    <row r="3" spans="1:17" x14ac:dyDescent="0.2">
      <c r="B3" s="7" t="s">
        <v>1</v>
      </c>
      <c r="C3" s="797" t="s">
        <v>2</v>
      </c>
      <c r="D3" s="797"/>
      <c r="E3" s="3">
        <v>22</v>
      </c>
      <c r="F3"/>
      <c r="G3"/>
      <c r="H3"/>
      <c r="I3"/>
      <c r="J3"/>
      <c r="K3"/>
      <c r="L3"/>
      <c r="M3"/>
      <c r="N3"/>
      <c r="O3"/>
      <c r="P3"/>
      <c r="Q3"/>
    </row>
    <row r="4" spans="1:17" x14ac:dyDescent="0.2">
      <c r="B4"/>
      <c r="C4" s="798" t="s">
        <v>3</v>
      </c>
      <c r="D4" s="798"/>
      <c r="E4" s="8">
        <v>30</v>
      </c>
      <c r="F4"/>
      <c r="G4"/>
      <c r="H4"/>
      <c r="I4"/>
      <c r="J4"/>
      <c r="K4"/>
      <c r="L4"/>
      <c r="M4"/>
      <c r="N4"/>
      <c r="O4"/>
      <c r="P4"/>
      <c r="Q4"/>
    </row>
    <row r="5" spans="1:17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7.100000000000001" customHeight="1" x14ac:dyDescent="0.2">
      <c r="A6" s="2"/>
      <c r="B6" s="782" t="s">
        <v>4</v>
      </c>
      <c r="C6" s="782"/>
      <c r="D6" s="782"/>
      <c r="E6" s="782"/>
      <c r="F6" s="782"/>
      <c r="G6" s="782"/>
      <c r="H6" s="782"/>
      <c r="I6" s="782"/>
      <c r="J6" s="782"/>
      <c r="K6" s="782"/>
      <c r="L6" s="782"/>
      <c r="M6"/>
      <c r="N6"/>
      <c r="O6"/>
      <c r="P6"/>
      <c r="Q6"/>
    </row>
    <row r="7" spans="1:17" x14ac:dyDescent="0.2">
      <c r="B7" s="9" t="s">
        <v>5</v>
      </c>
      <c r="C7" s="10" t="s">
        <v>6</v>
      </c>
      <c r="D7" s="10" t="s">
        <v>7</v>
      </c>
      <c r="E7" s="11" t="s">
        <v>8</v>
      </c>
      <c r="F7"/>
      <c r="G7"/>
      <c r="H7" s="625" t="s">
        <v>9</v>
      </c>
      <c r="I7" s="626"/>
      <c r="J7"/>
      <c r="K7"/>
      <c r="L7"/>
      <c r="M7"/>
      <c r="N7"/>
      <c r="O7"/>
      <c r="P7"/>
      <c r="Q7"/>
    </row>
    <row r="8" spans="1:17" x14ac:dyDescent="0.2">
      <c r="B8"/>
      <c r="C8" s="7"/>
      <c r="D8" s="12"/>
      <c r="E8" s="13"/>
      <c r="F8"/>
      <c r="G8"/>
      <c r="H8" s="624" t="s">
        <v>10</v>
      </c>
      <c r="I8"/>
      <c r="J8"/>
      <c r="K8"/>
      <c r="L8"/>
      <c r="M8"/>
      <c r="N8"/>
      <c r="O8"/>
      <c r="P8"/>
      <c r="Q8"/>
    </row>
    <row r="9" spans="1:17" x14ac:dyDescent="0.2">
      <c r="B9"/>
      <c r="C9" s="799" t="s">
        <v>11</v>
      </c>
      <c r="D9" s="799"/>
      <c r="E9" s="79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2">
      <c r="B10" s="9" t="s">
        <v>12</v>
      </c>
      <c r="C10" s="3">
        <v>44</v>
      </c>
      <c r="D10" s="3">
        <v>40</v>
      </c>
      <c r="E10" s="3">
        <v>30</v>
      </c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2">
      <c r="C11" s="14"/>
      <c r="D11" s="15"/>
      <c r="E11" s="15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2">
      <c r="B12" s="9" t="s">
        <v>13</v>
      </c>
      <c r="C12" s="16"/>
      <c r="D12" s="15"/>
      <c r="E12" s="15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9" t="s">
        <v>14</v>
      </c>
      <c r="C13" s="16"/>
      <c r="D13" s="15"/>
      <c r="E13" s="15"/>
      <c r="F13"/>
      <c r="G13"/>
      <c r="H13"/>
      <c r="I13"/>
      <c r="J13"/>
      <c r="K13"/>
      <c r="L13"/>
      <c r="M13"/>
      <c r="N13"/>
      <c r="O13"/>
      <c r="P13"/>
      <c r="Q13"/>
    </row>
    <row r="14" spans="1:17" ht="15.75" x14ac:dyDescent="0.2">
      <c r="A14" s="2"/>
      <c r="B14" s="782" t="s">
        <v>15</v>
      </c>
      <c r="C14" s="782"/>
      <c r="D14" s="782"/>
      <c r="E14" s="782"/>
      <c r="F14" s="782"/>
      <c r="G14" s="782"/>
      <c r="H14" s="782"/>
      <c r="I14" s="782"/>
      <c r="J14" s="782"/>
      <c r="K14" s="782"/>
      <c r="L14" s="782"/>
      <c r="M14"/>
      <c r="N14"/>
      <c r="O14"/>
      <c r="P14"/>
      <c r="Q14"/>
    </row>
    <row r="15" spans="1:17" ht="24" x14ac:dyDescent="0.2">
      <c r="B15" s="426" t="s">
        <v>16</v>
      </c>
      <c r="C15" s="427"/>
      <c r="D15" s="427" t="s">
        <v>17</v>
      </c>
      <c r="E15" s="428" t="s">
        <v>18</v>
      </c>
      <c r="F15"/>
      <c r="G15"/>
      <c r="H15"/>
      <c r="I15" s="627"/>
      <c r="J15"/>
      <c r="K15"/>
      <c r="L15"/>
      <c r="M15"/>
      <c r="N15"/>
      <c r="O15"/>
      <c r="P15"/>
      <c r="Q15"/>
    </row>
    <row r="16" spans="1:17" x14ac:dyDescent="0.2">
      <c r="B16" s="425" t="s">
        <v>19</v>
      </c>
      <c r="C16" s="493"/>
      <c r="D16" s="494">
        <v>0.2</v>
      </c>
      <c r="E16" s="17">
        <f>ROUND(C16*0.8,2)</f>
        <v>0</v>
      </c>
      <c r="F16"/>
      <c r="G16"/>
      <c r="H16"/>
      <c r="I16"/>
      <c r="J16"/>
      <c r="K16"/>
      <c r="L16"/>
      <c r="M16"/>
      <c r="N16"/>
      <c r="O16"/>
      <c r="P16"/>
      <c r="Q16"/>
    </row>
    <row r="17" spans="1:17" ht="17.100000000000001" customHeight="1" x14ac:dyDescent="0.2">
      <c r="B17" s="7" t="s">
        <v>20</v>
      </c>
      <c r="C17" s="495"/>
      <c r="D17" s="496">
        <f>D16</f>
        <v>0.2</v>
      </c>
      <c r="E17" s="495">
        <f>ROUND(C17*0.8,2)</f>
        <v>0</v>
      </c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">
      <c r="B18" s="7" t="s">
        <v>21</v>
      </c>
      <c r="C18" s="495"/>
      <c r="D18" s="496">
        <v>0.06</v>
      </c>
      <c r="E18" s="495"/>
      <c r="F18"/>
      <c r="G18"/>
      <c r="H18"/>
      <c r="I18"/>
      <c r="J18"/>
      <c r="K18"/>
      <c r="L18"/>
      <c r="M18"/>
      <c r="N18"/>
      <c r="O18"/>
      <c r="P18"/>
      <c r="Q18"/>
    </row>
    <row r="19" spans="1:17" ht="12.95" customHeight="1" x14ac:dyDescent="0.2">
      <c r="B19" s="7" t="s">
        <v>22</v>
      </c>
      <c r="C19" s="495"/>
      <c r="D19" s="496"/>
      <c r="E19" s="495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">
      <c r="B20" s="7" t="s">
        <v>23</v>
      </c>
      <c r="C20" s="15"/>
      <c r="D20" s="495"/>
      <c r="E20" s="15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">
      <c r="B21" s="18" t="s">
        <v>24</v>
      </c>
      <c r="C21" s="436"/>
      <c r="D21" s="15"/>
      <c r="E21" s="15">
        <f>(C21*C11)*22</f>
        <v>0</v>
      </c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">
      <c r="B22" s="18"/>
      <c r="C22" s="497"/>
      <c r="D22" s="495"/>
      <c r="E22" s="15"/>
      <c r="F22"/>
      <c r="G22"/>
      <c r="H22"/>
      <c r="I22"/>
      <c r="J22"/>
      <c r="K22"/>
      <c r="L22"/>
      <c r="M22"/>
      <c r="N22"/>
      <c r="O22"/>
      <c r="P22"/>
      <c r="Q22"/>
    </row>
    <row r="23" spans="1:17" ht="12.95" customHeight="1" x14ac:dyDescent="0.2">
      <c r="B23" s="479" t="s">
        <v>25</v>
      </c>
      <c r="C23" s="19"/>
      <c r="D23" s="496"/>
      <c r="E23" s="19">
        <f>C23</f>
        <v>0</v>
      </c>
      <c r="F23"/>
      <c r="G23"/>
      <c r="H23"/>
      <c r="I23"/>
      <c r="J23"/>
      <c r="K23"/>
      <c r="L23"/>
      <c r="M23"/>
      <c r="N23"/>
      <c r="O23"/>
      <c r="P23"/>
      <c r="Q23"/>
    </row>
    <row r="24" spans="1:17" ht="12.95" customHeight="1" x14ac:dyDescent="0.2">
      <c r="B24" s="480" t="s">
        <v>26</v>
      </c>
      <c r="C24" s="481"/>
      <c r="D24" s="496"/>
      <c r="E24" s="19">
        <f>C24</f>
        <v>0</v>
      </c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">
      <c r="B26"/>
      <c r="C26"/>
      <c r="D26" s="5"/>
      <c r="E26"/>
      <c r="F26"/>
      <c r="G26"/>
      <c r="H26"/>
      <c r="I26"/>
      <c r="J26" s="20"/>
      <c r="K26"/>
      <c r="L26"/>
      <c r="M26"/>
      <c r="N26"/>
    </row>
    <row r="27" spans="1:17" s="4" customFormat="1" ht="15.75" x14ac:dyDescent="0.2">
      <c r="A27" s="2"/>
      <c r="B27" s="782" t="s">
        <v>27</v>
      </c>
      <c r="C27" s="782"/>
      <c r="D27" s="782"/>
      <c r="E27" s="782"/>
      <c r="F27" s="782"/>
      <c r="G27" s="782"/>
      <c r="H27" s="782"/>
      <c r="I27" s="782"/>
      <c r="J27" s="782"/>
      <c r="K27" s="782"/>
      <c r="L27" s="782"/>
    </row>
    <row r="28" spans="1:17" s="4" customFormat="1" ht="12" x14ac:dyDescent="0.2">
      <c r="B28" s="791" t="s">
        <v>28</v>
      </c>
      <c r="C28" s="791"/>
      <c r="D28" s="791"/>
      <c r="E28" s="791"/>
      <c r="F28" s="791"/>
      <c r="G28" s="791"/>
      <c r="H28" s="791"/>
      <c r="I28" s="791"/>
      <c r="J28" s="791"/>
      <c r="K28" s="791"/>
      <c r="L28" s="791"/>
    </row>
    <row r="29" spans="1:17" s="4" customFormat="1" ht="12" x14ac:dyDescent="0.2">
      <c r="B29" s="795" t="s">
        <v>29</v>
      </c>
      <c r="C29" s="795"/>
      <c r="D29" s="795"/>
      <c r="E29" s="795"/>
      <c r="F29" s="795"/>
      <c r="G29" s="795"/>
      <c r="H29" s="795"/>
      <c r="I29" s="795"/>
      <c r="J29" s="795"/>
      <c r="K29" s="795"/>
      <c r="L29" s="795"/>
    </row>
    <row r="30" spans="1:17" s="4" customFormat="1" ht="12" x14ac:dyDescent="0.2">
      <c r="B30" s="791" t="s">
        <v>30</v>
      </c>
      <c r="C30" s="791"/>
      <c r="D30" s="791"/>
      <c r="E30" s="791"/>
      <c r="F30" s="791"/>
      <c r="G30" s="791"/>
      <c r="H30" s="791"/>
      <c r="I30" s="791"/>
      <c r="J30" s="791"/>
      <c r="K30" s="791"/>
      <c r="L30" s="791"/>
    </row>
    <row r="31" spans="1:17" s="4" customFormat="1" ht="12" x14ac:dyDescent="0.2">
      <c r="B31" s="792" t="s">
        <v>31</v>
      </c>
      <c r="C31" s="792"/>
      <c r="D31" s="792"/>
      <c r="E31" s="792"/>
      <c r="F31" s="792"/>
      <c r="G31" s="792"/>
      <c r="H31" s="792"/>
      <c r="I31" s="792"/>
      <c r="J31" s="792"/>
      <c r="K31" s="792"/>
      <c r="L31" s="792"/>
    </row>
    <row r="32" spans="1:17" s="4" customFormat="1" ht="12" x14ac:dyDescent="0.2">
      <c r="B32" s="791" t="s">
        <v>32</v>
      </c>
      <c r="C32" s="791"/>
      <c r="D32" s="791"/>
      <c r="E32" s="791"/>
      <c r="F32" s="791"/>
      <c r="G32" s="791"/>
      <c r="H32" s="791"/>
      <c r="I32" s="791"/>
      <c r="J32" s="791"/>
      <c r="K32" s="791"/>
      <c r="L32" s="791"/>
    </row>
    <row r="33" spans="1:14" s="4" customFormat="1" ht="12" x14ac:dyDescent="0.2">
      <c r="B33" s="794" t="s">
        <v>33</v>
      </c>
      <c r="C33" s="794"/>
      <c r="D33" s="794"/>
      <c r="E33" s="794"/>
      <c r="F33" s="794"/>
      <c r="G33" s="794"/>
      <c r="H33" s="794"/>
      <c r="I33" s="794"/>
      <c r="J33" s="794"/>
      <c r="K33" s="794"/>
      <c r="L33" s="794"/>
    </row>
    <row r="34" spans="1:14" s="4" customFormat="1" ht="12" x14ac:dyDescent="0.2">
      <c r="B34" s="792" t="s">
        <v>34</v>
      </c>
      <c r="C34" s="792"/>
      <c r="D34" s="792"/>
      <c r="E34" s="792"/>
      <c r="F34" s="792"/>
      <c r="G34" s="792"/>
      <c r="H34" s="792"/>
      <c r="I34" s="792"/>
      <c r="J34" s="792"/>
      <c r="K34" s="792"/>
      <c r="L34" s="792"/>
    </row>
    <row r="35" spans="1:14" s="4" customFormat="1" ht="12" x14ac:dyDescent="0.2">
      <c r="B35" s="792" t="s">
        <v>35</v>
      </c>
      <c r="C35" s="792"/>
      <c r="D35" s="792"/>
      <c r="E35" s="792"/>
      <c r="F35" s="792"/>
      <c r="G35" s="792"/>
      <c r="H35" s="792"/>
      <c r="I35" s="792"/>
      <c r="J35" s="792"/>
      <c r="K35" s="792"/>
      <c r="L35" s="792"/>
    </row>
    <row r="36" spans="1:14" s="4" customFormat="1" ht="12" x14ac:dyDescent="0.2">
      <c r="B36" s="791" t="s">
        <v>36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</row>
    <row r="37" spans="1:14" s="4" customFormat="1" ht="12" x14ac:dyDescent="0.2">
      <c r="B37" s="792" t="s">
        <v>37</v>
      </c>
      <c r="C37" s="792"/>
      <c r="D37" s="792"/>
      <c r="E37" s="792"/>
      <c r="F37" s="792"/>
      <c r="G37" s="792"/>
      <c r="H37" s="792"/>
      <c r="I37" s="792"/>
      <c r="J37" s="792"/>
      <c r="K37" s="792"/>
      <c r="L37" s="792"/>
      <c r="N37" s="20"/>
    </row>
    <row r="38" spans="1:14" s="4" customFormat="1" x14ac:dyDescent="0.2">
      <c r="B38"/>
      <c r="C38"/>
      <c r="D38" s="5"/>
      <c r="E38"/>
      <c r="F38"/>
      <c r="G38"/>
      <c r="H38"/>
      <c r="I38"/>
      <c r="J38"/>
      <c r="N38" s="20"/>
    </row>
    <row r="39" spans="1:14" ht="15.75" x14ac:dyDescent="0.2">
      <c r="A39" s="2"/>
      <c r="B39" s="782" t="s">
        <v>38</v>
      </c>
      <c r="C39" s="782"/>
      <c r="D39" s="782"/>
      <c r="E39" s="782"/>
      <c r="F39" s="782"/>
      <c r="G39" s="782"/>
      <c r="H39" s="782"/>
      <c r="I39" s="782"/>
      <c r="J39" s="782"/>
      <c r="K39" s="782"/>
      <c r="L39" s="782"/>
      <c r="M39" s="20"/>
      <c r="N39" s="20"/>
    </row>
    <row r="40" spans="1:14" x14ac:dyDescent="0.2">
      <c r="B40" s="791" t="s">
        <v>39</v>
      </c>
      <c r="C40" s="791"/>
      <c r="D40" s="791"/>
      <c r="E40" s="791"/>
      <c r="F40" s="791"/>
      <c r="G40" s="791"/>
      <c r="H40" s="791"/>
      <c r="I40" s="791"/>
      <c r="J40" s="791"/>
      <c r="K40" s="791"/>
      <c r="L40" s="791"/>
      <c r="M40" s="20"/>
      <c r="N40" s="20"/>
    </row>
    <row r="41" spans="1:14" ht="26.1" customHeight="1" x14ac:dyDescent="0.2">
      <c r="B41" s="1" t="s">
        <v>40</v>
      </c>
      <c r="C41" s="793" t="s">
        <v>41</v>
      </c>
      <c r="D41" s="793"/>
      <c r="E41" s="793"/>
      <c r="F41" s="793"/>
      <c r="G41" s="793"/>
      <c r="H41" s="793"/>
      <c r="I41" s="793"/>
      <c r="J41" s="793"/>
      <c r="K41" s="793"/>
      <c r="L41" s="793"/>
      <c r="M41" s="20"/>
      <c r="N41" s="20"/>
    </row>
    <row r="42" spans="1:14" ht="26.1" customHeight="1" x14ac:dyDescent="0.2">
      <c r="B42" s="415" t="s">
        <v>42</v>
      </c>
      <c r="C42" s="790" t="s">
        <v>43</v>
      </c>
      <c r="D42" s="790"/>
      <c r="E42" s="790"/>
      <c r="F42" s="790"/>
      <c r="G42" s="790"/>
      <c r="H42" s="790"/>
      <c r="I42" s="790"/>
      <c r="J42" s="790"/>
      <c r="K42" s="790"/>
      <c r="L42" s="790"/>
      <c r="M42" s="20"/>
      <c r="N42" s="20"/>
    </row>
    <row r="43" spans="1:14" x14ac:dyDescent="0.2">
      <c r="B43" s="21"/>
      <c r="C43" s="789" t="s">
        <v>44</v>
      </c>
      <c r="D43" s="789"/>
      <c r="E43" s="22">
        <v>1</v>
      </c>
      <c r="F43" s="20"/>
      <c r="G43" s="20"/>
      <c r="H43" s="20"/>
      <c r="I43" s="20"/>
      <c r="J43" s="20"/>
      <c r="K43" s="20"/>
      <c r="L43" s="20"/>
      <c r="M43" s="20"/>
      <c r="N43" s="20"/>
    </row>
    <row r="44" spans="1:14" x14ac:dyDescent="0.2">
      <c r="B44"/>
      <c r="C44" s="789" t="s">
        <v>45</v>
      </c>
      <c r="D44" s="789"/>
      <c r="E44" s="22">
        <v>3.4931999999999999</v>
      </c>
      <c r="F44" s="20"/>
      <c r="G44" s="20" t="s">
        <v>46</v>
      </c>
      <c r="H44" s="20"/>
      <c r="I44" s="20"/>
      <c r="J44" s="20"/>
      <c r="K44" s="20"/>
      <c r="L44" s="20"/>
      <c r="M44" s="20"/>
      <c r="N44" s="20"/>
    </row>
    <row r="45" spans="1:14" x14ac:dyDescent="0.2">
      <c r="B45"/>
      <c r="C45" s="789" t="s">
        <v>47</v>
      </c>
      <c r="D45" s="789"/>
      <c r="E45" s="22">
        <v>0.26879999999999998</v>
      </c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">
      <c r="B46"/>
      <c r="C46" s="789" t="s">
        <v>48</v>
      </c>
      <c r="D46" s="789"/>
      <c r="E46" s="22">
        <v>4.2700000000000002E-2</v>
      </c>
      <c r="F46" s="20"/>
      <c r="G46" s="20"/>
      <c r="H46" s="20"/>
      <c r="I46" s="20"/>
      <c r="J46" s="20"/>
      <c r="K46" s="20"/>
      <c r="L46" s="20"/>
      <c r="M46" s="20"/>
      <c r="N46" s="20"/>
    </row>
    <row r="47" spans="1:14" x14ac:dyDescent="0.2">
      <c r="B47"/>
      <c r="C47" s="789" t="s">
        <v>49</v>
      </c>
      <c r="D47" s="789"/>
      <c r="E47" s="22">
        <v>3.5499999999999997E-2</v>
      </c>
      <c r="F47" s="20"/>
      <c r="G47" s="20"/>
      <c r="H47" s="20"/>
      <c r="I47" s="20"/>
      <c r="J47" s="20"/>
      <c r="K47" s="20"/>
      <c r="L47" s="20"/>
      <c r="M47" s="20"/>
      <c r="N47" s="20"/>
    </row>
    <row r="48" spans="1:14" x14ac:dyDescent="0.2">
      <c r="B48"/>
      <c r="C48" s="789" t="s">
        <v>50</v>
      </c>
      <c r="D48" s="789"/>
      <c r="E48" s="429">
        <v>0.02</v>
      </c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">
      <c r="B49"/>
      <c r="C49" s="789" t="s">
        <v>51</v>
      </c>
      <c r="D49" s="789"/>
      <c r="E49" s="429">
        <v>4.0000000000000001E-3</v>
      </c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2">
      <c r="B50"/>
      <c r="C50" s="789" t="s">
        <v>52</v>
      </c>
      <c r="D50" s="789"/>
      <c r="E50" s="22">
        <v>9.7999999999999997E-3</v>
      </c>
      <c r="F50" s="20"/>
      <c r="G50" s="20"/>
      <c r="H50" s="20"/>
      <c r="I50" s="20"/>
      <c r="J50" s="20"/>
      <c r="K50" s="20"/>
      <c r="L50" s="20"/>
      <c r="M50" s="20"/>
      <c r="N50" s="20"/>
    </row>
    <row r="51" spans="1:14" s="4" customFormat="1" x14ac:dyDescent="0.2">
      <c r="B51"/>
      <c r="C51" s="777" t="s">
        <v>53</v>
      </c>
      <c r="D51" s="777"/>
      <c r="E51" s="23">
        <f>SUM(E43:E50)</f>
        <v>4.8739999999999988</v>
      </c>
      <c r="F51"/>
      <c r="G51"/>
      <c r="H51"/>
      <c r="I51"/>
      <c r="J51"/>
      <c r="M51" s="20"/>
      <c r="N51" s="20"/>
    </row>
    <row r="52" spans="1:14" x14ac:dyDescent="0.2">
      <c r="B52" s="646" t="s">
        <v>54</v>
      </c>
      <c r="C52" s="778" t="s">
        <v>55</v>
      </c>
      <c r="D52" s="779"/>
      <c r="E52" s="779"/>
      <c r="F52" s="779"/>
      <c r="G52" s="779"/>
      <c r="H52" s="779"/>
      <c r="I52" s="779"/>
      <c r="J52" s="779"/>
      <c r="K52" s="779"/>
      <c r="L52" s="780"/>
      <c r="M52" s="20"/>
      <c r="N52" s="20"/>
    </row>
    <row r="53" spans="1:14" x14ac:dyDescent="0.2">
      <c r="B53" s="786" t="s">
        <v>56</v>
      </c>
      <c r="C53" s="787"/>
      <c r="D53" s="787"/>
      <c r="E53" s="788"/>
      <c r="F53" s="647">
        <v>1.4999999999999999E-2</v>
      </c>
      <c r="G53" s="488"/>
      <c r="H53" s="488"/>
      <c r="I53" s="488"/>
      <c r="J53" s="488"/>
      <c r="K53" s="488"/>
      <c r="L53" s="489"/>
      <c r="M53" s="20"/>
      <c r="N53" s="20"/>
    </row>
    <row r="54" spans="1:14" ht="12.75" customHeight="1" x14ac:dyDescent="0.2">
      <c r="B54" s="644" t="s">
        <v>57</v>
      </c>
      <c r="C54" s="645">
        <v>0.51670000000000005</v>
      </c>
      <c r="D54" s="488"/>
      <c r="E54" s="488"/>
      <c r="F54" s="488"/>
      <c r="G54" s="488"/>
      <c r="H54" s="488"/>
      <c r="I54" s="488"/>
      <c r="J54" s="488"/>
      <c r="K54" s="488"/>
      <c r="L54" s="489"/>
      <c r="M54" s="20"/>
      <c r="N54" s="20"/>
    </row>
    <row r="55" spans="1:14" ht="26.1" customHeight="1" x14ac:dyDescent="0.2">
      <c r="B55" s="25" t="s">
        <v>58</v>
      </c>
      <c r="C55" s="781" t="s">
        <v>59</v>
      </c>
      <c r="D55" s="781"/>
      <c r="E55" s="781"/>
      <c r="F55" s="781"/>
      <c r="G55" s="781"/>
      <c r="H55" s="781"/>
      <c r="I55" s="781"/>
      <c r="J55" s="781"/>
      <c r="K55" s="781"/>
      <c r="L55" s="781"/>
      <c r="M55" s="20"/>
      <c r="N55" s="20"/>
    </row>
    <row r="56" spans="1:14" ht="12.75" customHeight="1" x14ac:dyDescent="0.2">
      <c r="B56" s="482" t="s">
        <v>60</v>
      </c>
      <c r="C56" s="485">
        <v>0.96589999999999998</v>
      </c>
      <c r="D56" s="483"/>
      <c r="E56" s="483"/>
      <c r="F56" s="483"/>
      <c r="G56" s="483"/>
      <c r="H56" s="483"/>
      <c r="I56" s="483"/>
      <c r="J56" s="483"/>
      <c r="K56" s="483"/>
      <c r="L56" s="484"/>
      <c r="M56" s="20"/>
      <c r="N56" s="20"/>
    </row>
    <row r="57" spans="1:14" x14ac:dyDescent="0.2">
      <c r="B57" s="783" t="s">
        <v>61</v>
      </c>
      <c r="C57" s="783"/>
      <c r="D57" s="783"/>
      <c r="E57" s="783"/>
      <c r="F57" s="783"/>
      <c r="G57" s="783"/>
      <c r="H57" s="783"/>
      <c r="I57" s="783"/>
      <c r="J57" s="783"/>
      <c r="K57" s="783"/>
      <c r="L57" s="783"/>
      <c r="M57" s="20"/>
      <c r="N57" s="20"/>
    </row>
    <row r="58" spans="1:14" ht="33" customHeight="1" x14ac:dyDescent="0.2">
      <c r="B58" s="24" t="s">
        <v>62</v>
      </c>
      <c r="C58" s="784" t="s">
        <v>63</v>
      </c>
      <c r="D58" s="784"/>
      <c r="E58" s="784"/>
      <c r="F58" s="784"/>
      <c r="G58" s="784"/>
      <c r="H58" s="784"/>
      <c r="I58" s="784"/>
      <c r="J58" s="784"/>
      <c r="K58" s="784"/>
      <c r="L58" s="784"/>
      <c r="M58" s="20"/>
      <c r="N58" s="20"/>
    </row>
    <row r="59" spans="1:14" ht="12.75" customHeight="1" x14ac:dyDescent="0.2">
      <c r="B59" s="487" t="s">
        <v>64</v>
      </c>
      <c r="C59" s="492">
        <v>0.48330000000000001</v>
      </c>
      <c r="D59" s="490"/>
      <c r="E59" s="490"/>
      <c r="F59" s="490"/>
      <c r="G59" s="490"/>
      <c r="H59" s="490"/>
      <c r="I59" s="490"/>
      <c r="J59" s="490"/>
      <c r="K59" s="490"/>
      <c r="L59" s="491"/>
      <c r="M59" s="20"/>
      <c r="N59" s="20"/>
    </row>
    <row r="60" spans="1:14" ht="12.75" customHeight="1" x14ac:dyDescent="0.2">
      <c r="B60" s="482" t="s">
        <v>65</v>
      </c>
      <c r="C60" s="485">
        <v>3.2000000000000002E-3</v>
      </c>
      <c r="D60" s="486"/>
      <c r="E60" s="483"/>
      <c r="F60" s="483"/>
      <c r="G60" s="483"/>
      <c r="H60" s="483"/>
      <c r="I60" s="483"/>
      <c r="J60" s="483"/>
      <c r="K60" s="483"/>
      <c r="L60" s="484"/>
      <c r="M60" s="20"/>
      <c r="N60" s="20"/>
    </row>
    <row r="61" spans="1:14" ht="12.75" customHeight="1" x14ac:dyDescent="0.2">
      <c r="B61" s="619"/>
      <c r="C61" s="620"/>
      <c r="D61" s="620"/>
      <c r="E61" s="619"/>
      <c r="F61" s="619"/>
      <c r="G61" s="619"/>
      <c r="H61" s="619"/>
      <c r="I61" s="619"/>
      <c r="J61" s="619"/>
      <c r="K61" s="619"/>
      <c r="L61" s="619"/>
      <c r="M61" s="20"/>
      <c r="N61" s="20"/>
    </row>
    <row r="62" spans="1:14" ht="12.75" customHeight="1" x14ac:dyDescent="0.2">
      <c r="A62" s="2"/>
      <c r="B62" s="785" t="s">
        <v>66</v>
      </c>
      <c r="C62" s="785"/>
      <c r="D62" s="785"/>
      <c r="E62" s="785"/>
      <c r="F62" s="785"/>
      <c r="G62" s="785"/>
      <c r="H62" s="785"/>
      <c r="I62" s="785"/>
      <c r="J62" s="785"/>
      <c r="K62" s="785"/>
      <c r="L62" s="785"/>
      <c r="M62" s="20"/>
      <c r="N62" s="20"/>
    </row>
    <row r="63" spans="1:14" ht="12.75" customHeight="1" x14ac:dyDescent="0.2">
      <c r="B63" s="623" t="s">
        <v>67</v>
      </c>
      <c r="C63" s="622"/>
      <c r="D63" s="620"/>
      <c r="E63" s="619"/>
      <c r="F63" s="619"/>
      <c r="G63" s="619"/>
      <c r="H63" s="619"/>
      <c r="I63" s="619"/>
      <c r="J63" s="619"/>
      <c r="K63" s="619"/>
      <c r="L63" s="619"/>
      <c r="M63" s="20"/>
      <c r="N63" s="20"/>
    </row>
    <row r="64" spans="1:14" ht="12.75" customHeight="1" x14ac:dyDescent="0.2">
      <c r="B64" s="621" t="s">
        <v>68</v>
      </c>
      <c r="C64" s="622"/>
      <c r="D64" s="620"/>
      <c r="E64" s="619"/>
      <c r="F64" s="619"/>
      <c r="G64" s="619"/>
      <c r="H64" s="619"/>
      <c r="I64" s="619"/>
      <c r="J64" s="619"/>
      <c r="K64" s="619"/>
      <c r="L64" s="619"/>
      <c r="M64" s="20"/>
      <c r="N64" s="20"/>
    </row>
    <row r="65" spans="1:14" x14ac:dyDescent="0.2">
      <c r="M65" s="20"/>
      <c r="N65" s="20"/>
    </row>
    <row r="66" spans="1:14" ht="15.75" x14ac:dyDescent="0.2">
      <c r="A66" s="2"/>
      <c r="B66" s="782" t="s">
        <v>69</v>
      </c>
      <c r="C66" s="782"/>
      <c r="D66" s="782"/>
      <c r="E66" s="782"/>
      <c r="F66" s="782"/>
      <c r="G66" s="782"/>
      <c r="H66" s="782"/>
      <c r="I66" s="782"/>
      <c r="J66" s="782"/>
      <c r="K66" s="782"/>
      <c r="L66" s="782"/>
    </row>
    <row r="67" spans="1:14" x14ac:dyDescent="0.2">
      <c r="B67" s="430" t="s">
        <v>70</v>
      </c>
      <c r="C67" s="26" t="s">
        <v>71</v>
      </c>
      <c r="D67" s="26" t="s">
        <v>72</v>
      </c>
      <c r="E67" s="27" t="s">
        <v>73</v>
      </c>
      <c r="F67" s="28" t="s">
        <v>74</v>
      </c>
      <c r="G67"/>
      <c r="H67" s="29" t="s">
        <v>75</v>
      </c>
      <c r="I67" s="26" t="s">
        <v>71</v>
      </c>
      <c r="J67" s="26" t="s">
        <v>72</v>
      </c>
      <c r="K67" s="27" t="s">
        <v>73</v>
      </c>
      <c r="L67" s="28" t="s">
        <v>74</v>
      </c>
    </row>
    <row r="68" spans="1:14" x14ac:dyDescent="0.2">
      <c r="B68" s="30" t="s">
        <v>76</v>
      </c>
      <c r="C68" s="31"/>
      <c r="D68" s="32"/>
      <c r="E68" s="33">
        <f>SUM('Prod. GEXCTB'!N4:Q4,'Prod. GEXCTB'!U4)</f>
        <v>14</v>
      </c>
      <c r="F68" s="34">
        <f>E68*D68</f>
        <v>0</v>
      </c>
      <c r="G68"/>
      <c r="H68" s="30" t="s">
        <v>77</v>
      </c>
      <c r="I68" s="436"/>
      <c r="J68" s="32"/>
      <c r="K68" s="33">
        <f>SUM('Prod. GEXPGR'!N4:Q4,'Prod. GEXPGR'!U4)</f>
        <v>3</v>
      </c>
      <c r="L68" s="34">
        <f t="shared" ref="L68:L78" si="0">K68*J68</f>
        <v>0</v>
      </c>
    </row>
    <row r="69" spans="1:14" x14ac:dyDescent="0.2">
      <c r="B69" s="35" t="s">
        <v>78</v>
      </c>
      <c r="C69" s="31"/>
      <c r="D69" s="32"/>
      <c r="E69" s="33">
        <f>SUM('Prod. GEXCTB'!N5:Q5)</f>
        <v>3</v>
      </c>
      <c r="F69" s="34">
        <f>E69*D69</f>
        <v>0</v>
      </c>
      <c r="G69"/>
      <c r="H69" s="35" t="s">
        <v>78</v>
      </c>
      <c r="I69" s="437"/>
      <c r="J69" s="32"/>
      <c r="K69" s="33">
        <f>SUM('Prod. GEXPGR'!N5:Q5)</f>
        <v>1</v>
      </c>
      <c r="L69" s="34">
        <f t="shared" si="0"/>
        <v>0</v>
      </c>
    </row>
    <row r="70" spans="1:14" x14ac:dyDescent="0.2">
      <c r="B70" s="36" t="s">
        <v>79</v>
      </c>
      <c r="C70" s="37"/>
      <c r="D70" s="38"/>
      <c r="E70" s="39">
        <f>SUM('Prod. GEXCTB'!N6:Q6)</f>
        <v>0</v>
      </c>
      <c r="F70" s="34" t="s">
        <v>80</v>
      </c>
      <c r="G70"/>
      <c r="H70" s="35" t="s">
        <v>81</v>
      </c>
      <c r="I70" s="437"/>
      <c r="J70" s="32"/>
      <c r="K70" s="33">
        <f>SUM('Prod. GEXPGR'!N6:Q6)</f>
        <v>5</v>
      </c>
      <c r="L70" s="34">
        <f t="shared" si="0"/>
        <v>0</v>
      </c>
    </row>
    <row r="71" spans="1:14" x14ac:dyDescent="0.2">
      <c r="B71" s="35" t="s">
        <v>82</v>
      </c>
      <c r="C71" s="31"/>
      <c r="D71" s="32"/>
      <c r="E71" s="33">
        <f>SUM('Prod. GEXCTB'!N7:Q7)</f>
        <v>15</v>
      </c>
      <c r="F71" s="34">
        <f t="shared" ref="F71:F83" si="1">E71*D71</f>
        <v>0</v>
      </c>
      <c r="G71"/>
      <c r="H71" s="35" t="s">
        <v>83</v>
      </c>
      <c r="I71" s="437"/>
      <c r="J71" s="32"/>
      <c r="K71" s="33">
        <f>SUM('Prod. GEXPGR'!N7:Q7)</f>
        <v>4</v>
      </c>
      <c r="L71" s="34">
        <f t="shared" si="0"/>
        <v>0</v>
      </c>
    </row>
    <row r="72" spans="1:14" x14ac:dyDescent="0.2">
      <c r="B72" s="35" t="s">
        <v>84</v>
      </c>
      <c r="C72" s="31"/>
      <c r="D72" s="32"/>
      <c r="E72" s="33">
        <f>SUM('Prod. GEXCTB'!N8:Q8)</f>
        <v>2</v>
      </c>
      <c r="F72" s="34">
        <f t="shared" si="1"/>
        <v>0</v>
      </c>
      <c r="G72"/>
      <c r="H72" s="35" t="s">
        <v>85</v>
      </c>
      <c r="I72" s="651"/>
      <c r="J72" s="32"/>
      <c r="K72" s="33">
        <f>SUM('Prod. GEXPGR'!N8:Q8)</f>
        <v>2</v>
      </c>
      <c r="L72" s="34">
        <f t="shared" si="0"/>
        <v>0</v>
      </c>
    </row>
    <row r="73" spans="1:14" x14ac:dyDescent="0.2">
      <c r="B73" s="35" t="s">
        <v>86</v>
      </c>
      <c r="C73" s="31"/>
      <c r="D73" s="32"/>
      <c r="E73" s="33">
        <f>SUM('Prod. GEXCTB'!N9:Q9)</f>
        <v>11</v>
      </c>
      <c r="F73" s="34">
        <f t="shared" si="1"/>
        <v>0</v>
      </c>
      <c r="G73"/>
      <c r="H73" s="35" t="s">
        <v>87</v>
      </c>
      <c r="I73" s="651"/>
      <c r="J73" s="32"/>
      <c r="K73" s="33">
        <f>SUM('Prod. GEXPGR'!N9:Q9)</f>
        <v>2</v>
      </c>
      <c r="L73" s="34">
        <f t="shared" si="0"/>
        <v>0</v>
      </c>
    </row>
    <row r="74" spans="1:14" x14ac:dyDescent="0.2">
      <c r="B74" s="35" t="s">
        <v>88</v>
      </c>
      <c r="C74" s="31"/>
      <c r="D74" s="32"/>
      <c r="E74" s="33">
        <f>SUM('Prod. GEXCTB'!N10:Q10)</f>
        <v>4</v>
      </c>
      <c r="F74" s="34">
        <f t="shared" si="1"/>
        <v>0</v>
      </c>
      <c r="G74"/>
      <c r="H74" s="649" t="s">
        <v>89</v>
      </c>
      <c r="I74" s="437"/>
      <c r="J74" s="32"/>
      <c r="K74" s="33">
        <f>SUM('Prod. GEXPGR'!N10:Q10)</f>
        <v>1</v>
      </c>
      <c r="L74" s="34">
        <f t="shared" si="0"/>
        <v>0</v>
      </c>
    </row>
    <row r="75" spans="1:14" x14ac:dyDescent="0.2">
      <c r="B75" s="35" t="s">
        <v>90</v>
      </c>
      <c r="C75" s="31"/>
      <c r="D75" s="32"/>
      <c r="E75" s="33">
        <f>SUM('Prod. GEXCTB'!N11:Q11)</f>
        <v>2</v>
      </c>
      <c r="F75" s="34">
        <f t="shared" si="1"/>
        <v>0</v>
      </c>
      <c r="G75"/>
      <c r="H75" s="648" t="s">
        <v>91</v>
      </c>
      <c r="I75" s="652"/>
      <c r="J75" s="32"/>
      <c r="K75" s="33">
        <f>SUM('Prod. GEXPGR'!N11:Q11)</f>
        <v>2</v>
      </c>
      <c r="L75" s="34">
        <f t="shared" si="0"/>
        <v>0</v>
      </c>
    </row>
    <row r="76" spans="1:14" x14ac:dyDescent="0.2">
      <c r="B76" s="35" t="s">
        <v>92</v>
      </c>
      <c r="C76" s="31"/>
      <c r="D76" s="32"/>
      <c r="E76" s="33">
        <f>SUM('Prod. GEXCTB'!N12:Q12)</f>
        <v>2</v>
      </c>
      <c r="F76" s="34">
        <f t="shared" si="1"/>
        <v>0</v>
      </c>
      <c r="G76"/>
      <c r="H76" s="648" t="s">
        <v>93</v>
      </c>
      <c r="I76" s="652"/>
      <c r="J76" s="32"/>
      <c r="K76" s="33">
        <f>SUM('Prod. GEXPGR'!N12:Q12)</f>
        <v>3</v>
      </c>
      <c r="L76" s="34">
        <f t="shared" si="0"/>
        <v>0</v>
      </c>
    </row>
    <row r="77" spans="1:14" x14ac:dyDescent="0.2">
      <c r="B77" s="35" t="s">
        <v>94</v>
      </c>
      <c r="C77" s="31"/>
      <c r="D77" s="32"/>
      <c r="E77" s="33">
        <f>SUM('Prod. GEXCTB'!N13:Q13)</f>
        <v>2</v>
      </c>
      <c r="F77" s="34">
        <f t="shared" si="1"/>
        <v>0</v>
      </c>
      <c r="G77"/>
      <c r="H77" s="650" t="s">
        <v>95</v>
      </c>
      <c r="I77" s="437"/>
      <c r="J77" s="32"/>
      <c r="K77" s="33">
        <f>SUM('Prod. GEXPGR'!N13:Q13)</f>
        <v>2</v>
      </c>
      <c r="L77" s="34">
        <f t="shared" si="0"/>
        <v>0</v>
      </c>
    </row>
    <row r="78" spans="1:14" x14ac:dyDescent="0.2">
      <c r="B78" s="35" t="s">
        <v>96</v>
      </c>
      <c r="C78" s="31"/>
      <c r="D78" s="32"/>
      <c r="E78" s="33">
        <f>SUM('Prod. GEXCTB'!N14:Q14)</f>
        <v>1</v>
      </c>
      <c r="F78" s="34">
        <f t="shared" si="1"/>
        <v>0</v>
      </c>
      <c r="G78"/>
      <c r="H78" s="35" t="s">
        <v>97</v>
      </c>
      <c r="I78" s="437"/>
      <c r="J78" s="32"/>
      <c r="K78" s="33">
        <f>SUM('Prod. GEXPGR'!N14:Q14)</f>
        <v>1</v>
      </c>
      <c r="L78" s="34">
        <f t="shared" si="0"/>
        <v>0</v>
      </c>
    </row>
    <row r="79" spans="1:14" x14ac:dyDescent="0.2">
      <c r="B79" s="35" t="s">
        <v>98</v>
      </c>
      <c r="C79" s="31"/>
      <c r="D79" s="32"/>
      <c r="E79" s="33">
        <f>SUM('Prod. GEXCTB'!N15:Q15)</f>
        <v>1</v>
      </c>
      <c r="F79" s="34">
        <f t="shared" si="1"/>
        <v>0</v>
      </c>
      <c r="G79"/>
      <c r="H79" s="35" t="s">
        <v>99</v>
      </c>
      <c r="I79" s="651"/>
      <c r="J79" s="32"/>
      <c r="K79" s="33">
        <f>SUM('Prod. GEXPGR'!N15:Q15)</f>
        <v>1</v>
      </c>
      <c r="L79" s="34" t="s">
        <v>80</v>
      </c>
    </row>
    <row r="80" spans="1:14" x14ac:dyDescent="0.2">
      <c r="B80" s="35" t="s">
        <v>100</v>
      </c>
      <c r="C80" s="31"/>
      <c r="D80" s="32"/>
      <c r="E80" s="33">
        <f>SUM('Prod. GEXCTB'!N16:Q16)</f>
        <v>2</v>
      </c>
      <c r="F80" s="34">
        <f t="shared" si="1"/>
        <v>0</v>
      </c>
      <c r="G80"/>
      <c r="H80" s="35" t="s">
        <v>101</v>
      </c>
      <c r="I80" s="437"/>
      <c r="J80" s="32"/>
      <c r="K80" s="33">
        <f>SUM('Prod. GEXPGR'!N16:Q16)</f>
        <v>1</v>
      </c>
      <c r="L80" s="34">
        <f>K80*J80</f>
        <v>0</v>
      </c>
    </row>
    <row r="81" spans="2:12" x14ac:dyDescent="0.2">
      <c r="B81" s="35" t="s">
        <v>102</v>
      </c>
      <c r="C81" s="31"/>
      <c r="D81" s="32"/>
      <c r="E81" s="33">
        <f>SUM('Prod. GEXCTB'!N17:Q17)</f>
        <v>1</v>
      </c>
      <c r="F81" s="34">
        <f t="shared" si="1"/>
        <v>0</v>
      </c>
      <c r="G81"/>
      <c r="H81" s="35" t="s">
        <v>103</v>
      </c>
      <c r="I81" s="437"/>
      <c r="J81" s="32"/>
      <c r="K81" s="33">
        <f>SUM('Prod. GEXPGR'!N17:Q17)</f>
        <v>1</v>
      </c>
      <c r="L81" s="34" t="s">
        <v>80</v>
      </c>
    </row>
    <row r="82" spans="2:12" x14ac:dyDescent="0.2">
      <c r="B82" s="35" t="s">
        <v>104</v>
      </c>
      <c r="C82" s="31"/>
      <c r="D82" s="32"/>
      <c r="E82" s="33">
        <f>SUM('Prod. GEXCTB'!N18:Q18)</f>
        <v>1</v>
      </c>
      <c r="F82" s="34">
        <f t="shared" si="1"/>
        <v>0</v>
      </c>
      <c r="G82"/>
      <c r="H82" s="35" t="s">
        <v>105</v>
      </c>
      <c r="I82" s="437"/>
      <c r="J82" s="32"/>
      <c r="K82" s="33">
        <f>SUM('Prod. GEXPGR'!N18:Q18)</f>
        <v>1</v>
      </c>
      <c r="L82" s="34" t="s">
        <v>80</v>
      </c>
    </row>
    <row r="83" spans="2:12" x14ac:dyDescent="0.2">
      <c r="B83" s="35" t="s">
        <v>106</v>
      </c>
      <c r="C83" s="31"/>
      <c r="D83" s="32"/>
      <c r="E83" s="33">
        <f>SUM('Prod. GEXCTB'!N19:Q19)</f>
        <v>1</v>
      </c>
      <c r="F83" s="34">
        <f t="shared" si="1"/>
        <v>0</v>
      </c>
      <c r="G83"/>
      <c r="H83" s="35" t="s">
        <v>107</v>
      </c>
      <c r="I83" s="651"/>
      <c r="J83" s="32"/>
      <c r="K83" s="33">
        <f>SUM('Prod. GEXPGR'!N19:Q19)</f>
        <v>1</v>
      </c>
      <c r="L83" s="34" t="s">
        <v>80</v>
      </c>
    </row>
    <row r="84" spans="2:12" x14ac:dyDescent="0.2">
      <c r="B84" s="40" t="s">
        <v>108</v>
      </c>
      <c r="C84"/>
      <c r="D84" s="41" t="e">
        <f>AVERAGE(D68:D83)</f>
        <v>#DIV/0!</v>
      </c>
      <c r="E84" s="33">
        <f>SUM(E68:E83)</f>
        <v>62</v>
      </c>
      <c r="F84" s="34">
        <f>SUM(F68:F83)</f>
        <v>0</v>
      </c>
      <c r="G84"/>
      <c r="H84" s="35" t="s">
        <v>109</v>
      </c>
      <c r="I84" s="651"/>
      <c r="J84" s="32"/>
      <c r="K84" s="33">
        <f>SUM('Prod. GEXPGR'!N20:Q20)</f>
        <v>1</v>
      </c>
      <c r="L84" s="34">
        <f>K84*J84</f>
        <v>0</v>
      </c>
    </row>
    <row r="85" spans="2:12" x14ac:dyDescent="0.2">
      <c r="B85" s="416" t="s">
        <v>110</v>
      </c>
      <c r="C85" s="417"/>
      <c r="D85" s="418">
        <f>F84/E84</f>
        <v>0</v>
      </c>
      <c r="E85"/>
      <c r="F85"/>
      <c r="G85"/>
      <c r="H85" s="35" t="s">
        <v>111</v>
      </c>
      <c r="I85" s="651"/>
      <c r="J85" s="32"/>
      <c r="K85" s="33">
        <f>SUM('Prod. GEXPGR'!N21:Q21)</f>
        <v>1</v>
      </c>
      <c r="L85" s="34">
        <f>K85*J85</f>
        <v>0</v>
      </c>
    </row>
    <row r="86" spans="2:12" x14ac:dyDescent="0.2">
      <c r="B86"/>
      <c r="C86"/>
      <c r="D86"/>
      <c r="E86"/>
      <c r="F86"/>
      <c r="G86"/>
      <c r="H86" s="40" t="s">
        <v>108</v>
      </c>
      <c r="I86"/>
      <c r="J86" s="41" t="e">
        <f>AVERAGE(J68:J85)</f>
        <v>#DIV/0!</v>
      </c>
      <c r="K86" s="33">
        <f>SUM(K68:K85)-K79-K81-K82-K83</f>
        <v>29</v>
      </c>
      <c r="L86" s="34">
        <f>SUM(L68:L85)</f>
        <v>0</v>
      </c>
    </row>
    <row r="87" spans="2:12" x14ac:dyDescent="0.2">
      <c r="B87"/>
      <c r="C87"/>
      <c r="D87"/>
      <c r="E87"/>
      <c r="F87"/>
      <c r="G87"/>
      <c r="H87" s="416" t="s">
        <v>110</v>
      </c>
      <c r="I87" s="417"/>
      <c r="J87" s="418">
        <f>L86/K86</f>
        <v>0</v>
      </c>
      <c r="K87" s="4"/>
      <c r="L87" s="4"/>
    </row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6545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  <row r="1048510" ht="12.75" customHeight="1" x14ac:dyDescent="0.2"/>
  </sheetData>
  <mergeCells count="37">
    <mergeCell ref="B1:L1"/>
    <mergeCell ref="C3:D3"/>
    <mergeCell ref="C4:D4"/>
    <mergeCell ref="B6:L6"/>
    <mergeCell ref="C9:E9"/>
    <mergeCell ref="B14:L14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C42:L42"/>
    <mergeCell ref="C43:D43"/>
    <mergeCell ref="C44:D44"/>
    <mergeCell ref="C45:D45"/>
    <mergeCell ref="B36:L36"/>
    <mergeCell ref="B37:L37"/>
    <mergeCell ref="B39:L39"/>
    <mergeCell ref="B40:L40"/>
    <mergeCell ref="C41:L41"/>
    <mergeCell ref="C46:D46"/>
    <mergeCell ref="C47:D47"/>
    <mergeCell ref="C48:D48"/>
    <mergeCell ref="C49:D49"/>
    <mergeCell ref="C50:D50"/>
    <mergeCell ref="C51:D51"/>
    <mergeCell ref="C52:L52"/>
    <mergeCell ref="C55:L55"/>
    <mergeCell ref="B66:L66"/>
    <mergeCell ref="B57:L57"/>
    <mergeCell ref="C58:L58"/>
    <mergeCell ref="B62:L62"/>
    <mergeCell ref="B53:E5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J147"/>
  <sheetViews>
    <sheetView showGridLines="0" zoomScale="80" zoomScaleNormal="80" workbookViewId="0">
      <pane xSplit="2" topLeftCell="C1" activePane="topRight" state="frozen"/>
      <selection pane="topRight" activeCell="K152" sqref="K152"/>
    </sheetView>
  </sheetViews>
  <sheetFormatPr defaultRowHeight="14.25" x14ac:dyDescent="0.2"/>
  <cols>
    <col min="1" max="1" width="51.625" style="42" customWidth="1"/>
    <col min="2" max="2" width="18.875" style="42" customWidth="1"/>
    <col min="3" max="7" width="13.125" style="42" customWidth="1"/>
    <col min="8" max="8" width="14.375" style="42" customWidth="1"/>
    <col min="9" max="9" width="13.625" style="42" customWidth="1"/>
    <col min="10" max="10" width="9" style="42"/>
    <col min="11" max="11" width="91.625" style="42" customWidth="1"/>
    <col min="12" max="1024" width="9" style="42"/>
  </cols>
  <sheetData>
    <row r="1" spans="1:1024" s="43" customFormat="1" ht="20.25" customHeight="1" thickBot="1" x14ac:dyDescent="0.25">
      <c r="A1" s="835" t="s">
        <v>112</v>
      </c>
      <c r="B1" s="836"/>
      <c r="C1" s="836"/>
      <c r="D1" s="836"/>
      <c r="E1" s="836"/>
      <c r="F1" s="836"/>
      <c r="G1" s="836"/>
      <c r="H1" s="837"/>
      <c r="I1" s="656" t="s">
        <v>113</v>
      </c>
      <c r="J1" s="656"/>
      <c r="K1" s="656"/>
    </row>
    <row r="2" spans="1:1024" ht="52.5" customHeight="1" thickBot="1" x14ac:dyDescent="0.25">
      <c r="A2" s="44" t="s">
        <v>114</v>
      </c>
      <c r="B2" s="45" t="s">
        <v>115</v>
      </c>
      <c r="C2" s="45" t="s">
        <v>116</v>
      </c>
      <c r="D2" s="45" t="s">
        <v>117</v>
      </c>
      <c r="E2" s="45" t="s">
        <v>118</v>
      </c>
      <c r="F2" s="46" t="s">
        <v>119</v>
      </c>
      <c r="G2" s="47" t="s">
        <v>120</v>
      </c>
      <c r="H2" s="48" t="s">
        <v>121</v>
      </c>
      <c r="I2" s="49" t="s">
        <v>122</v>
      </c>
      <c r="J2" s="49"/>
      <c r="K2" s="4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H2"/>
      <c r="AMI2"/>
      <c r="AMJ2"/>
    </row>
    <row r="3" spans="1:1024" ht="15" customHeight="1" x14ac:dyDescent="0.2">
      <c r="A3" s="502" t="s">
        <v>123</v>
      </c>
      <c r="B3" s="503" t="s">
        <v>124</v>
      </c>
      <c r="C3" s="657">
        <v>0.31</v>
      </c>
      <c r="D3" s="504"/>
      <c r="E3" s="504"/>
      <c r="F3" s="52">
        <f t="shared" ref="F3:F36" si="0">(D3+E3)/2</f>
        <v>0</v>
      </c>
      <c r="G3" s="53">
        <f>C3*F3</f>
        <v>0</v>
      </c>
      <c r="H3" s="54" t="s">
        <v>125</v>
      </c>
      <c r="I3" s="49" t="s">
        <v>126</v>
      </c>
      <c r="J3" s="49"/>
      <c r="K3" s="49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H3"/>
      <c r="AMI3"/>
      <c r="AMJ3"/>
    </row>
    <row r="4" spans="1:1024" ht="15" customHeight="1" x14ac:dyDescent="0.2">
      <c r="A4" s="502" t="s">
        <v>127</v>
      </c>
      <c r="B4" s="503" t="s">
        <v>124</v>
      </c>
      <c r="C4" s="657">
        <v>4.74</v>
      </c>
      <c r="D4" s="504"/>
      <c r="E4" s="504"/>
      <c r="F4" s="52">
        <f t="shared" si="0"/>
        <v>0</v>
      </c>
      <c r="G4" s="53">
        <f t="shared" ref="G4:G36" si="1">C4*F4</f>
        <v>0</v>
      </c>
      <c r="H4" s="56" t="s">
        <v>128</v>
      </c>
      <c r="I4" s="49" t="s">
        <v>129</v>
      </c>
      <c r="J4" s="49"/>
      <c r="K4" s="49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H4"/>
      <c r="AMI4"/>
      <c r="AMJ4"/>
    </row>
    <row r="5" spans="1:1024" ht="15" customHeight="1" x14ac:dyDescent="0.2">
      <c r="A5" s="502" t="s">
        <v>130</v>
      </c>
      <c r="B5" s="503" t="s">
        <v>131</v>
      </c>
      <c r="C5" s="657">
        <v>2.02</v>
      </c>
      <c r="D5" s="504"/>
      <c r="E5" s="504"/>
      <c r="F5" s="52">
        <f t="shared" si="0"/>
        <v>0</v>
      </c>
      <c r="G5" s="53">
        <f t="shared" si="1"/>
        <v>0</v>
      </c>
      <c r="H5" s="56" t="s">
        <v>132</v>
      </c>
      <c r="I5" s="49" t="s">
        <v>133</v>
      </c>
      <c r="J5" s="658"/>
      <c r="K5" s="659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H5"/>
      <c r="AMI5"/>
      <c r="AMJ5"/>
    </row>
    <row r="6" spans="1:1024" ht="15" customHeight="1" thickBot="1" x14ac:dyDescent="0.25">
      <c r="A6" s="502" t="s">
        <v>134</v>
      </c>
      <c r="B6" s="503" t="s">
        <v>124</v>
      </c>
      <c r="C6" s="657">
        <v>2.52</v>
      </c>
      <c r="D6" s="504"/>
      <c r="E6" s="504"/>
      <c r="F6" s="52">
        <f t="shared" si="0"/>
        <v>0</v>
      </c>
      <c r="G6" s="53">
        <f t="shared" si="1"/>
        <v>0</v>
      </c>
      <c r="H6" s="56" t="s">
        <v>132</v>
      </c>
      <c r="I6" s="58" t="s">
        <v>135</v>
      </c>
      <c r="J6" s="58"/>
      <c r="K6" s="5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H6"/>
      <c r="AMI6"/>
      <c r="AMJ6"/>
    </row>
    <row r="7" spans="1:1024" ht="15" customHeight="1" x14ac:dyDescent="0.2">
      <c r="A7" s="502" t="s">
        <v>136</v>
      </c>
      <c r="B7" s="503" t="s">
        <v>137</v>
      </c>
      <c r="C7" s="657">
        <v>0.3</v>
      </c>
      <c r="D7" s="504"/>
      <c r="E7" s="504"/>
      <c r="F7" s="52">
        <f t="shared" si="0"/>
        <v>0</v>
      </c>
      <c r="G7" s="53">
        <f t="shared" si="1"/>
        <v>0</v>
      </c>
      <c r="H7" s="56" t="s">
        <v>138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I7"/>
      <c r="AMJ7"/>
    </row>
    <row r="8" spans="1:1024" ht="15" customHeight="1" x14ac:dyDescent="0.2">
      <c r="A8" s="502" t="s">
        <v>139</v>
      </c>
      <c r="B8" s="503" t="s">
        <v>137</v>
      </c>
      <c r="C8" s="657">
        <v>1.35</v>
      </c>
      <c r="D8" s="504"/>
      <c r="E8" s="504"/>
      <c r="F8" s="52">
        <f t="shared" si="0"/>
        <v>0</v>
      </c>
      <c r="G8" s="53">
        <f t="shared" si="1"/>
        <v>0</v>
      </c>
      <c r="H8" s="56" t="s">
        <v>140</v>
      </c>
      <c r="I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I8"/>
      <c r="AMJ8"/>
    </row>
    <row r="9" spans="1:1024" ht="15" customHeight="1" x14ac:dyDescent="0.2">
      <c r="A9" s="502" t="s">
        <v>141</v>
      </c>
      <c r="B9" s="503" t="s">
        <v>137</v>
      </c>
      <c r="C9" s="657">
        <v>0.2</v>
      </c>
      <c r="D9" s="504"/>
      <c r="E9" s="504"/>
      <c r="F9" s="52">
        <f t="shared" si="0"/>
        <v>0</v>
      </c>
      <c r="G9" s="53">
        <f t="shared" si="1"/>
        <v>0</v>
      </c>
      <c r="H9" s="56" t="s">
        <v>142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I9"/>
      <c r="AMJ9"/>
    </row>
    <row r="10" spans="1:1024" ht="15" customHeight="1" x14ac:dyDescent="0.2">
      <c r="A10" s="502" t="s">
        <v>143</v>
      </c>
      <c r="B10" s="503" t="s">
        <v>137</v>
      </c>
      <c r="C10" s="657">
        <v>0.5</v>
      </c>
      <c r="D10" s="504"/>
      <c r="E10" s="504"/>
      <c r="F10" s="52">
        <f t="shared" si="0"/>
        <v>0</v>
      </c>
      <c r="G10" s="53">
        <f t="shared" si="1"/>
        <v>0</v>
      </c>
      <c r="H10" s="56" t="s">
        <v>144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I10"/>
      <c r="AMJ10"/>
    </row>
    <row r="11" spans="1:1024" ht="15" customHeight="1" x14ac:dyDescent="0.2">
      <c r="A11" s="502" t="s">
        <v>145</v>
      </c>
      <c r="B11" s="503" t="s">
        <v>131</v>
      </c>
      <c r="C11" s="657">
        <v>1.43</v>
      </c>
      <c r="D11" s="504"/>
      <c r="E11" s="504"/>
      <c r="F11" s="52">
        <f t="shared" si="0"/>
        <v>0</v>
      </c>
      <c r="G11" s="53">
        <f t="shared" si="1"/>
        <v>0</v>
      </c>
      <c r="H11" s="56" t="s">
        <v>146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I11"/>
      <c r="AMJ11"/>
    </row>
    <row r="12" spans="1:1024" ht="15" customHeight="1" x14ac:dyDescent="0.2">
      <c r="A12" s="502" t="s">
        <v>147</v>
      </c>
      <c r="B12" s="503" t="s">
        <v>148</v>
      </c>
      <c r="C12" s="657">
        <v>1.0900000000000001</v>
      </c>
      <c r="D12" s="504"/>
      <c r="E12" s="504"/>
      <c r="F12" s="52">
        <f t="shared" si="0"/>
        <v>0</v>
      </c>
      <c r="G12" s="53">
        <f t="shared" si="1"/>
        <v>0</v>
      </c>
      <c r="H12" s="56" t="s">
        <v>149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I12"/>
      <c r="AMJ12"/>
    </row>
    <row r="13" spans="1:1024" ht="15" customHeight="1" x14ac:dyDescent="0.2">
      <c r="A13" s="502" t="s">
        <v>150</v>
      </c>
      <c r="B13" s="503" t="s">
        <v>148</v>
      </c>
      <c r="C13" s="657">
        <v>1.27</v>
      </c>
      <c r="D13" s="504"/>
      <c r="E13" s="504"/>
      <c r="F13" s="52">
        <f t="shared" si="0"/>
        <v>0</v>
      </c>
      <c r="G13" s="53">
        <f t="shared" si="1"/>
        <v>0</v>
      </c>
      <c r="H13" s="56" t="s">
        <v>151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I13"/>
      <c r="AMJ13"/>
    </row>
    <row r="14" spans="1:1024" ht="15" customHeight="1" x14ac:dyDescent="0.2">
      <c r="A14" s="502" t="s">
        <v>152</v>
      </c>
      <c r="B14" s="503" t="s">
        <v>148</v>
      </c>
      <c r="C14" s="657">
        <v>2.2200000000000002</v>
      </c>
      <c r="D14" s="504"/>
      <c r="E14" s="504"/>
      <c r="F14" s="52">
        <f t="shared" si="0"/>
        <v>0</v>
      </c>
      <c r="G14" s="53">
        <f t="shared" si="1"/>
        <v>0</v>
      </c>
      <c r="H14" s="56" t="s">
        <v>140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I14"/>
      <c r="AMJ14"/>
    </row>
    <row r="15" spans="1:1024" ht="15" customHeight="1" x14ac:dyDescent="0.2">
      <c r="A15" s="502" t="s">
        <v>153</v>
      </c>
      <c r="B15" s="503" t="s">
        <v>148</v>
      </c>
      <c r="C15" s="657">
        <v>2.41</v>
      </c>
      <c r="D15" s="504"/>
      <c r="E15" s="504"/>
      <c r="F15" s="52">
        <f t="shared" si="0"/>
        <v>0</v>
      </c>
      <c r="G15" s="53">
        <f t="shared" si="1"/>
        <v>0</v>
      </c>
      <c r="H15" s="56" t="s">
        <v>154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F15"/>
      <c r="AMG15"/>
      <c r="AMH15"/>
      <c r="AMI15"/>
      <c r="AMJ15"/>
    </row>
    <row r="16" spans="1:1024" ht="15" customHeight="1" x14ac:dyDescent="0.2">
      <c r="A16" s="502" t="s">
        <v>155</v>
      </c>
      <c r="B16" s="503" t="s">
        <v>148</v>
      </c>
      <c r="C16" s="657">
        <v>0.25</v>
      </c>
      <c r="D16" s="504"/>
      <c r="E16" s="504"/>
      <c r="F16" s="52">
        <f t="shared" si="0"/>
        <v>0</v>
      </c>
      <c r="G16" s="53">
        <f t="shared" si="1"/>
        <v>0</v>
      </c>
      <c r="H16" s="56" t="s">
        <v>156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F16"/>
      <c r="AMG16"/>
      <c r="AMH16"/>
      <c r="AMI16"/>
      <c r="AMJ16"/>
    </row>
    <row r="17" spans="1:1024" ht="15" customHeight="1" x14ac:dyDescent="0.2">
      <c r="A17" s="502" t="s">
        <v>157</v>
      </c>
      <c r="B17" s="503" t="s">
        <v>158</v>
      </c>
      <c r="C17" s="657">
        <v>0.65</v>
      </c>
      <c r="D17" s="504"/>
      <c r="E17" s="504"/>
      <c r="F17" s="52">
        <f t="shared" si="0"/>
        <v>0</v>
      </c>
      <c r="G17" s="53">
        <f t="shared" si="1"/>
        <v>0</v>
      </c>
      <c r="H17" s="56" t="s">
        <v>146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F17"/>
      <c r="AMG17"/>
      <c r="AMH17"/>
      <c r="AMI17"/>
      <c r="AMJ17"/>
    </row>
    <row r="18" spans="1:1024" ht="15" customHeight="1" x14ac:dyDescent="0.2">
      <c r="A18" s="502" t="s">
        <v>159</v>
      </c>
      <c r="B18" s="503" t="s">
        <v>131</v>
      </c>
      <c r="C18" s="657">
        <v>0.22</v>
      </c>
      <c r="D18" s="504"/>
      <c r="E18" s="504"/>
      <c r="F18" s="52">
        <f t="shared" si="0"/>
        <v>0</v>
      </c>
      <c r="G18" s="53">
        <f t="shared" si="1"/>
        <v>0</v>
      </c>
      <c r="H18" s="56" t="s">
        <v>160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F18"/>
      <c r="AMG18"/>
      <c r="AMH18"/>
      <c r="AMI18"/>
      <c r="AMJ18"/>
    </row>
    <row r="19" spans="1:1024" ht="15" customHeight="1" x14ac:dyDescent="0.2">
      <c r="A19" s="502" t="s">
        <v>161</v>
      </c>
      <c r="B19" s="503" t="s">
        <v>162</v>
      </c>
      <c r="C19" s="657">
        <v>1.61</v>
      </c>
      <c r="D19" s="504"/>
      <c r="E19" s="504"/>
      <c r="F19" s="52">
        <f t="shared" si="0"/>
        <v>0</v>
      </c>
      <c r="G19" s="53">
        <f t="shared" si="1"/>
        <v>0</v>
      </c>
      <c r="H19" s="56" t="s">
        <v>163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F19"/>
      <c r="AMG19"/>
      <c r="AMH19"/>
      <c r="AMI19"/>
      <c r="AMJ19"/>
    </row>
    <row r="20" spans="1:1024" ht="15" customHeight="1" x14ac:dyDescent="0.2">
      <c r="A20" s="502" t="s">
        <v>164</v>
      </c>
      <c r="B20" s="503" t="s">
        <v>131</v>
      </c>
      <c r="C20" s="657">
        <v>2.2000000000000002</v>
      </c>
      <c r="D20" s="504"/>
      <c r="E20" s="504"/>
      <c r="F20" s="52">
        <f t="shared" si="0"/>
        <v>0</v>
      </c>
      <c r="G20" s="53">
        <f t="shared" si="1"/>
        <v>0</v>
      </c>
      <c r="H20" s="56" t="s">
        <v>144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F20"/>
      <c r="AMG20"/>
      <c r="AMH20"/>
      <c r="AMI20"/>
      <c r="AMJ20"/>
    </row>
    <row r="21" spans="1:1024" ht="15" customHeight="1" x14ac:dyDescent="0.2">
      <c r="A21" s="502" t="s">
        <v>165</v>
      </c>
      <c r="B21" s="503" t="s">
        <v>166</v>
      </c>
      <c r="C21" s="657">
        <v>0.3</v>
      </c>
      <c r="D21" s="504"/>
      <c r="E21" s="504"/>
      <c r="F21" s="52">
        <f t="shared" si="0"/>
        <v>0</v>
      </c>
      <c r="G21" s="53">
        <f t="shared" si="1"/>
        <v>0</v>
      </c>
      <c r="H21" s="56" t="s">
        <v>132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F21"/>
      <c r="AMG21"/>
      <c r="AMH21"/>
      <c r="AMI21"/>
      <c r="AMJ21"/>
    </row>
    <row r="22" spans="1:1024" ht="15" customHeight="1" x14ac:dyDescent="0.2">
      <c r="A22" s="502" t="s">
        <v>167</v>
      </c>
      <c r="B22" s="503" t="s">
        <v>168</v>
      </c>
      <c r="C22" s="657">
        <v>2.2999999999999998</v>
      </c>
      <c r="D22" s="504"/>
      <c r="E22" s="504"/>
      <c r="F22" s="52">
        <f t="shared" si="0"/>
        <v>0</v>
      </c>
      <c r="G22" s="53">
        <f t="shared" si="1"/>
        <v>0</v>
      </c>
      <c r="H22" s="56" t="s">
        <v>144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F22"/>
      <c r="AMG22"/>
      <c r="AMH22"/>
      <c r="AMI22"/>
      <c r="AMJ22"/>
    </row>
    <row r="23" spans="1:1024" ht="15" customHeight="1" x14ac:dyDescent="0.2">
      <c r="A23" s="502" t="s">
        <v>169</v>
      </c>
      <c r="B23" s="503" t="s">
        <v>148</v>
      </c>
      <c r="C23" s="657">
        <v>1.48</v>
      </c>
      <c r="D23" s="504"/>
      <c r="E23" s="504"/>
      <c r="F23" s="52">
        <f t="shared" si="0"/>
        <v>0</v>
      </c>
      <c r="G23" s="53">
        <f t="shared" si="1"/>
        <v>0</v>
      </c>
      <c r="H23" s="56" t="s">
        <v>146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F23"/>
      <c r="AMG23"/>
      <c r="AMH23"/>
      <c r="AMI23"/>
      <c r="AMJ23"/>
    </row>
    <row r="24" spans="1:1024" ht="15" customHeight="1" x14ac:dyDescent="0.2">
      <c r="A24" s="502" t="s">
        <v>170</v>
      </c>
      <c r="B24" s="503" t="s">
        <v>148</v>
      </c>
      <c r="C24" s="657">
        <v>2.58</v>
      </c>
      <c r="D24" s="504"/>
      <c r="E24" s="504"/>
      <c r="F24" s="52">
        <f t="shared" si="0"/>
        <v>0</v>
      </c>
      <c r="G24" s="53">
        <f t="shared" si="1"/>
        <v>0</v>
      </c>
      <c r="H24" s="56" t="s">
        <v>144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F24"/>
      <c r="AMG24"/>
      <c r="AMH24"/>
      <c r="AMI24"/>
      <c r="AMJ24"/>
    </row>
    <row r="25" spans="1:1024" ht="15" customHeight="1" x14ac:dyDescent="0.2">
      <c r="A25" s="502" t="s">
        <v>171</v>
      </c>
      <c r="B25" s="503" t="s">
        <v>172</v>
      </c>
      <c r="C25" s="657">
        <v>0.62</v>
      </c>
      <c r="D25" s="504"/>
      <c r="E25" s="504"/>
      <c r="F25" s="52">
        <f t="shared" si="0"/>
        <v>0</v>
      </c>
      <c r="G25" s="53">
        <f t="shared" si="1"/>
        <v>0</v>
      </c>
      <c r="H25" s="56" t="s">
        <v>146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F25"/>
      <c r="AMG25"/>
      <c r="AMH25"/>
      <c r="AMI25"/>
      <c r="AMJ25"/>
    </row>
    <row r="26" spans="1:1024" ht="15" customHeight="1" x14ac:dyDescent="0.2">
      <c r="A26" s="502" t="s">
        <v>173</v>
      </c>
      <c r="B26" s="503" t="s">
        <v>174</v>
      </c>
      <c r="C26" s="657">
        <v>2.41</v>
      </c>
      <c r="D26" s="504"/>
      <c r="E26" s="504"/>
      <c r="F26" s="52">
        <f t="shared" si="0"/>
        <v>0</v>
      </c>
      <c r="G26" s="53">
        <f t="shared" si="1"/>
        <v>0</v>
      </c>
      <c r="H26" s="56" t="s">
        <v>146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F26"/>
      <c r="AMG26"/>
      <c r="AMH26"/>
      <c r="AMI26"/>
      <c r="AMJ26"/>
    </row>
    <row r="27" spans="1:1024" ht="15" customHeight="1" x14ac:dyDescent="0.2">
      <c r="A27" s="502" t="s">
        <v>175</v>
      </c>
      <c r="B27" s="503" t="s">
        <v>176</v>
      </c>
      <c r="C27" s="657">
        <v>5.88</v>
      </c>
      <c r="D27" s="504"/>
      <c r="E27" s="504"/>
      <c r="F27" s="52">
        <f t="shared" si="0"/>
        <v>0</v>
      </c>
      <c r="G27" s="53">
        <f t="shared" si="1"/>
        <v>0</v>
      </c>
      <c r="H27" s="56" t="s">
        <v>146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F27"/>
      <c r="AMG27"/>
      <c r="AMH27"/>
      <c r="AMI27"/>
      <c r="AMJ27"/>
    </row>
    <row r="28" spans="1:1024" ht="15" customHeight="1" x14ac:dyDescent="0.2">
      <c r="A28" s="502" t="s">
        <v>177</v>
      </c>
      <c r="B28" s="503" t="s">
        <v>178</v>
      </c>
      <c r="C28" s="657">
        <v>2.75</v>
      </c>
      <c r="D28" s="504"/>
      <c r="E28" s="504"/>
      <c r="F28" s="52">
        <f t="shared" si="0"/>
        <v>0</v>
      </c>
      <c r="G28" s="53">
        <f t="shared" si="1"/>
        <v>0</v>
      </c>
      <c r="H28" s="56" t="s">
        <v>146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I28"/>
      <c r="AMJ28"/>
    </row>
    <row r="29" spans="1:1024" ht="15" customHeight="1" x14ac:dyDescent="0.2">
      <c r="A29" s="502" t="s">
        <v>179</v>
      </c>
      <c r="B29" s="503" t="s">
        <v>137</v>
      </c>
      <c r="C29" s="657">
        <v>0.67</v>
      </c>
      <c r="D29" s="504"/>
      <c r="E29" s="504"/>
      <c r="F29" s="52">
        <f t="shared" si="0"/>
        <v>0</v>
      </c>
      <c r="G29" s="53">
        <f t="shared" si="1"/>
        <v>0</v>
      </c>
      <c r="H29" s="56" t="s">
        <v>144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I29"/>
      <c r="AMJ29"/>
    </row>
    <row r="30" spans="1:1024" ht="15" customHeight="1" x14ac:dyDescent="0.2">
      <c r="A30" s="502" t="s">
        <v>180</v>
      </c>
      <c r="B30" s="503" t="s">
        <v>148</v>
      </c>
      <c r="C30" s="657">
        <v>1.2</v>
      </c>
      <c r="D30" s="504"/>
      <c r="E30" s="504"/>
      <c r="F30" s="52">
        <f t="shared" si="0"/>
        <v>0</v>
      </c>
      <c r="G30" s="53">
        <f t="shared" si="1"/>
        <v>0</v>
      </c>
      <c r="H30" s="56" t="s">
        <v>144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I30"/>
      <c r="AMJ30"/>
    </row>
    <row r="31" spans="1:1024" ht="15" customHeight="1" x14ac:dyDescent="0.2">
      <c r="A31" s="502" t="s">
        <v>181</v>
      </c>
      <c r="B31" s="503" t="s">
        <v>182</v>
      </c>
      <c r="C31" s="657">
        <v>0.79</v>
      </c>
      <c r="D31" s="504"/>
      <c r="E31" s="504"/>
      <c r="F31" s="52">
        <f t="shared" si="0"/>
        <v>0</v>
      </c>
      <c r="G31" s="53">
        <f t="shared" si="1"/>
        <v>0</v>
      </c>
      <c r="H31" s="56" t="s">
        <v>144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I31"/>
      <c r="AMJ31"/>
    </row>
    <row r="32" spans="1:1024" ht="15" customHeight="1" x14ac:dyDescent="0.2">
      <c r="A32" s="502" t="s">
        <v>183</v>
      </c>
      <c r="B32" s="503" t="s">
        <v>137</v>
      </c>
      <c r="C32" s="657">
        <v>0.77</v>
      </c>
      <c r="D32" s="504"/>
      <c r="E32" s="504"/>
      <c r="F32" s="52">
        <f t="shared" si="0"/>
        <v>0</v>
      </c>
      <c r="G32" s="53">
        <f t="shared" si="1"/>
        <v>0</v>
      </c>
      <c r="H32" s="56" t="s">
        <v>146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I32"/>
      <c r="AMJ32"/>
    </row>
    <row r="33" spans="1:1024" ht="15" customHeight="1" x14ac:dyDescent="0.2">
      <c r="A33" s="502" t="s">
        <v>184</v>
      </c>
      <c r="B33" s="503" t="s">
        <v>148</v>
      </c>
      <c r="C33" s="657">
        <v>1.53</v>
      </c>
      <c r="D33" s="504"/>
      <c r="E33" s="504"/>
      <c r="F33" s="52">
        <f t="shared" si="0"/>
        <v>0</v>
      </c>
      <c r="G33" s="53">
        <f t="shared" si="1"/>
        <v>0</v>
      </c>
      <c r="H33" s="56" t="s">
        <v>185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I33"/>
      <c r="AMJ33"/>
    </row>
    <row r="34" spans="1:1024" ht="15" customHeight="1" x14ac:dyDescent="0.2">
      <c r="A34" s="502" t="s">
        <v>186</v>
      </c>
      <c r="B34" s="503" t="s">
        <v>187</v>
      </c>
      <c r="C34" s="657">
        <v>0.68</v>
      </c>
      <c r="D34" s="504"/>
      <c r="E34" s="504"/>
      <c r="F34" s="52">
        <f t="shared" si="0"/>
        <v>0</v>
      </c>
      <c r="G34" s="53">
        <f t="shared" si="1"/>
        <v>0</v>
      </c>
      <c r="H34" s="56" t="s">
        <v>188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I34"/>
      <c r="AMJ34"/>
    </row>
    <row r="35" spans="1:1024" ht="15" customHeight="1" x14ac:dyDescent="0.2">
      <c r="A35" s="502" t="s">
        <v>189</v>
      </c>
      <c r="B35" s="503" t="s">
        <v>187</v>
      </c>
      <c r="C35" s="657">
        <v>0.65</v>
      </c>
      <c r="D35" s="504"/>
      <c r="E35" s="504"/>
      <c r="F35" s="52">
        <f t="shared" si="0"/>
        <v>0</v>
      </c>
      <c r="G35" s="53">
        <f t="shared" si="1"/>
        <v>0</v>
      </c>
      <c r="H35" s="56" t="s">
        <v>188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I35"/>
      <c r="AMJ35"/>
    </row>
    <row r="36" spans="1:1024" ht="15" customHeight="1" thickBot="1" x14ac:dyDescent="0.25">
      <c r="A36" s="660" t="s">
        <v>190</v>
      </c>
      <c r="B36" s="661" t="s">
        <v>187</v>
      </c>
      <c r="C36" s="662">
        <v>1.02</v>
      </c>
      <c r="D36" s="663"/>
      <c r="E36" s="663"/>
      <c r="F36" s="61">
        <f t="shared" si="0"/>
        <v>0</v>
      </c>
      <c r="G36" s="62">
        <f t="shared" si="1"/>
        <v>0</v>
      </c>
      <c r="H36" s="63" t="s">
        <v>144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I36"/>
      <c r="AMJ36"/>
    </row>
    <row r="37" spans="1:1024" ht="20.25" customHeight="1" thickBot="1" x14ac:dyDescent="0.25">
      <c r="A37" s="664" t="s">
        <v>191</v>
      </c>
      <c r="B37" s="665"/>
      <c r="C37" s="665"/>
      <c r="D37" s="665"/>
      <c r="E37" s="665"/>
      <c r="F37" s="665"/>
      <c r="G37" s="666">
        <f>SUM(G3:G36)</f>
        <v>0</v>
      </c>
      <c r="H37" s="66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I37"/>
      <c r="AMJ37"/>
    </row>
    <row r="38" spans="1:1024" ht="45.75" customHeight="1" thickBot="1" x14ac:dyDescent="0.25">
      <c r="A38" s="44" t="s">
        <v>114</v>
      </c>
      <c r="B38" s="45" t="s">
        <v>115</v>
      </c>
      <c r="C38" s="45" t="s">
        <v>192</v>
      </c>
      <c r="D38" s="45" t="s">
        <v>117</v>
      </c>
      <c r="E38" s="45" t="s">
        <v>118</v>
      </c>
      <c r="F38" s="46" t="s">
        <v>119</v>
      </c>
      <c r="G38" s="64" t="s">
        <v>193</v>
      </c>
      <c r="H38" s="65" t="s">
        <v>121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I38"/>
      <c r="AMJ38"/>
    </row>
    <row r="39" spans="1:1024" ht="15" customHeight="1" x14ac:dyDescent="0.2">
      <c r="A39" s="50" t="s">
        <v>194</v>
      </c>
      <c r="B39" s="51" t="s">
        <v>148</v>
      </c>
      <c r="C39" s="657">
        <v>3.19</v>
      </c>
      <c r="D39" s="508"/>
      <c r="E39" s="508"/>
      <c r="F39" s="52">
        <f t="shared" ref="F39:F57" si="2">(D39+E39)/2</f>
        <v>0</v>
      </c>
      <c r="G39" s="66">
        <f>C39*F39/12</f>
        <v>0</v>
      </c>
      <c r="H39" s="509" t="s">
        <v>144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I39"/>
      <c r="AMJ39"/>
    </row>
    <row r="40" spans="1:1024" ht="15" customHeight="1" x14ac:dyDescent="0.2">
      <c r="A40" s="55" t="s">
        <v>195</v>
      </c>
      <c r="B40" s="57" t="s">
        <v>148</v>
      </c>
      <c r="C40" s="657">
        <v>0.75</v>
      </c>
      <c r="D40" s="508"/>
      <c r="E40" s="508"/>
      <c r="F40" s="52">
        <f t="shared" si="2"/>
        <v>0</v>
      </c>
      <c r="G40" s="66">
        <f t="shared" ref="G40:G57" si="3">C40*F40/12</f>
        <v>0</v>
      </c>
      <c r="H40" s="510" t="s">
        <v>146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I40"/>
      <c r="AMJ40"/>
    </row>
    <row r="41" spans="1:1024" ht="15" customHeight="1" x14ac:dyDescent="0.2">
      <c r="A41" s="55" t="s">
        <v>196</v>
      </c>
      <c r="B41" s="57" t="s">
        <v>148</v>
      </c>
      <c r="C41" s="657">
        <v>0.75</v>
      </c>
      <c r="D41" s="508"/>
      <c r="E41" s="508"/>
      <c r="F41" s="52">
        <f t="shared" si="2"/>
        <v>0</v>
      </c>
      <c r="G41" s="66">
        <f t="shared" si="3"/>
        <v>0</v>
      </c>
      <c r="H41" s="510" t="s">
        <v>146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I41"/>
      <c r="AMJ41"/>
    </row>
    <row r="42" spans="1:1024" ht="15" customHeight="1" x14ac:dyDescent="0.2">
      <c r="A42" s="55" t="s">
        <v>197</v>
      </c>
      <c r="B42" s="57" t="s">
        <v>148</v>
      </c>
      <c r="C42" s="657">
        <v>1.94</v>
      </c>
      <c r="D42" s="508"/>
      <c r="E42" s="508"/>
      <c r="F42" s="52">
        <f t="shared" si="2"/>
        <v>0</v>
      </c>
      <c r="G42" s="66">
        <f t="shared" si="3"/>
        <v>0</v>
      </c>
      <c r="H42" s="510" t="s">
        <v>144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I42"/>
      <c r="AMJ42"/>
    </row>
    <row r="43" spans="1:1024" ht="15" customHeight="1" x14ac:dyDescent="0.2">
      <c r="A43" s="55" t="s">
        <v>198</v>
      </c>
      <c r="B43" s="57" t="s">
        <v>148</v>
      </c>
      <c r="C43" s="657">
        <v>2.85</v>
      </c>
      <c r="D43" s="508"/>
      <c r="E43" s="508"/>
      <c r="F43" s="52">
        <f t="shared" si="2"/>
        <v>0</v>
      </c>
      <c r="G43" s="66">
        <f t="shared" si="3"/>
        <v>0</v>
      </c>
      <c r="H43" s="510" t="s">
        <v>146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I43"/>
      <c r="AMJ43"/>
    </row>
    <row r="44" spans="1:1024" ht="15" customHeight="1" x14ac:dyDescent="0.2">
      <c r="A44" s="55" t="s">
        <v>199</v>
      </c>
      <c r="B44" s="57" t="s">
        <v>148</v>
      </c>
      <c r="C44" s="657">
        <v>0.64</v>
      </c>
      <c r="D44" s="508"/>
      <c r="E44" s="508"/>
      <c r="F44" s="52">
        <f t="shared" si="2"/>
        <v>0</v>
      </c>
      <c r="G44" s="66">
        <f t="shared" si="3"/>
        <v>0</v>
      </c>
      <c r="H44" s="510" t="s">
        <v>144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I44"/>
      <c r="AMJ44"/>
    </row>
    <row r="45" spans="1:1024" ht="15" customHeight="1" x14ac:dyDescent="0.2">
      <c r="A45" s="55" t="s">
        <v>200</v>
      </c>
      <c r="B45" s="57" t="s">
        <v>148</v>
      </c>
      <c r="C45" s="657">
        <v>1.6</v>
      </c>
      <c r="D45" s="508"/>
      <c r="E45" s="508"/>
      <c r="F45" s="52">
        <f t="shared" si="2"/>
        <v>0</v>
      </c>
      <c r="G45" s="66">
        <f t="shared" si="3"/>
        <v>0</v>
      </c>
      <c r="H45" s="510" t="s">
        <v>185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I45"/>
      <c r="AMJ45"/>
    </row>
    <row r="46" spans="1:1024" ht="15" customHeight="1" x14ac:dyDescent="0.2">
      <c r="A46" s="55" t="s">
        <v>201</v>
      </c>
      <c r="B46" s="57" t="s">
        <v>148</v>
      </c>
      <c r="C46" s="657">
        <v>0.92</v>
      </c>
      <c r="D46" s="508"/>
      <c r="E46" s="508"/>
      <c r="F46" s="52">
        <f t="shared" si="2"/>
        <v>0</v>
      </c>
      <c r="G46" s="66">
        <f t="shared" si="3"/>
        <v>0</v>
      </c>
      <c r="H46" s="510" t="s">
        <v>144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I46"/>
      <c r="AMJ46"/>
    </row>
    <row r="47" spans="1:1024" ht="15" customHeight="1" x14ac:dyDescent="0.2">
      <c r="A47" s="55" t="s">
        <v>202</v>
      </c>
      <c r="B47" s="57" t="s">
        <v>148</v>
      </c>
      <c r="C47" s="657">
        <v>1</v>
      </c>
      <c r="D47" s="508"/>
      <c r="E47" s="508"/>
      <c r="F47" s="52">
        <f t="shared" si="2"/>
        <v>0</v>
      </c>
      <c r="G47" s="66">
        <f t="shared" si="3"/>
        <v>0</v>
      </c>
      <c r="H47" s="510" t="s">
        <v>188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I47"/>
      <c r="AMJ47"/>
    </row>
    <row r="48" spans="1:1024" ht="15" customHeight="1" x14ac:dyDescent="0.2">
      <c r="A48" s="55" t="s">
        <v>203</v>
      </c>
      <c r="B48" s="57" t="s">
        <v>148</v>
      </c>
      <c r="C48" s="657">
        <v>2.6</v>
      </c>
      <c r="D48" s="508"/>
      <c r="E48" s="508"/>
      <c r="F48" s="52">
        <f t="shared" si="2"/>
        <v>0</v>
      </c>
      <c r="G48" s="66">
        <f t="shared" si="3"/>
        <v>0</v>
      </c>
      <c r="H48" s="510" t="s">
        <v>188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I48"/>
      <c r="AMJ48"/>
    </row>
    <row r="49" spans="1:1024" ht="15" customHeight="1" x14ac:dyDescent="0.25">
      <c r="A49" s="506" t="s">
        <v>204</v>
      </c>
      <c r="B49" s="507" t="s">
        <v>148</v>
      </c>
      <c r="C49" s="657">
        <v>4</v>
      </c>
      <c r="D49" s="508"/>
      <c r="E49" s="508"/>
      <c r="F49" s="52">
        <f t="shared" si="2"/>
        <v>0</v>
      </c>
      <c r="G49" s="66">
        <f t="shared" si="3"/>
        <v>0</v>
      </c>
      <c r="H49" s="511" t="s">
        <v>188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I49"/>
      <c r="AMJ49"/>
    </row>
    <row r="50" spans="1:1024" ht="15" customHeight="1" x14ac:dyDescent="0.2">
      <c r="A50" s="55" t="s">
        <v>205</v>
      </c>
      <c r="B50" s="57" t="s">
        <v>148</v>
      </c>
      <c r="C50" s="657">
        <v>1</v>
      </c>
      <c r="D50" s="508"/>
      <c r="E50" s="508"/>
      <c r="F50" s="52">
        <f t="shared" si="2"/>
        <v>0</v>
      </c>
      <c r="G50" s="66">
        <f t="shared" si="3"/>
        <v>0</v>
      </c>
      <c r="H50" s="510" t="s">
        <v>144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I50"/>
      <c r="AMJ50"/>
    </row>
    <row r="51" spans="1:1024" ht="15" customHeight="1" x14ac:dyDescent="0.2">
      <c r="A51" s="55" t="s">
        <v>206</v>
      </c>
      <c r="B51" s="57" t="s">
        <v>148</v>
      </c>
      <c r="C51" s="657">
        <v>1.24</v>
      </c>
      <c r="D51" s="508"/>
      <c r="E51" s="508"/>
      <c r="F51" s="52">
        <f t="shared" si="2"/>
        <v>0</v>
      </c>
      <c r="G51" s="66">
        <f t="shared" si="3"/>
        <v>0</v>
      </c>
      <c r="H51" s="510" t="s">
        <v>163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I51"/>
      <c r="AMJ51"/>
    </row>
    <row r="52" spans="1:1024" ht="15" customHeight="1" x14ac:dyDescent="0.2">
      <c r="A52" s="55" t="s">
        <v>207</v>
      </c>
      <c r="B52" s="57" t="s">
        <v>148</v>
      </c>
      <c r="C52" s="657">
        <v>3.85</v>
      </c>
      <c r="D52" s="508"/>
      <c r="E52" s="508"/>
      <c r="F52" s="52">
        <f t="shared" si="2"/>
        <v>0</v>
      </c>
      <c r="G52" s="66">
        <f t="shared" si="3"/>
        <v>0</v>
      </c>
      <c r="H52" s="510" t="s">
        <v>188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I52"/>
      <c r="AMJ52"/>
    </row>
    <row r="53" spans="1:1024" ht="15" customHeight="1" x14ac:dyDescent="0.2">
      <c r="A53" s="55" t="s">
        <v>208</v>
      </c>
      <c r="B53" s="57" t="s">
        <v>209</v>
      </c>
      <c r="C53" s="657">
        <v>0.64</v>
      </c>
      <c r="D53" s="508"/>
      <c r="E53" s="508"/>
      <c r="F53" s="52">
        <f t="shared" si="2"/>
        <v>0</v>
      </c>
      <c r="G53" s="66">
        <f t="shared" si="3"/>
        <v>0</v>
      </c>
      <c r="H53" s="510" t="s">
        <v>144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I53"/>
      <c r="AMJ53"/>
    </row>
    <row r="54" spans="1:1024" ht="15" customHeight="1" x14ac:dyDescent="0.2">
      <c r="A54" s="55" t="s">
        <v>210</v>
      </c>
      <c r="B54" s="57" t="s">
        <v>148</v>
      </c>
      <c r="C54" s="657">
        <v>1.28</v>
      </c>
      <c r="D54" s="508"/>
      <c r="E54" s="508"/>
      <c r="F54" s="52">
        <f t="shared" si="2"/>
        <v>0</v>
      </c>
      <c r="G54" s="66">
        <f t="shared" si="3"/>
        <v>0</v>
      </c>
      <c r="H54" s="510" t="s">
        <v>211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I54"/>
      <c r="AMJ54"/>
    </row>
    <row r="55" spans="1:1024" ht="15" customHeight="1" x14ac:dyDescent="0.2">
      <c r="A55" s="55" t="s">
        <v>212</v>
      </c>
      <c r="B55" s="57" t="s">
        <v>148</v>
      </c>
      <c r="C55" s="657">
        <v>0.99</v>
      </c>
      <c r="D55" s="508"/>
      <c r="E55" s="508"/>
      <c r="F55" s="52">
        <f t="shared" si="2"/>
        <v>0</v>
      </c>
      <c r="G55" s="66">
        <f t="shared" si="3"/>
        <v>0</v>
      </c>
      <c r="H55" s="510" t="s">
        <v>213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I55"/>
      <c r="AMJ55"/>
    </row>
    <row r="56" spans="1:1024" ht="15" customHeight="1" x14ac:dyDescent="0.2">
      <c r="A56" s="55" t="s">
        <v>214</v>
      </c>
      <c r="B56" s="57" t="s">
        <v>148</v>
      </c>
      <c r="C56" s="657">
        <v>3.9</v>
      </c>
      <c r="D56" s="508"/>
      <c r="E56" s="508"/>
      <c r="F56" s="52">
        <f t="shared" si="2"/>
        <v>0</v>
      </c>
      <c r="G56" s="66">
        <f t="shared" si="3"/>
        <v>0</v>
      </c>
      <c r="H56" s="510" t="s">
        <v>215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I56"/>
      <c r="AMJ56"/>
    </row>
    <row r="57" spans="1:1024" ht="15" customHeight="1" thickBot="1" x14ac:dyDescent="0.25">
      <c r="A57" s="59" t="s">
        <v>216</v>
      </c>
      <c r="B57" s="60" t="s">
        <v>148</v>
      </c>
      <c r="C57" s="657">
        <v>1.48</v>
      </c>
      <c r="D57" s="512"/>
      <c r="E57" s="512"/>
      <c r="F57" s="61">
        <f t="shared" si="2"/>
        <v>0</v>
      </c>
      <c r="G57" s="67">
        <f t="shared" si="3"/>
        <v>0</v>
      </c>
      <c r="H57" s="668" t="s">
        <v>144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G57"/>
      <c r="AMH57"/>
      <c r="AMI57"/>
      <c r="AMJ57"/>
    </row>
    <row r="58" spans="1:1024" ht="20.25" customHeight="1" thickBot="1" x14ac:dyDescent="0.25">
      <c r="A58" s="838" t="s">
        <v>217</v>
      </c>
      <c r="B58" s="839"/>
      <c r="C58" s="839"/>
      <c r="D58" s="839"/>
      <c r="E58" s="839"/>
      <c r="F58" s="839"/>
      <c r="G58" s="669">
        <f>SUM(G39:G57)</f>
        <v>0</v>
      </c>
      <c r="H58" s="670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H58"/>
      <c r="AMI58"/>
      <c r="AMJ58"/>
    </row>
    <row r="59" spans="1:1024" ht="20.25" customHeight="1" thickBot="1" x14ac:dyDescent="0.25">
      <c r="A59" s="838" t="s">
        <v>218</v>
      </c>
      <c r="B59" s="839"/>
      <c r="C59" s="839"/>
      <c r="D59" s="839"/>
      <c r="E59" s="839"/>
      <c r="F59" s="839"/>
      <c r="G59" s="671">
        <f>G58+G37</f>
        <v>0</v>
      </c>
      <c r="H59" s="672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H59"/>
      <c r="AMI59"/>
      <c r="AMJ59"/>
    </row>
    <row r="60" spans="1:1024" ht="15" thickBot="1" x14ac:dyDescent="0.25">
      <c r="A60" s="69"/>
      <c r="B60" s="70"/>
      <c r="C60" s="70"/>
      <c r="D60" s="70"/>
      <c r="E60" s="70"/>
      <c r="F60" s="70"/>
      <c r="G60" s="70"/>
      <c r="H60" s="7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I60"/>
      <c r="AMJ60"/>
    </row>
    <row r="61" spans="1:1024" ht="20.25" customHeight="1" thickBot="1" x14ac:dyDescent="0.25">
      <c r="A61" s="835" t="s">
        <v>219</v>
      </c>
      <c r="B61" s="836"/>
      <c r="C61" s="836"/>
      <c r="D61" s="836"/>
      <c r="E61" s="836"/>
      <c r="F61" s="836"/>
      <c r="G61" s="836"/>
      <c r="H61" s="837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I61"/>
      <c r="AMJ61"/>
    </row>
    <row r="62" spans="1:1024" ht="69" customHeight="1" thickBot="1" x14ac:dyDescent="0.25">
      <c r="A62" s="72" t="s">
        <v>114</v>
      </c>
      <c r="B62" s="73" t="s">
        <v>115</v>
      </c>
      <c r="C62" s="73" t="s">
        <v>220</v>
      </c>
      <c r="D62" s="45" t="s">
        <v>221</v>
      </c>
      <c r="E62" s="45" t="s">
        <v>118</v>
      </c>
      <c r="F62" s="46" t="s">
        <v>119</v>
      </c>
      <c r="G62" s="47" t="s">
        <v>222</v>
      </c>
      <c r="H62" s="74" t="s">
        <v>121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I62"/>
      <c r="AMJ62"/>
    </row>
    <row r="63" spans="1:1024" ht="15" customHeight="1" x14ac:dyDescent="0.2">
      <c r="A63" s="506" t="s">
        <v>223</v>
      </c>
      <c r="B63" s="57" t="s">
        <v>124</v>
      </c>
      <c r="C63" s="75">
        <f>0.1*22</f>
        <v>2.2000000000000002</v>
      </c>
      <c r="D63" s="508"/>
      <c r="E63" s="508"/>
      <c r="F63" s="52">
        <f>(D63+E63)/2</f>
        <v>0</v>
      </c>
      <c r="G63" s="53">
        <f>C63*F63</f>
        <v>0</v>
      </c>
      <c r="H63" s="56" t="s">
        <v>224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I63"/>
      <c r="AMJ63"/>
    </row>
    <row r="64" spans="1:1024" ht="15" customHeight="1" x14ac:dyDescent="0.2">
      <c r="A64" s="505" t="s">
        <v>134</v>
      </c>
      <c r="B64" s="57" t="s">
        <v>124</v>
      </c>
      <c r="C64" s="75">
        <f>0.5*22</f>
        <v>11</v>
      </c>
      <c r="D64" s="508"/>
      <c r="E64" s="508"/>
      <c r="F64" s="52">
        <f>(D64+E64)/2</f>
        <v>0</v>
      </c>
      <c r="G64" s="53">
        <f>C64*F64</f>
        <v>0</v>
      </c>
      <c r="H64" s="56" t="s">
        <v>132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I64"/>
      <c r="AMJ64"/>
    </row>
    <row r="65" spans="1:1024" ht="15" customHeight="1" x14ac:dyDescent="0.2">
      <c r="A65" s="514" t="s">
        <v>153</v>
      </c>
      <c r="B65" s="60" t="s">
        <v>148</v>
      </c>
      <c r="C65" s="75">
        <v>4</v>
      </c>
      <c r="D65" s="508"/>
      <c r="E65" s="508"/>
      <c r="F65" s="52">
        <f>(D65+E65)/2</f>
        <v>0</v>
      </c>
      <c r="G65" s="53">
        <f>C65*F65</f>
        <v>0</v>
      </c>
      <c r="H65" s="63" t="s">
        <v>225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I65"/>
      <c r="AMJ65"/>
    </row>
    <row r="66" spans="1:1024" ht="15" customHeight="1" thickBot="1" x14ac:dyDescent="0.25">
      <c r="A66" s="515" t="s">
        <v>226</v>
      </c>
      <c r="B66" s="57" t="s">
        <v>187</v>
      </c>
      <c r="C66" s="75">
        <f>4*2*22</f>
        <v>176</v>
      </c>
      <c r="D66" s="512"/>
      <c r="E66" s="512"/>
      <c r="F66" s="52">
        <f>(D66+E66)/2</f>
        <v>0</v>
      </c>
      <c r="G66" s="53">
        <f>C66*F66</f>
        <v>0</v>
      </c>
      <c r="H66" s="63" t="s">
        <v>227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I66"/>
      <c r="AMJ66"/>
    </row>
    <row r="67" spans="1:1024" ht="78" customHeight="1" thickBot="1" x14ac:dyDescent="0.25">
      <c r="A67" s="72" t="s">
        <v>114</v>
      </c>
      <c r="B67" s="73" t="s">
        <v>115</v>
      </c>
      <c r="C67" s="73" t="s">
        <v>228</v>
      </c>
      <c r="D67" s="73" t="s">
        <v>221</v>
      </c>
      <c r="E67" s="73" t="s">
        <v>118</v>
      </c>
      <c r="F67" s="76" t="s">
        <v>119</v>
      </c>
      <c r="G67" s="47" t="s">
        <v>222</v>
      </c>
      <c r="H67" s="74" t="s">
        <v>121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I67"/>
      <c r="AMJ67"/>
    </row>
    <row r="68" spans="1:1024" ht="15" customHeight="1" thickBot="1" x14ac:dyDescent="0.25">
      <c r="A68" s="50" t="s">
        <v>229</v>
      </c>
      <c r="B68" s="51" t="s">
        <v>148</v>
      </c>
      <c r="C68" s="75">
        <f>2*4</f>
        <v>8</v>
      </c>
      <c r="D68" s="508"/>
      <c r="E68" s="508"/>
      <c r="F68" s="52">
        <f>(D68+E68)/2</f>
        <v>0</v>
      </c>
      <c r="G68" s="67">
        <f>C68*F68/12</f>
        <v>0</v>
      </c>
      <c r="H68" s="68" t="s">
        <v>227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I68"/>
      <c r="AMJ68"/>
    </row>
    <row r="69" spans="1:1024" ht="20.25" customHeight="1" thickBot="1" x14ac:dyDescent="0.25">
      <c r="A69" s="838" t="s">
        <v>230</v>
      </c>
      <c r="B69" s="839"/>
      <c r="C69" s="839"/>
      <c r="D69" s="839"/>
      <c r="E69" s="839"/>
      <c r="F69" s="840"/>
      <c r="G69" s="673">
        <f>G63+G64+G65+G66+G68</f>
        <v>0</v>
      </c>
      <c r="H69" s="70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I69"/>
      <c r="AMJ69"/>
    </row>
    <row r="70" spans="1:1024" x14ac:dyDescent="0.2">
      <c r="A70" s="69"/>
      <c r="B70" s="70"/>
      <c r="C70" s="70"/>
      <c r="D70" s="70"/>
      <c r="E70" s="70"/>
      <c r="F70" s="70"/>
      <c r="G70" s="70"/>
      <c r="H70" s="70"/>
      <c r="I70" s="70"/>
      <c r="J70" s="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</row>
    <row r="71" spans="1:1024" x14ac:dyDescent="0.2">
      <c r="A71" s="70" t="s">
        <v>231</v>
      </c>
      <c r="B71" s="70"/>
      <c r="C71" s="70"/>
      <c r="D71" s="70"/>
      <c r="E71" s="77"/>
      <c r="F71" s="70"/>
      <c r="G71" s="70"/>
      <c r="H71" s="71"/>
      <c r="I71" s="71"/>
      <c r="J71" s="70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</row>
    <row r="72" spans="1:1024" x14ac:dyDescent="0.2">
      <c r="A72" s="70"/>
      <c r="B72" s="70"/>
      <c r="C72" s="70"/>
      <c r="D72" s="70"/>
      <c r="E72" s="77"/>
      <c r="F72" s="70"/>
      <c r="G72" s="77"/>
      <c r="H72" s="71"/>
      <c r="I72" s="71"/>
      <c r="J72" s="70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</row>
    <row r="73" spans="1:1024" x14ac:dyDescent="0.2">
      <c r="A73" s="70" t="s">
        <v>232</v>
      </c>
      <c r="B73" s="70"/>
      <c r="C73" s="70"/>
      <c r="D73" s="70"/>
      <c r="E73" s="70"/>
      <c r="F73" s="70"/>
      <c r="G73" s="70"/>
      <c r="H73" s="70"/>
      <c r="I73" s="70"/>
      <c r="J73" s="70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</row>
    <row r="74" spans="1:1024" x14ac:dyDescent="0.2">
      <c r="A74" s="70" t="s">
        <v>233</v>
      </c>
      <c r="B74" s="70"/>
      <c r="C74" s="70"/>
      <c r="D74" s="70"/>
      <c r="E74" s="70"/>
      <c r="F74" s="70"/>
      <c r="G74" s="70"/>
      <c r="H74" s="77"/>
      <c r="I74" s="77"/>
      <c r="J74" s="70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</row>
    <row r="75" spans="1:1024" x14ac:dyDescent="0.2">
      <c r="A75" s="70" t="s">
        <v>234</v>
      </c>
      <c r="B75" s="70"/>
      <c r="C75" s="70"/>
      <c r="D75" s="70"/>
      <c r="E75" s="70"/>
      <c r="F75" s="70"/>
      <c r="G75" s="70"/>
      <c r="H75" s="78"/>
      <c r="I75" s="78"/>
      <c r="J75" s="70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</row>
    <row r="76" spans="1:1024" x14ac:dyDescent="0.2">
      <c r="A76" s="70" t="s">
        <v>235</v>
      </c>
      <c r="B76" s="70"/>
      <c r="C76" s="70"/>
      <c r="D76" s="70"/>
      <c r="E76" s="70"/>
      <c r="F76" s="70"/>
      <c r="G76" s="70"/>
      <c r="H76" s="77"/>
      <c r="I76" s="77"/>
      <c r="J76" s="70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</row>
    <row r="77" spans="1:1024" x14ac:dyDescent="0.2">
      <c r="A77" s="70" t="s">
        <v>236</v>
      </c>
      <c r="B77" s="70"/>
      <c r="C77" s="70"/>
      <c r="D77" s="70"/>
      <c r="E77" s="70"/>
      <c r="F77" s="70"/>
      <c r="G77" s="70"/>
      <c r="H77" s="70"/>
      <c r="I77" s="70"/>
      <c r="J77" s="70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</row>
    <row r="78" spans="1:1024" x14ac:dyDescent="0.2">
      <c r="A78" s="70" t="s">
        <v>237</v>
      </c>
      <c r="B78" s="70"/>
      <c r="C78" s="70"/>
      <c r="D78" s="70"/>
      <c r="E78" s="70"/>
      <c r="F78" s="70"/>
      <c r="G78" s="70"/>
      <c r="H78" s="70"/>
      <c r="I78" s="70"/>
      <c r="J78" s="70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</row>
    <row r="79" spans="1:1024" x14ac:dyDescent="0.2">
      <c r="A79" s="70" t="s">
        <v>238</v>
      </c>
      <c r="B79" s="70"/>
      <c r="C79" s="70"/>
      <c r="D79" s="70"/>
      <c r="E79" s="70"/>
      <c r="F79" s="70"/>
      <c r="G79" s="70"/>
      <c r="H79" s="70"/>
      <c r="I79" s="70"/>
      <c r="J79" s="70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</row>
    <row r="80" spans="1:1024" x14ac:dyDescent="0.2">
      <c r="A80" s="70" t="s">
        <v>239</v>
      </c>
      <c r="B80" s="70"/>
      <c r="C80" s="70"/>
      <c r="D80" s="70"/>
      <c r="E80" s="70"/>
      <c r="F80" s="70"/>
      <c r="G80" s="70"/>
      <c r="H80" s="70"/>
      <c r="I80" s="70"/>
      <c r="J80" s="7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</row>
    <row r="81" spans="1:1023" x14ac:dyDescent="0.2">
      <c r="A81" s="70" t="s">
        <v>240</v>
      </c>
      <c r="B81" s="70"/>
      <c r="C81" s="70"/>
      <c r="D81" s="70"/>
      <c r="E81" s="70"/>
      <c r="F81" s="70"/>
      <c r="G81" s="70"/>
      <c r="H81" s="70"/>
      <c r="I81" s="70"/>
      <c r="J81" s="70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</row>
    <row r="82" spans="1:1023" x14ac:dyDescent="0.2">
      <c r="A82" s="70" t="s">
        <v>241</v>
      </c>
      <c r="B82" s="70"/>
      <c r="C82" s="70"/>
      <c r="D82" s="70"/>
      <c r="E82" s="70"/>
      <c r="F82" s="70"/>
      <c r="G82" s="70"/>
      <c r="H82" s="70"/>
      <c r="I82" s="70"/>
      <c r="J82" s="70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</row>
    <row r="83" spans="1:1023" x14ac:dyDescent="0.2">
      <c r="A83" s="69"/>
      <c r="B83" s="70"/>
      <c r="C83" s="70"/>
      <c r="D83" s="70"/>
      <c r="E83" s="70"/>
      <c r="F83" s="70"/>
      <c r="G83" s="70"/>
      <c r="H83" s="70"/>
      <c r="I83" s="70"/>
      <c r="J83" s="70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</row>
    <row r="84" spans="1:1023" ht="15" thickBot="1" x14ac:dyDescent="0.25">
      <c r="A84" s="69"/>
      <c r="B84" s="70"/>
      <c r="C84" s="70"/>
      <c r="D84" s="70"/>
      <c r="E84" s="70"/>
      <c r="F84" s="70"/>
      <c r="G84" s="70"/>
      <c r="H84" s="70"/>
      <c r="I84" s="70"/>
      <c r="J84" s="70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</row>
    <row r="85" spans="1:1023" ht="20.25" customHeight="1" x14ac:dyDescent="0.2">
      <c r="A85" s="674" t="s">
        <v>242</v>
      </c>
      <c r="B85" s="675"/>
      <c r="C85" s="675"/>
      <c r="D85" s="675"/>
      <c r="E85" s="675"/>
      <c r="F85" s="675"/>
      <c r="G85" s="675"/>
      <c r="H85" s="675"/>
      <c r="I85" s="676"/>
      <c r="J85" s="677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</row>
    <row r="86" spans="1:1023" s="82" customFormat="1" ht="48" x14ac:dyDescent="0.2">
      <c r="A86" s="678" t="s">
        <v>114</v>
      </c>
      <c r="B86" s="79" t="s">
        <v>115</v>
      </c>
      <c r="C86" s="79" t="s">
        <v>563</v>
      </c>
      <c r="D86" s="79" t="s">
        <v>243</v>
      </c>
      <c r="E86" s="79" t="s">
        <v>221</v>
      </c>
      <c r="F86" s="80" t="s">
        <v>118</v>
      </c>
      <c r="G86" s="80" t="s">
        <v>119</v>
      </c>
      <c r="H86" s="81" t="s">
        <v>244</v>
      </c>
      <c r="I86" s="718" t="s">
        <v>245</v>
      </c>
    </row>
    <row r="87" spans="1:1023" ht="15" customHeight="1" x14ac:dyDescent="0.2">
      <c r="A87" s="505" t="s">
        <v>246</v>
      </c>
      <c r="B87" s="51" t="s">
        <v>148</v>
      </c>
      <c r="C87" s="51">
        <v>19</v>
      </c>
      <c r="D87" s="51">
        <v>18</v>
      </c>
      <c r="E87" s="508"/>
      <c r="F87" s="525"/>
      <c r="G87" s="52">
        <f t="shared" ref="G87:G96" si="4">(E87+F87)/2</f>
        <v>0</v>
      </c>
      <c r="H87" s="715">
        <f t="shared" ref="H87:H96" si="5">(C87*G87)</f>
        <v>0</v>
      </c>
      <c r="I87" s="716">
        <f>D87*G87</f>
        <v>0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</row>
    <row r="88" spans="1:1023" ht="15" customHeight="1" x14ac:dyDescent="0.2">
      <c r="A88" s="505" t="s">
        <v>247</v>
      </c>
      <c r="B88" s="57" t="s">
        <v>148</v>
      </c>
      <c r="C88" s="51">
        <v>19</v>
      </c>
      <c r="D88" s="51">
        <v>18</v>
      </c>
      <c r="E88" s="508"/>
      <c r="F88" s="525"/>
      <c r="G88" s="52">
        <f t="shared" si="4"/>
        <v>0</v>
      </c>
      <c r="H88" s="715">
        <f t="shared" si="5"/>
        <v>0</v>
      </c>
      <c r="I88" s="717">
        <f t="shared" ref="I88:I96" si="6">D88*G88</f>
        <v>0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</row>
    <row r="89" spans="1:1023" ht="15" customHeight="1" x14ac:dyDescent="0.2">
      <c r="A89" s="505" t="s">
        <v>248</v>
      </c>
      <c r="B89" s="57" t="s">
        <v>148</v>
      </c>
      <c r="C89" s="51">
        <v>19</v>
      </c>
      <c r="D89" s="51">
        <v>18</v>
      </c>
      <c r="E89" s="508"/>
      <c r="F89" s="525"/>
      <c r="G89" s="52">
        <f t="shared" si="4"/>
        <v>0</v>
      </c>
      <c r="H89" s="715">
        <f t="shared" si="5"/>
        <v>0</v>
      </c>
      <c r="I89" s="717">
        <f t="shared" si="6"/>
        <v>0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</row>
    <row r="90" spans="1:1023" ht="15" customHeight="1" x14ac:dyDescent="0.2">
      <c r="A90" s="505" t="s">
        <v>249</v>
      </c>
      <c r="B90" s="57" t="s">
        <v>148</v>
      </c>
      <c r="C90" s="51">
        <v>19</v>
      </c>
      <c r="D90" s="51">
        <v>18</v>
      </c>
      <c r="E90" s="508"/>
      <c r="F90" s="525"/>
      <c r="G90" s="52">
        <f t="shared" si="4"/>
        <v>0</v>
      </c>
      <c r="H90" s="715">
        <f t="shared" si="5"/>
        <v>0</v>
      </c>
      <c r="I90" s="717">
        <f t="shared" si="6"/>
        <v>0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</row>
    <row r="91" spans="1:1023" ht="15" customHeight="1" x14ac:dyDescent="0.2">
      <c r="A91" s="505" t="s">
        <v>250</v>
      </c>
      <c r="B91" s="57" t="s">
        <v>148</v>
      </c>
      <c r="C91" s="51">
        <v>19</v>
      </c>
      <c r="D91" s="51">
        <v>18</v>
      </c>
      <c r="E91" s="508"/>
      <c r="F91" s="525"/>
      <c r="G91" s="52">
        <f t="shared" si="4"/>
        <v>0</v>
      </c>
      <c r="H91" s="715">
        <f t="shared" si="5"/>
        <v>0</v>
      </c>
      <c r="I91" s="717">
        <f t="shared" si="6"/>
        <v>0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</row>
    <row r="92" spans="1:1023" ht="15" customHeight="1" x14ac:dyDescent="0.2">
      <c r="A92" s="505" t="s">
        <v>251</v>
      </c>
      <c r="B92" s="57" t="s">
        <v>148</v>
      </c>
      <c r="C92" s="51">
        <v>19</v>
      </c>
      <c r="D92" s="51">
        <v>18</v>
      </c>
      <c r="E92" s="508"/>
      <c r="F92" s="525"/>
      <c r="G92" s="52">
        <f t="shared" si="4"/>
        <v>0</v>
      </c>
      <c r="H92" s="715">
        <f t="shared" si="5"/>
        <v>0</v>
      </c>
      <c r="I92" s="717">
        <f t="shared" si="6"/>
        <v>0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</row>
    <row r="93" spans="1:1023" ht="15" customHeight="1" x14ac:dyDescent="0.2">
      <c r="A93" s="505" t="s">
        <v>252</v>
      </c>
      <c r="B93" s="57" t="s">
        <v>148</v>
      </c>
      <c r="C93" s="51">
        <v>17</v>
      </c>
      <c r="D93" s="51">
        <v>18</v>
      </c>
      <c r="E93" s="508"/>
      <c r="F93" s="525"/>
      <c r="G93" s="52">
        <f t="shared" si="4"/>
        <v>0</v>
      </c>
      <c r="H93" s="715">
        <f t="shared" si="5"/>
        <v>0</v>
      </c>
      <c r="I93" s="717">
        <f t="shared" si="6"/>
        <v>0</v>
      </c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</row>
    <row r="94" spans="1:1023" ht="15" customHeight="1" x14ac:dyDescent="0.2">
      <c r="A94" s="505" t="s">
        <v>253</v>
      </c>
      <c r="B94" s="57" t="s">
        <v>148</v>
      </c>
      <c r="C94" s="51">
        <v>17</v>
      </c>
      <c r="D94" s="51">
        <v>18</v>
      </c>
      <c r="E94" s="508"/>
      <c r="F94" s="525"/>
      <c r="G94" s="52">
        <f t="shared" si="4"/>
        <v>0</v>
      </c>
      <c r="H94" s="715">
        <f t="shared" si="5"/>
        <v>0</v>
      </c>
      <c r="I94" s="717">
        <f t="shared" si="6"/>
        <v>0</v>
      </c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</row>
    <row r="95" spans="1:1023" ht="15" customHeight="1" x14ac:dyDescent="0.2">
      <c r="A95" s="505" t="s">
        <v>254</v>
      </c>
      <c r="B95" s="57" t="s">
        <v>148</v>
      </c>
      <c r="C95" s="51">
        <f>17*2</f>
        <v>34</v>
      </c>
      <c r="D95" s="51">
        <f>18*2</f>
        <v>36</v>
      </c>
      <c r="E95" s="508"/>
      <c r="F95" s="525"/>
      <c r="G95" s="766">
        <f t="shared" si="4"/>
        <v>0</v>
      </c>
      <c r="H95" s="765">
        <f t="shared" si="5"/>
        <v>0</v>
      </c>
      <c r="I95" s="717">
        <f t="shared" si="6"/>
        <v>0</v>
      </c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</row>
    <row r="96" spans="1:1023" ht="15" customHeight="1" x14ac:dyDescent="0.2">
      <c r="A96" s="679" t="s">
        <v>255</v>
      </c>
      <c r="B96" s="57" t="s">
        <v>148</v>
      </c>
      <c r="C96" s="51">
        <v>8</v>
      </c>
      <c r="D96" s="51">
        <v>11</v>
      </c>
      <c r="E96" s="526"/>
      <c r="F96" s="680"/>
      <c r="G96" s="766">
        <f t="shared" si="4"/>
        <v>0</v>
      </c>
      <c r="H96" s="715">
        <f t="shared" si="5"/>
        <v>0</v>
      </c>
      <c r="I96" s="710">
        <f t="shared" si="6"/>
        <v>0</v>
      </c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</row>
    <row r="97" spans="1:1024" ht="20.25" customHeight="1" x14ac:dyDescent="0.2">
      <c r="A97" s="841" t="s">
        <v>256</v>
      </c>
      <c r="B97" s="842"/>
      <c r="C97" s="842"/>
      <c r="D97" s="842"/>
      <c r="E97" s="842"/>
      <c r="F97" s="842"/>
      <c r="G97" s="843"/>
      <c r="H97" s="681">
        <f>SUM(H87:H96)</f>
        <v>0</v>
      </c>
      <c r="I97" s="719">
        <f>SUM(I87:I96)</f>
        <v>0</v>
      </c>
      <c r="J97" s="682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</row>
    <row r="98" spans="1:1024" ht="20.25" customHeight="1" x14ac:dyDescent="0.2">
      <c r="A98" s="833" t="s">
        <v>257</v>
      </c>
      <c r="B98" s="834"/>
      <c r="C98" s="834"/>
      <c r="D98" s="834"/>
      <c r="E98" s="834"/>
      <c r="F98" s="83">
        <v>0.1</v>
      </c>
      <c r="G98" s="84"/>
      <c r="H98" s="683">
        <f>(H97*F98)/12</f>
        <v>0</v>
      </c>
      <c r="I98" s="684">
        <f>I97/120</f>
        <v>0</v>
      </c>
      <c r="J98" s="682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</row>
    <row r="99" spans="1:1024" ht="20.25" customHeight="1" thickBot="1" x14ac:dyDescent="0.25">
      <c r="A99" s="806" t="s">
        <v>258</v>
      </c>
      <c r="B99" s="807"/>
      <c r="C99" s="807"/>
      <c r="D99" s="807"/>
      <c r="E99" s="807"/>
      <c r="F99" s="807"/>
      <c r="G99" s="807"/>
      <c r="H99" s="685">
        <f>H98/'Prod. GEXCTB'!O21</f>
        <v>0</v>
      </c>
      <c r="I99" s="686">
        <f>I98/'Prod. GEXPGR'!O23</f>
        <v>0</v>
      </c>
      <c r="J99" s="682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</row>
    <row r="100" spans="1:1024" x14ac:dyDescent="0.2">
      <c r="A100" s="69"/>
      <c r="B100" s="70"/>
      <c r="C100" s="750" t="s">
        <v>560</v>
      </c>
      <c r="D100" s="750"/>
      <c r="E100" s="750"/>
      <c r="F100" s="750"/>
      <c r="G100" s="750"/>
      <c r="H100" s="70"/>
      <c r="I100" s="70"/>
      <c r="J100" s="7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</row>
    <row r="101" spans="1:1024" x14ac:dyDescent="0.2">
      <c r="A101" s="69"/>
      <c r="B101" s="70"/>
      <c r="C101" s="750" t="s">
        <v>562</v>
      </c>
      <c r="D101" s="750"/>
      <c r="E101" s="750"/>
      <c r="F101" s="750"/>
      <c r="G101" s="750"/>
      <c r="H101" s="70"/>
      <c r="I101" s="70"/>
      <c r="J101" s="70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</row>
    <row r="102" spans="1:1024" x14ac:dyDescent="0.2">
      <c r="A102" s="69"/>
      <c r="B102" s="70"/>
      <c r="C102" s="750" t="s">
        <v>561</v>
      </c>
      <c r="D102" s="750"/>
      <c r="E102" s="750"/>
      <c r="F102" s="750"/>
      <c r="G102" s="750"/>
      <c r="H102" s="70"/>
      <c r="I102" s="70"/>
      <c r="J102" s="70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</row>
    <row r="103" spans="1:1024" ht="20.25" customHeight="1" x14ac:dyDescent="0.2">
      <c r="A103" s="818" t="s">
        <v>259</v>
      </c>
      <c r="B103" s="819"/>
      <c r="C103" s="819"/>
      <c r="D103" s="819"/>
      <c r="E103" s="819"/>
      <c r="F103" s="819"/>
      <c r="G103" s="820"/>
      <c r="H103" s="70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I103"/>
      <c r="AMJ103"/>
    </row>
    <row r="104" spans="1:1024" s="82" customFormat="1" ht="47.25" customHeight="1" x14ac:dyDescent="0.2">
      <c r="A104" s="687" t="s">
        <v>114</v>
      </c>
      <c r="B104" s="85" t="s">
        <v>115</v>
      </c>
      <c r="C104" s="85" t="s">
        <v>260</v>
      </c>
      <c r="D104" s="85" t="s">
        <v>261</v>
      </c>
      <c r="E104" s="86" t="s">
        <v>262</v>
      </c>
      <c r="F104" s="86" t="s">
        <v>263</v>
      </c>
      <c r="G104" s="87" t="s">
        <v>264</v>
      </c>
      <c r="H104" s="688"/>
    </row>
    <row r="105" spans="1:1024" ht="20.25" customHeight="1" x14ac:dyDescent="0.2">
      <c r="A105" s="821" t="s">
        <v>265</v>
      </c>
      <c r="B105" s="822"/>
      <c r="C105" s="822"/>
      <c r="D105" s="822"/>
      <c r="E105" s="822"/>
      <c r="F105" s="823"/>
      <c r="G105" s="88">
        <f>SUM(G106:G111)</f>
        <v>0</v>
      </c>
      <c r="H105" s="70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I105"/>
      <c r="AMJ105"/>
    </row>
    <row r="106" spans="1:1024" ht="15" customHeight="1" x14ac:dyDescent="0.2">
      <c r="A106" s="689" t="s">
        <v>266</v>
      </c>
      <c r="B106" s="51" t="s">
        <v>148</v>
      </c>
      <c r="C106" s="51">
        <v>2</v>
      </c>
      <c r="D106" s="526"/>
      <c r="E106" s="529"/>
      <c r="F106" s="52">
        <f t="shared" ref="F106:F111" si="7">(D106+E106)/2</f>
        <v>0</v>
      </c>
      <c r="G106" s="53">
        <f t="shared" ref="G106:G111" si="8">(C106*F106)/12</f>
        <v>0</v>
      </c>
      <c r="H106" s="70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I106"/>
      <c r="AMJ106"/>
    </row>
    <row r="107" spans="1:1024" ht="15" customHeight="1" x14ac:dyDescent="0.2">
      <c r="A107" s="690" t="s">
        <v>267</v>
      </c>
      <c r="B107" s="57" t="s">
        <v>148</v>
      </c>
      <c r="C107" s="57">
        <v>1</v>
      </c>
      <c r="D107" s="526"/>
      <c r="E107" s="529"/>
      <c r="F107" s="52">
        <f t="shared" si="7"/>
        <v>0</v>
      </c>
      <c r="G107" s="53">
        <f t="shared" si="8"/>
        <v>0</v>
      </c>
      <c r="H107" s="70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I107"/>
      <c r="AMJ107"/>
    </row>
    <row r="108" spans="1:1024" ht="15" customHeight="1" x14ac:dyDescent="0.2">
      <c r="A108" s="690" t="s">
        <v>268</v>
      </c>
      <c r="B108" s="57" t="s">
        <v>148</v>
      </c>
      <c r="C108" s="57">
        <v>2</v>
      </c>
      <c r="D108" s="526"/>
      <c r="E108" s="529"/>
      <c r="F108" s="52">
        <f t="shared" si="7"/>
        <v>0</v>
      </c>
      <c r="G108" s="53">
        <f t="shared" si="8"/>
        <v>0</v>
      </c>
      <c r="H108" s="77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I108"/>
      <c r="AMJ108"/>
    </row>
    <row r="109" spans="1:1024" ht="15" customHeight="1" x14ac:dyDescent="0.2">
      <c r="A109" s="690" t="s">
        <v>269</v>
      </c>
      <c r="B109" s="57" t="s">
        <v>148</v>
      </c>
      <c r="C109" s="57">
        <v>2</v>
      </c>
      <c r="D109" s="526"/>
      <c r="E109" s="529"/>
      <c r="F109" s="52">
        <f t="shared" si="7"/>
        <v>0</v>
      </c>
      <c r="G109" s="53">
        <f t="shared" si="8"/>
        <v>0</v>
      </c>
      <c r="H109" s="70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I109"/>
      <c r="AMJ109"/>
    </row>
    <row r="110" spans="1:1024" ht="15" customHeight="1" x14ac:dyDescent="0.2">
      <c r="A110" s="691" t="s">
        <v>270</v>
      </c>
      <c r="B110" s="60" t="s">
        <v>148</v>
      </c>
      <c r="C110" s="60">
        <v>1</v>
      </c>
      <c r="D110" s="527"/>
      <c r="E110" s="530"/>
      <c r="F110" s="52">
        <f t="shared" si="7"/>
        <v>0</v>
      </c>
      <c r="G110" s="53">
        <f t="shared" si="8"/>
        <v>0</v>
      </c>
      <c r="H110" s="7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I110"/>
      <c r="AMJ110"/>
    </row>
    <row r="111" spans="1:1024" ht="15" customHeight="1" x14ac:dyDescent="0.2">
      <c r="A111" s="692" t="s">
        <v>271</v>
      </c>
      <c r="B111" s="89" t="s">
        <v>168</v>
      </c>
      <c r="C111" s="89">
        <v>2</v>
      </c>
      <c r="D111" s="528"/>
      <c r="E111" s="531"/>
      <c r="F111" s="90">
        <f t="shared" si="7"/>
        <v>0</v>
      </c>
      <c r="G111" s="53">
        <f t="shared" si="8"/>
        <v>0</v>
      </c>
      <c r="H111" s="70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I111"/>
      <c r="AMJ111"/>
    </row>
    <row r="112" spans="1:1024" ht="20.25" customHeight="1" x14ac:dyDescent="0.2">
      <c r="A112" s="824" t="s">
        <v>272</v>
      </c>
      <c r="B112" s="825"/>
      <c r="C112" s="825"/>
      <c r="D112" s="825"/>
      <c r="E112" s="825"/>
      <c r="F112" s="826"/>
      <c r="G112" s="88">
        <f>SUM(G113:G116)</f>
        <v>0</v>
      </c>
      <c r="H112" s="70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I112"/>
      <c r="AMJ112"/>
    </row>
    <row r="113" spans="1:1024" ht="15" customHeight="1" x14ac:dyDescent="0.2">
      <c r="A113" s="505" t="s">
        <v>273</v>
      </c>
      <c r="B113" s="51" t="s">
        <v>148</v>
      </c>
      <c r="C113" s="51">
        <v>2</v>
      </c>
      <c r="D113" s="526"/>
      <c r="E113" s="529"/>
      <c r="F113" s="52">
        <f>(D113+E113)/2</f>
        <v>0</v>
      </c>
      <c r="G113" s="53">
        <f>(C113*F113)/12</f>
        <v>0</v>
      </c>
      <c r="H113" s="70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I113"/>
      <c r="AMJ113"/>
    </row>
    <row r="114" spans="1:1024" ht="15" customHeight="1" x14ac:dyDescent="0.2">
      <c r="A114" s="505" t="s">
        <v>274</v>
      </c>
      <c r="B114" s="57" t="s">
        <v>148</v>
      </c>
      <c r="C114" s="57">
        <v>2</v>
      </c>
      <c r="D114" s="526"/>
      <c r="E114" s="529"/>
      <c r="F114" s="52">
        <f>(D114+E114)/2</f>
        <v>0</v>
      </c>
      <c r="G114" s="53">
        <f>(C114*F114)/12</f>
        <v>0</v>
      </c>
      <c r="H114" s="70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I114"/>
      <c r="AMJ114"/>
    </row>
    <row r="115" spans="1:1024" ht="15" customHeight="1" x14ac:dyDescent="0.2">
      <c r="A115" s="505" t="s">
        <v>275</v>
      </c>
      <c r="B115" s="57" t="s">
        <v>148</v>
      </c>
      <c r="C115" s="57">
        <v>1</v>
      </c>
      <c r="D115" s="526"/>
      <c r="E115" s="529"/>
      <c r="F115" s="52">
        <f>(D115+E115)/2</f>
        <v>0</v>
      </c>
      <c r="G115" s="53">
        <f>(C115*F115)/12</f>
        <v>0</v>
      </c>
      <c r="H115" s="70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I115"/>
      <c r="AMJ115"/>
    </row>
    <row r="116" spans="1:1024" ht="15" customHeight="1" x14ac:dyDescent="0.2">
      <c r="A116" s="514" t="s">
        <v>276</v>
      </c>
      <c r="B116" s="60" t="s">
        <v>168</v>
      </c>
      <c r="C116" s="60">
        <v>2</v>
      </c>
      <c r="D116" s="527"/>
      <c r="E116" s="530"/>
      <c r="F116" s="52">
        <f>(D116+E116)/2</f>
        <v>0</v>
      </c>
      <c r="G116" s="62">
        <f>(C116*F116)/12</f>
        <v>0</v>
      </c>
      <c r="H116" s="70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I116"/>
      <c r="AMJ116"/>
    </row>
    <row r="117" spans="1:1024" ht="20.25" customHeight="1" x14ac:dyDescent="0.2">
      <c r="A117" s="827" t="s">
        <v>277</v>
      </c>
      <c r="B117" s="828"/>
      <c r="C117" s="828"/>
      <c r="D117" s="828"/>
      <c r="E117" s="828"/>
      <c r="F117" s="829"/>
      <c r="G117" s="713">
        <f>G105</f>
        <v>0</v>
      </c>
      <c r="H117" s="70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I117"/>
      <c r="AMJ117"/>
    </row>
    <row r="118" spans="1:1024" ht="20.25" customHeight="1" x14ac:dyDescent="0.2">
      <c r="A118" s="830" t="s">
        <v>278</v>
      </c>
      <c r="B118" s="831"/>
      <c r="C118" s="831"/>
      <c r="D118" s="831"/>
      <c r="E118" s="831"/>
      <c r="F118" s="832"/>
      <c r="G118" s="714">
        <f>G112</f>
        <v>0</v>
      </c>
      <c r="H118" s="70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I118"/>
      <c r="AMJ118"/>
    </row>
    <row r="119" spans="1:1024" x14ac:dyDescent="0.2">
      <c r="A119" s="69"/>
      <c r="B119" s="70"/>
      <c r="C119" s="70"/>
      <c r="D119" s="70"/>
      <c r="E119" s="70"/>
      <c r="F119" s="70"/>
      <c r="G119" s="70"/>
      <c r="H119" s="70"/>
      <c r="I119" s="70"/>
      <c r="J119" s="70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</row>
    <row r="120" spans="1:1024" ht="20.25" customHeight="1" x14ac:dyDescent="0.2">
      <c r="A120" s="808" t="s">
        <v>279</v>
      </c>
      <c r="B120" s="809"/>
      <c r="C120" s="809"/>
      <c r="D120" s="809"/>
      <c r="E120" s="809"/>
      <c r="F120" s="809"/>
      <c r="G120" s="809"/>
      <c r="H120" s="809"/>
      <c r="I120" s="81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I120"/>
      <c r="AMJ120"/>
    </row>
    <row r="121" spans="1:1024" s="82" customFormat="1" ht="66.75" customHeight="1" thickBot="1" x14ac:dyDescent="0.25">
      <c r="A121" s="693" t="s">
        <v>114</v>
      </c>
      <c r="B121" s="91" t="s">
        <v>115</v>
      </c>
      <c r="C121" s="91" t="s">
        <v>280</v>
      </c>
      <c r="D121" s="91" t="s">
        <v>281</v>
      </c>
      <c r="E121" s="91" t="s">
        <v>221</v>
      </c>
      <c r="F121" s="92" t="s">
        <v>282</v>
      </c>
      <c r="G121" s="92" t="s">
        <v>263</v>
      </c>
      <c r="H121" s="93" t="s">
        <v>283</v>
      </c>
      <c r="I121" s="694" t="s">
        <v>284</v>
      </c>
    </row>
    <row r="122" spans="1:1024" ht="20.25" customHeight="1" thickBot="1" x14ac:dyDescent="0.25">
      <c r="A122" s="811" t="s">
        <v>285</v>
      </c>
      <c r="B122" s="812"/>
      <c r="C122" s="812"/>
      <c r="D122" s="812"/>
      <c r="E122" s="812"/>
      <c r="F122" s="812"/>
      <c r="G122" s="813"/>
      <c r="H122" s="695">
        <f>SUM(H123:H127)</f>
        <v>0</v>
      </c>
      <c r="I122" s="695">
        <f>SUM(I123:I127)</f>
        <v>0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H122"/>
      <c r="AMI122"/>
      <c r="AMJ122"/>
    </row>
    <row r="123" spans="1:1024" ht="15" customHeight="1" thickBot="1" x14ac:dyDescent="0.25">
      <c r="A123" s="505" t="s">
        <v>286</v>
      </c>
      <c r="B123" s="423" t="s">
        <v>148</v>
      </c>
      <c r="C123" s="424">
        <f>22</f>
        <v>22</v>
      </c>
      <c r="D123" s="424">
        <f>22</f>
        <v>22</v>
      </c>
      <c r="E123" s="526"/>
      <c r="F123" s="508"/>
      <c r="G123" s="52">
        <f>(E123+F123)/2</f>
        <v>0</v>
      </c>
      <c r="H123" s="101">
        <f>C123*G123</f>
        <v>0</v>
      </c>
      <c r="I123" s="101">
        <f>D123*G123</f>
        <v>0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G123"/>
      <c r="AMH123"/>
      <c r="AMI123"/>
      <c r="AMJ123"/>
    </row>
    <row r="124" spans="1:1024" ht="15" customHeight="1" thickBot="1" x14ac:dyDescent="0.25">
      <c r="A124" s="505" t="s">
        <v>287</v>
      </c>
      <c r="B124" s="103" t="s">
        <v>148</v>
      </c>
      <c r="C124" s="420">
        <f>1/6</f>
        <v>0.16666666666666666</v>
      </c>
      <c r="D124" s="696">
        <f>1/6</f>
        <v>0.16666666666666666</v>
      </c>
      <c r="E124" s="526"/>
      <c r="F124" s="508"/>
      <c r="G124" s="96">
        <f>(E124+F124)/2</f>
        <v>0</v>
      </c>
      <c r="H124" s="97">
        <f>C124*G124</f>
        <v>0</v>
      </c>
      <c r="I124" s="94">
        <f t="shared" ref="I124:I127" si="9">D124*G124</f>
        <v>0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G124"/>
      <c r="AMH124"/>
      <c r="AMI124"/>
      <c r="AMJ124"/>
    </row>
    <row r="125" spans="1:1024" ht="15" customHeight="1" thickBot="1" x14ac:dyDescent="0.25">
      <c r="A125" s="505" t="s">
        <v>288</v>
      </c>
      <c r="B125" s="103" t="s">
        <v>168</v>
      </c>
      <c r="C125" s="419">
        <f>2*22</f>
        <v>44</v>
      </c>
      <c r="D125" s="424">
        <f>3*22</f>
        <v>66</v>
      </c>
      <c r="E125" s="526"/>
      <c r="F125" s="508"/>
      <c r="G125" s="96">
        <f>(E125+F125)/2</f>
        <v>0</v>
      </c>
      <c r="H125" s="97">
        <f>C125*G125</f>
        <v>0</v>
      </c>
      <c r="I125" s="94">
        <f t="shared" si="9"/>
        <v>0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G125"/>
      <c r="AMH125"/>
      <c r="AMI125"/>
      <c r="AMJ125"/>
    </row>
    <row r="126" spans="1:1024" ht="15" customHeight="1" thickBot="1" x14ac:dyDescent="0.25">
      <c r="A126" s="505" t="s">
        <v>289</v>
      </c>
      <c r="B126" s="103" t="s">
        <v>148</v>
      </c>
      <c r="C126" s="422">
        <f>2*22</f>
        <v>44</v>
      </c>
      <c r="D126" s="697">
        <f>3*22</f>
        <v>66</v>
      </c>
      <c r="E126" s="527"/>
      <c r="F126" s="508"/>
      <c r="G126" s="96">
        <f>(E126+F126)/2</f>
        <v>0</v>
      </c>
      <c r="H126" s="97">
        <f>C126*G126</f>
        <v>0</v>
      </c>
      <c r="I126" s="94">
        <f t="shared" si="9"/>
        <v>0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G126"/>
      <c r="AMH126"/>
      <c r="AMI126"/>
      <c r="AMJ126"/>
    </row>
    <row r="127" spans="1:1024" ht="15" customHeight="1" thickBot="1" x14ac:dyDescent="0.25">
      <c r="A127" s="514" t="s">
        <v>290</v>
      </c>
      <c r="B127" s="421" t="s">
        <v>148</v>
      </c>
      <c r="C127" s="422">
        <f>22</f>
        <v>22</v>
      </c>
      <c r="D127" s="422">
        <f>22</f>
        <v>22</v>
      </c>
      <c r="E127" s="698"/>
      <c r="F127" s="512"/>
      <c r="G127" s="98">
        <f>(E127+F127)/2</f>
        <v>0</v>
      </c>
      <c r="H127" s="99">
        <f>C127*G127</f>
        <v>0</v>
      </c>
      <c r="I127" s="699">
        <f t="shared" si="9"/>
        <v>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G127"/>
      <c r="AMH127"/>
      <c r="AMI127"/>
      <c r="AMJ127"/>
    </row>
    <row r="128" spans="1:1024" s="82" customFormat="1" ht="63" customHeight="1" thickBot="1" x14ac:dyDescent="0.25">
      <c r="A128" s="700" t="s">
        <v>114</v>
      </c>
      <c r="B128" s="701" t="s">
        <v>115</v>
      </c>
      <c r="C128" s="701" t="s">
        <v>291</v>
      </c>
      <c r="D128" s="701" t="s">
        <v>292</v>
      </c>
      <c r="E128" s="701" t="s">
        <v>293</v>
      </c>
      <c r="F128" s="702" t="s">
        <v>282</v>
      </c>
      <c r="G128" s="702" t="s">
        <v>263</v>
      </c>
      <c r="H128" s="703" t="s">
        <v>283</v>
      </c>
      <c r="I128" s="704" t="s">
        <v>284</v>
      </c>
    </row>
    <row r="129" spans="1:1024" ht="20.25" customHeight="1" thickBot="1" x14ac:dyDescent="0.25">
      <c r="A129" s="814" t="s">
        <v>294</v>
      </c>
      <c r="B129" s="815"/>
      <c r="C129" s="815"/>
      <c r="D129" s="815"/>
      <c r="E129" s="815"/>
      <c r="F129" s="815"/>
      <c r="G129" s="816"/>
      <c r="H129" s="705">
        <f>SUM(H130:H133)</f>
        <v>0</v>
      </c>
      <c r="I129" s="705">
        <f>SUM(I130:I133)</f>
        <v>0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G129"/>
      <c r="AMH129"/>
      <c r="AMI129"/>
      <c r="AMJ129"/>
    </row>
    <row r="130" spans="1:1024" ht="15" customHeight="1" x14ac:dyDescent="0.2">
      <c r="A130" s="505" t="s">
        <v>295</v>
      </c>
      <c r="B130" s="51" t="s">
        <v>148</v>
      </c>
      <c r="C130" s="100">
        <v>1</v>
      </c>
      <c r="D130" s="100">
        <v>1</v>
      </c>
      <c r="E130" s="526"/>
      <c r="F130" s="508"/>
      <c r="G130" s="52">
        <f>(E130+F130)/2</f>
        <v>0</v>
      </c>
      <c r="H130" s="101">
        <f>(C130*G130)/12</f>
        <v>0</v>
      </c>
      <c r="I130" s="101">
        <f>(D130*G130)/12</f>
        <v>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F130"/>
      <c r="AMG130"/>
      <c r="AMH130"/>
      <c r="AMI130"/>
      <c r="AMJ130"/>
    </row>
    <row r="131" spans="1:1024" ht="15" customHeight="1" x14ac:dyDescent="0.2">
      <c r="A131" s="505" t="s">
        <v>296</v>
      </c>
      <c r="B131" s="57" t="s">
        <v>168</v>
      </c>
      <c r="C131" s="95">
        <v>2</v>
      </c>
      <c r="D131" s="95">
        <v>2</v>
      </c>
      <c r="E131" s="526"/>
      <c r="F131" s="508"/>
      <c r="G131" s="96">
        <f>(E131+F131)/2</f>
        <v>0</v>
      </c>
      <c r="H131" s="101">
        <f>(C131*G131)/12</f>
        <v>0</v>
      </c>
      <c r="I131" s="101">
        <f t="shared" ref="I131:I133" si="10">(D131*G131)/12</f>
        <v>0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F131"/>
      <c r="AMG131"/>
      <c r="AMH131"/>
      <c r="AMI131"/>
      <c r="AMJ131"/>
    </row>
    <row r="132" spans="1:1024" ht="15" customHeight="1" x14ac:dyDescent="0.2">
      <c r="A132" s="505" t="s">
        <v>289</v>
      </c>
      <c r="B132" s="57" t="s">
        <v>148</v>
      </c>
      <c r="C132" s="57">
        <f>2*22*12</f>
        <v>528</v>
      </c>
      <c r="D132" s="57">
        <f>3*22*12</f>
        <v>792</v>
      </c>
      <c r="E132" s="526"/>
      <c r="F132" s="508"/>
      <c r="G132" s="96">
        <f>(E132+F132)/2</f>
        <v>0</v>
      </c>
      <c r="H132" s="101">
        <f>(C132*G132)/12</f>
        <v>0</v>
      </c>
      <c r="I132" s="101">
        <f t="shared" si="10"/>
        <v>0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F132"/>
      <c r="AMG132"/>
      <c r="AMH132"/>
      <c r="AMI132"/>
      <c r="AMJ132"/>
    </row>
    <row r="133" spans="1:1024" ht="15" customHeight="1" x14ac:dyDescent="0.2">
      <c r="A133" s="505" t="s">
        <v>297</v>
      </c>
      <c r="B133" s="57" t="s">
        <v>148</v>
      </c>
      <c r="C133" s="95">
        <v>1</v>
      </c>
      <c r="D133" s="95">
        <v>1</v>
      </c>
      <c r="E133" s="526"/>
      <c r="F133" s="508"/>
      <c r="G133" s="96">
        <f>(E133+F133)/2</f>
        <v>0</v>
      </c>
      <c r="H133" s="101">
        <f>(C133*G133)/12</f>
        <v>0</v>
      </c>
      <c r="I133" s="101">
        <f t="shared" si="10"/>
        <v>0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F133"/>
      <c r="AMG133"/>
      <c r="AMH133"/>
      <c r="AMI133"/>
      <c r="AMJ133"/>
    </row>
    <row r="134" spans="1:1024" x14ac:dyDescent="0.2">
      <c r="A134" s="69"/>
      <c r="B134" s="70"/>
      <c r="C134" s="70"/>
      <c r="D134" s="70"/>
      <c r="E134" s="70"/>
      <c r="F134" s="70"/>
      <c r="G134" s="70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F134"/>
      <c r="AMG134"/>
      <c r="AMH134"/>
      <c r="AMI134"/>
      <c r="AMJ134"/>
    </row>
    <row r="135" spans="1:1024" ht="12.75" customHeight="1" x14ac:dyDescent="0.2">
      <c r="A135" s="817" t="s">
        <v>298</v>
      </c>
      <c r="B135" s="817"/>
      <c r="C135" s="817"/>
      <c r="D135" s="817"/>
      <c r="E135" s="817"/>
      <c r="F135" s="817"/>
      <c r="G135" s="70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F135"/>
      <c r="AMG135"/>
      <c r="AMH135"/>
      <c r="AMI135"/>
      <c r="AMJ135"/>
    </row>
    <row r="136" spans="1:1024" ht="12.75" customHeight="1" x14ac:dyDescent="0.2">
      <c r="A136" s="102" t="s">
        <v>286</v>
      </c>
      <c r="B136" s="805" t="s">
        <v>299</v>
      </c>
      <c r="C136" s="805"/>
      <c r="D136" s="805"/>
      <c r="E136" s="805"/>
      <c r="F136" s="805"/>
      <c r="G136" s="70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F136"/>
      <c r="AMG136"/>
      <c r="AMH136"/>
      <c r="AMI136"/>
      <c r="AMJ136"/>
    </row>
    <row r="137" spans="1:1024" ht="12.75" customHeight="1" x14ac:dyDescent="0.2">
      <c r="A137" s="102" t="s">
        <v>287</v>
      </c>
      <c r="B137" s="805" t="s">
        <v>300</v>
      </c>
      <c r="C137" s="805"/>
      <c r="D137" s="805"/>
      <c r="E137" s="805"/>
      <c r="F137" s="805"/>
      <c r="G137" s="70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F137"/>
      <c r="AMG137"/>
      <c r="AMH137"/>
      <c r="AMI137"/>
      <c r="AMJ137"/>
    </row>
    <row r="138" spans="1:1024" ht="12.75" customHeight="1" x14ac:dyDescent="0.2">
      <c r="A138" s="102" t="s">
        <v>288</v>
      </c>
      <c r="B138" s="805" t="s">
        <v>301</v>
      </c>
      <c r="C138" s="805"/>
      <c r="D138" s="805"/>
      <c r="E138" s="805"/>
      <c r="F138" s="805"/>
      <c r="G138" s="70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F138"/>
      <c r="AMG138"/>
      <c r="AMH138"/>
      <c r="AMI138"/>
      <c r="AMJ138"/>
    </row>
    <row r="139" spans="1:1024" ht="12.75" customHeight="1" x14ac:dyDescent="0.2">
      <c r="A139" s="102" t="s">
        <v>289</v>
      </c>
      <c r="B139" s="805" t="s">
        <v>302</v>
      </c>
      <c r="C139" s="805"/>
      <c r="D139" s="805"/>
      <c r="E139" s="805"/>
      <c r="F139" s="805"/>
      <c r="G139" s="70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F139"/>
      <c r="AMG139"/>
      <c r="AMH139"/>
      <c r="AMI139"/>
      <c r="AMJ139"/>
    </row>
    <row r="140" spans="1:1024" ht="12.75" customHeight="1" x14ac:dyDescent="0.2">
      <c r="A140" s="102" t="s">
        <v>290</v>
      </c>
      <c r="B140" s="805" t="s">
        <v>299</v>
      </c>
      <c r="C140" s="805"/>
      <c r="D140" s="805"/>
      <c r="E140" s="805"/>
      <c r="F140" s="805"/>
      <c r="G140" s="7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F140"/>
      <c r="AMG140"/>
      <c r="AMH140"/>
      <c r="AMI140"/>
      <c r="AMJ140"/>
    </row>
    <row r="141" spans="1:1024" ht="12.75" customHeight="1" x14ac:dyDescent="0.2">
      <c r="A141" s="102" t="s">
        <v>303</v>
      </c>
      <c r="B141" s="805" t="s">
        <v>304</v>
      </c>
      <c r="C141" s="805"/>
      <c r="D141" s="805"/>
      <c r="E141" s="805"/>
      <c r="F141" s="805"/>
      <c r="G141" s="70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F141"/>
      <c r="AMG141"/>
      <c r="AMH141"/>
      <c r="AMI141"/>
      <c r="AMJ141"/>
    </row>
    <row r="142" spans="1:1024" ht="12.75" customHeight="1" x14ac:dyDescent="0.2">
      <c r="A142" s="102" t="s">
        <v>305</v>
      </c>
      <c r="B142" s="805" t="s">
        <v>306</v>
      </c>
      <c r="C142" s="805"/>
      <c r="D142" s="805"/>
      <c r="E142" s="805"/>
      <c r="F142" s="805"/>
      <c r="G142" s="70"/>
      <c r="H142" s="70"/>
      <c r="I142" s="70"/>
      <c r="J142" s="70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</row>
    <row r="143" spans="1:1024" ht="12.75" customHeight="1" x14ac:dyDescent="0.2">
      <c r="A143" s="102" t="s">
        <v>307</v>
      </c>
      <c r="B143" s="805" t="s">
        <v>308</v>
      </c>
      <c r="C143" s="805"/>
      <c r="D143" s="805"/>
      <c r="E143" s="805"/>
      <c r="F143" s="805"/>
      <c r="G143" s="70"/>
      <c r="H143" s="70"/>
      <c r="I143" s="70"/>
      <c r="J143" s="70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</row>
    <row r="144" spans="1:1024" ht="15" thickBot="1" x14ac:dyDescent="0.25">
      <c r="A144" s="69"/>
      <c r="B144" s="70"/>
      <c r="C144" s="70"/>
      <c r="D144" s="70"/>
      <c r="E144" s="70"/>
      <c r="F144" s="70"/>
      <c r="G144" s="70"/>
      <c r="H144" s="70"/>
      <c r="I144" s="70"/>
      <c r="J144" s="70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</row>
    <row r="145" spans="1:10" ht="20.25" customHeight="1" thickBot="1" x14ac:dyDescent="0.25">
      <c r="A145" s="800" t="s">
        <v>309</v>
      </c>
      <c r="B145" s="801"/>
      <c r="C145" s="801"/>
      <c r="D145" s="801"/>
      <c r="E145" s="801"/>
      <c r="F145" s="801"/>
      <c r="G145" s="802"/>
      <c r="H145" s="706">
        <f>SUM(H146:H146)</f>
        <v>0</v>
      </c>
      <c r="I145" s="707"/>
      <c r="J145" s="70"/>
    </row>
    <row r="146" spans="1:10" ht="15" customHeight="1" thickBot="1" x14ac:dyDescent="0.25">
      <c r="A146" s="708" t="s">
        <v>310</v>
      </c>
      <c r="B146" s="709" t="s">
        <v>148</v>
      </c>
      <c r="C146" s="709">
        <v>1</v>
      </c>
      <c r="D146" s="803"/>
      <c r="E146" s="804"/>
      <c r="F146" s="804"/>
      <c r="G146" s="804"/>
      <c r="H146" s="710">
        <f>D146</f>
        <v>0</v>
      </c>
      <c r="I146" s="711"/>
      <c r="J146" s="70"/>
    </row>
    <row r="147" spans="1:10" x14ac:dyDescent="0.2">
      <c r="A147"/>
      <c r="B147"/>
      <c r="C147"/>
      <c r="D147"/>
      <c r="E147"/>
      <c r="F147"/>
      <c r="G147"/>
      <c r="H147"/>
      <c r="I147"/>
      <c r="J147"/>
    </row>
  </sheetData>
  <mergeCells count="27">
    <mergeCell ref="A98:E98"/>
    <mergeCell ref="A1:H1"/>
    <mergeCell ref="A58:F58"/>
    <mergeCell ref="A59:F59"/>
    <mergeCell ref="A61:H61"/>
    <mergeCell ref="A69:F69"/>
    <mergeCell ref="A97:G97"/>
    <mergeCell ref="B137:F137"/>
    <mergeCell ref="A99:G99"/>
    <mergeCell ref="A120:I120"/>
    <mergeCell ref="A122:G122"/>
    <mergeCell ref="A129:G129"/>
    <mergeCell ref="A135:F135"/>
    <mergeCell ref="B136:F136"/>
    <mergeCell ref="A103:G103"/>
    <mergeCell ref="A105:F105"/>
    <mergeCell ref="A112:F112"/>
    <mergeCell ref="A117:F117"/>
    <mergeCell ref="A118:F118"/>
    <mergeCell ref="A145:G145"/>
    <mergeCell ref="D146:G146"/>
    <mergeCell ref="B138:F138"/>
    <mergeCell ref="B139:F139"/>
    <mergeCell ref="B140:F140"/>
    <mergeCell ref="B141:F141"/>
    <mergeCell ref="B142:F142"/>
    <mergeCell ref="B143:F143"/>
  </mergeCell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LZ46"/>
  <sheetViews>
    <sheetView showGridLines="0" zoomScaleNormal="100" workbookViewId="0">
      <pane xSplit="4" ySplit="5" topLeftCell="S21" activePane="bottomRight" state="frozen"/>
      <selection pane="topRight"/>
      <selection pane="bottomLeft"/>
      <selection pane="bottomRight" activeCell="AC42" sqref="AC42"/>
    </sheetView>
  </sheetViews>
  <sheetFormatPr defaultRowHeight="14.25" x14ac:dyDescent="0.2"/>
  <cols>
    <col min="1" max="1" width="6.75"/>
    <col min="2" max="2" width="34.75" customWidth="1"/>
    <col min="3" max="3" width="54.375" customWidth="1"/>
    <col min="6" max="6" width="8"/>
    <col min="7" max="7" width="8.5"/>
    <col min="8" max="8" width="6.625"/>
    <col min="9" max="9" width="7.875"/>
    <col min="10" max="10" width="7.375"/>
    <col min="11" max="11" width="9.25"/>
    <col min="12" max="12" width="7"/>
    <col min="13" max="13" width="8.25"/>
    <col min="14" max="14" width="6.25"/>
    <col min="15" max="15" width="7.5"/>
    <col min="16" max="16" width="7.375"/>
    <col min="17" max="17" width="8.625"/>
    <col min="18" max="18" width="6.875"/>
    <col min="19" max="19" width="7.5"/>
    <col min="20" max="20" width="9.5" customWidth="1"/>
    <col min="21" max="21" width="7.5"/>
    <col min="22" max="22" width="7"/>
    <col min="23" max="23" width="8.875"/>
    <col min="24" max="24" width="7.25"/>
    <col min="25" max="25" width="12.375"/>
    <col min="26" max="27" width="11.5" customWidth="1"/>
    <col min="28" max="28" width="13.375"/>
    <col min="29" max="29" width="12.625"/>
    <col min="30" max="1015" width="10.625"/>
  </cols>
  <sheetData>
    <row r="1" spans="1:29" ht="24" thickBot="1" x14ac:dyDescent="0.25">
      <c r="A1" s="873" t="s">
        <v>311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  <c r="O1" s="873"/>
      <c r="P1" s="873"/>
      <c r="Q1" s="873"/>
      <c r="R1" s="873"/>
      <c r="S1" s="873"/>
      <c r="T1" s="873"/>
      <c r="U1" s="873"/>
      <c r="V1" s="873"/>
      <c r="W1" s="873"/>
      <c r="X1" s="873"/>
      <c r="Y1" s="873"/>
      <c r="Z1" s="873"/>
      <c r="AA1" s="873"/>
      <c r="AB1" s="873"/>
      <c r="AC1" s="873"/>
    </row>
    <row r="2" spans="1:29" ht="15" customHeight="1" thickBot="1" x14ac:dyDescent="0.25">
      <c r="A2" s="874" t="s">
        <v>115</v>
      </c>
      <c r="B2" s="874"/>
      <c r="C2" s="431"/>
      <c r="D2" s="431"/>
      <c r="E2" s="875" t="s">
        <v>312</v>
      </c>
      <c r="F2" s="875"/>
      <c r="G2" s="875"/>
      <c r="H2" s="875"/>
      <c r="I2" s="875"/>
      <c r="J2" s="875"/>
      <c r="K2" s="875"/>
      <c r="L2" s="875"/>
      <c r="M2" s="876" t="s">
        <v>313</v>
      </c>
      <c r="N2" s="876"/>
      <c r="O2" s="876"/>
      <c r="P2" s="876"/>
      <c r="Q2" s="876"/>
      <c r="R2" s="876"/>
      <c r="S2" s="877" t="s">
        <v>314</v>
      </c>
      <c r="T2" s="877"/>
      <c r="U2" s="877"/>
      <c r="V2" s="877"/>
      <c r="W2" s="877"/>
      <c r="X2" s="877"/>
      <c r="Y2" s="167" t="s">
        <v>315</v>
      </c>
      <c r="Z2" s="614" t="s">
        <v>316</v>
      </c>
      <c r="AA2" s="167" t="s">
        <v>317</v>
      </c>
      <c r="AB2" s="167" t="s">
        <v>318</v>
      </c>
      <c r="AC2" s="167" t="s">
        <v>319</v>
      </c>
    </row>
    <row r="3" spans="1:29" ht="59.25" customHeight="1" thickBot="1" x14ac:dyDescent="0.25">
      <c r="A3" s="852" t="s">
        <v>320</v>
      </c>
      <c r="B3" s="866" t="s">
        <v>321</v>
      </c>
      <c r="C3" s="653"/>
      <c r="D3" s="870" t="s">
        <v>322</v>
      </c>
      <c r="E3" s="869" t="s">
        <v>323</v>
      </c>
      <c r="F3" s="863"/>
      <c r="G3" s="863" t="s">
        <v>324</v>
      </c>
      <c r="H3" s="863"/>
      <c r="I3" s="863" t="s">
        <v>325</v>
      </c>
      <c r="J3" s="863"/>
      <c r="K3" s="863" t="s">
        <v>326</v>
      </c>
      <c r="L3" s="863"/>
      <c r="M3" s="864" t="s">
        <v>327</v>
      </c>
      <c r="N3" s="864"/>
      <c r="O3" s="865" t="s">
        <v>328</v>
      </c>
      <c r="P3" s="865"/>
      <c r="Q3" s="864" t="s">
        <v>329</v>
      </c>
      <c r="R3" s="864"/>
      <c r="S3" s="858" t="s">
        <v>330</v>
      </c>
      <c r="T3" s="858"/>
      <c r="U3" s="858" t="s">
        <v>331</v>
      </c>
      <c r="V3" s="858"/>
      <c r="W3" s="859" t="s">
        <v>332</v>
      </c>
      <c r="X3" s="859"/>
      <c r="Y3" s="860" t="s">
        <v>333</v>
      </c>
      <c r="Z3" s="844" t="s">
        <v>334</v>
      </c>
      <c r="AA3" s="861" t="s">
        <v>335</v>
      </c>
      <c r="AB3" s="850" t="s">
        <v>336</v>
      </c>
      <c r="AC3" s="855" t="s">
        <v>337</v>
      </c>
    </row>
    <row r="4" spans="1:29" ht="15" customHeight="1" thickBot="1" x14ac:dyDescent="0.25">
      <c r="A4" s="853"/>
      <c r="B4" s="867"/>
      <c r="C4" s="654"/>
      <c r="D4" s="871"/>
      <c r="E4" s="869"/>
      <c r="F4" s="863"/>
      <c r="G4" s="863"/>
      <c r="H4" s="863"/>
      <c r="I4" s="863"/>
      <c r="J4" s="863"/>
      <c r="K4" s="863"/>
      <c r="L4" s="863"/>
      <c r="M4" s="864"/>
      <c r="N4" s="864"/>
      <c r="O4" s="865"/>
      <c r="P4" s="865"/>
      <c r="Q4" s="864"/>
      <c r="R4" s="864"/>
      <c r="S4" s="858"/>
      <c r="T4" s="858"/>
      <c r="U4" s="858"/>
      <c r="V4" s="858"/>
      <c r="W4" s="859"/>
      <c r="X4" s="859"/>
      <c r="Y4" s="860"/>
      <c r="Z4" s="845"/>
      <c r="AA4" s="862"/>
      <c r="AB4" s="851"/>
      <c r="AC4" s="856"/>
    </row>
    <row r="5" spans="1:29" ht="24.75" thickBot="1" x14ac:dyDescent="0.25">
      <c r="A5" s="854"/>
      <c r="B5" s="868"/>
      <c r="C5" s="655"/>
      <c r="D5" s="872"/>
      <c r="E5" s="475" t="s">
        <v>338</v>
      </c>
      <c r="F5" s="476" t="s">
        <v>339</v>
      </c>
      <c r="G5" s="173" t="s">
        <v>338</v>
      </c>
      <c r="H5" s="169" t="s">
        <v>339</v>
      </c>
      <c r="I5" s="173" t="s">
        <v>338</v>
      </c>
      <c r="J5" s="169" t="s">
        <v>339</v>
      </c>
      <c r="K5" s="173" t="s">
        <v>338</v>
      </c>
      <c r="L5" s="169" t="s">
        <v>339</v>
      </c>
      <c r="M5" s="170" t="s">
        <v>338</v>
      </c>
      <c r="N5" s="170" t="s">
        <v>339</v>
      </c>
      <c r="O5" s="170" t="s">
        <v>338</v>
      </c>
      <c r="P5" s="170" t="s">
        <v>339</v>
      </c>
      <c r="Q5" s="170" t="s">
        <v>338</v>
      </c>
      <c r="R5" s="170" t="s">
        <v>339</v>
      </c>
      <c r="S5" s="171" t="s">
        <v>338</v>
      </c>
      <c r="T5" s="171" t="s">
        <v>339</v>
      </c>
      <c r="U5" s="171" t="s">
        <v>338</v>
      </c>
      <c r="V5" s="171" t="s">
        <v>339</v>
      </c>
      <c r="W5" s="171" t="s">
        <v>338</v>
      </c>
      <c r="X5" s="174" t="s">
        <v>339</v>
      </c>
      <c r="Y5" s="532" t="s">
        <v>340</v>
      </c>
      <c r="Z5" s="538" t="s">
        <v>340</v>
      </c>
      <c r="AA5" s="533" t="s">
        <v>340</v>
      </c>
      <c r="AB5" s="176" t="s">
        <v>340</v>
      </c>
      <c r="AC5" s="177" t="s">
        <v>340</v>
      </c>
    </row>
    <row r="6" spans="1:29" ht="13.5" customHeight="1" x14ac:dyDescent="0.2">
      <c r="A6" s="178">
        <v>1</v>
      </c>
      <c r="B6" s="178" t="s">
        <v>342</v>
      </c>
      <c r="C6" s="178" t="s">
        <v>343</v>
      </c>
      <c r="D6" s="432">
        <f>MC!C68</f>
        <v>0</v>
      </c>
      <c r="E6" s="465">
        <v>7101.45</v>
      </c>
      <c r="F6" s="466">
        <f>'GEXCTB Limp.Ord.'!F149</f>
        <v>0</v>
      </c>
      <c r="G6" s="471">
        <v>2611.9</v>
      </c>
      <c r="H6" s="462">
        <f>'GEXCTB Limp.Ord.'!F155</f>
        <v>0</v>
      </c>
      <c r="I6" s="459">
        <v>1841.99</v>
      </c>
      <c r="J6" s="462">
        <f>'GEXCTB Limp.Ord.'!F161</f>
        <v>0</v>
      </c>
      <c r="K6" s="459">
        <v>209.96</v>
      </c>
      <c r="L6" s="462">
        <f>'GEXCTB Limp.Ord.'!F167</f>
        <v>0</v>
      </c>
      <c r="M6" s="459">
        <v>294.07</v>
      </c>
      <c r="N6" s="462">
        <f>'GEXCTB Limp.Ord.'!F173</f>
        <v>0</v>
      </c>
      <c r="O6" s="459"/>
      <c r="P6" s="462">
        <f>'GEXCTB Limp.Ord.'!F176</f>
        <v>0</v>
      </c>
      <c r="Q6" s="459">
        <v>239.4</v>
      </c>
      <c r="R6" s="462">
        <f>'GEXCTB Limp.Ord.'!F179</f>
        <v>0</v>
      </c>
      <c r="S6" s="459">
        <v>3040.81</v>
      </c>
      <c r="T6" s="462">
        <f>'GEXCTB Limp.Ord.'!F185</f>
        <v>0</v>
      </c>
      <c r="U6" s="459">
        <v>250</v>
      </c>
      <c r="V6" s="462">
        <f>'GEXCTB Limp.Ord.'!F188</f>
        <v>0</v>
      </c>
      <c r="W6" s="459">
        <v>3290.81</v>
      </c>
      <c r="X6" s="462">
        <f>'GEXCTB Limp.Ord.'!F191</f>
        <v>0</v>
      </c>
      <c r="Y6" s="185">
        <f t="shared" ref="Y6:Y20" si="0">(E6*F6)+(G6*H6)+(I6*J6)+(K6*L6)+(M6*N6)+(O6*P6)+(Q6*R6)+(S6*T6)+(U6*V6)+(W6*X6)</f>
        <v>0</v>
      </c>
      <c r="Z6" s="539"/>
      <c r="AA6" s="534">
        <f>'GEXCTB Limp.Ord.'!C140*'Prod. GEXCTB'!R4</f>
        <v>0</v>
      </c>
      <c r="AB6" s="187">
        <f>'GEXCTB Covid'!C140*'Prod. GEXCTB'!S4</f>
        <v>0</v>
      </c>
      <c r="AC6" s="188">
        <f>'Prod. GEXCTB'!T4*MC!I7</f>
        <v>0</v>
      </c>
    </row>
    <row r="7" spans="1:29" x14ac:dyDescent="0.2">
      <c r="A7" s="189">
        <v>2</v>
      </c>
      <c r="B7" s="189" t="s">
        <v>78</v>
      </c>
      <c r="C7" s="189" t="s">
        <v>344</v>
      </c>
      <c r="D7" s="434">
        <f>MC!C69</f>
        <v>0</v>
      </c>
      <c r="E7" s="467">
        <v>150</v>
      </c>
      <c r="F7" s="468">
        <f>'GEXCTB Limp.Ord.'!F149</f>
        <v>0</v>
      </c>
      <c r="G7" s="472">
        <v>3000</v>
      </c>
      <c r="H7" s="463">
        <f>'GEXCTB Limp.Ord.'!F155</f>
        <v>0</v>
      </c>
      <c r="I7" s="460"/>
      <c r="J7" s="463">
        <f>'GEXCTB Limp.Ord.'!F161</f>
        <v>0</v>
      </c>
      <c r="K7" s="460">
        <v>20.62</v>
      </c>
      <c r="L7" s="463">
        <f>'GEXCTB Limp.Ord.'!F167</f>
        <v>0</v>
      </c>
      <c r="M7" s="460">
        <v>774.35</v>
      </c>
      <c r="N7" s="463">
        <f>'GEXCTB Limp.Ord.'!F173</f>
        <v>0</v>
      </c>
      <c r="O7" s="460">
        <v>4270</v>
      </c>
      <c r="P7" s="463">
        <f>'GEXCTB Limp.Ord.'!F176</f>
        <v>0</v>
      </c>
      <c r="Q7" s="460"/>
      <c r="R7" s="463">
        <f>'GEXCTB Limp.Ord.'!F179</f>
        <v>0</v>
      </c>
      <c r="S7" s="460">
        <v>48.7</v>
      </c>
      <c r="T7" s="463">
        <f>'GEXCTB Limp.Ord.'!F185</f>
        <v>0</v>
      </c>
      <c r="U7" s="460"/>
      <c r="V7" s="463">
        <f>'GEXCTB Limp.Ord.'!F188</f>
        <v>0</v>
      </c>
      <c r="W7" s="460">
        <v>48.7</v>
      </c>
      <c r="X7" s="463">
        <f>'GEXCTB Limp.Ord.'!F191</f>
        <v>0</v>
      </c>
      <c r="Y7" s="196">
        <f t="shared" si="0"/>
        <v>0</v>
      </c>
      <c r="Z7" s="539"/>
      <c r="AA7" s="535">
        <f>'GEXCTB Limp.Ord.'!C140*'Prod. GEXCTB'!R5</f>
        <v>0</v>
      </c>
      <c r="AB7" s="198">
        <f>'GEXCTB Covid'!C140*'Prod. GEXCTB'!S5</f>
        <v>0</v>
      </c>
      <c r="AC7" s="199"/>
    </row>
    <row r="8" spans="1:29" x14ac:dyDescent="0.2">
      <c r="A8" s="189">
        <v>3</v>
      </c>
      <c r="B8" s="189" t="s">
        <v>82</v>
      </c>
      <c r="C8" s="189" t="s">
        <v>345</v>
      </c>
      <c r="D8" s="434">
        <f>MC!C71</f>
        <v>0</v>
      </c>
      <c r="E8" s="467">
        <v>5834.79</v>
      </c>
      <c r="F8" s="468">
        <f>'GEXCTB Limp.Ord.'!F149</f>
        <v>0</v>
      </c>
      <c r="G8" s="472">
        <v>61.05</v>
      </c>
      <c r="H8" s="463">
        <f>'GEXCTB Limp.Ord.'!F155</f>
        <v>0</v>
      </c>
      <c r="I8" s="460">
        <v>1401.94</v>
      </c>
      <c r="J8" s="463">
        <f>'GEXCTB Limp.Ord.'!F161</f>
        <v>0</v>
      </c>
      <c r="K8" s="460">
        <v>490.89</v>
      </c>
      <c r="L8" s="463">
        <f>'GEXCTB Limp.Ord.'!F167</f>
        <v>0</v>
      </c>
      <c r="M8" s="460">
        <v>640.38</v>
      </c>
      <c r="N8" s="463">
        <f>'GEXCTB Limp.Ord.'!F173</f>
        <v>0</v>
      </c>
      <c r="O8" s="460"/>
      <c r="P8" s="463">
        <f>'GEXCTB Limp.Ord.'!F176</f>
        <v>0</v>
      </c>
      <c r="Q8" s="460">
        <v>150</v>
      </c>
      <c r="R8" s="463">
        <f>'GEXCTB Limp.Ord.'!F179</f>
        <v>0</v>
      </c>
      <c r="S8" s="460">
        <v>2142</v>
      </c>
      <c r="T8" s="463">
        <f>'GEXCTB Limp.Ord.'!F185</f>
        <v>0</v>
      </c>
      <c r="U8" s="460">
        <v>178</v>
      </c>
      <c r="V8" s="463">
        <f>'GEXCTB Limp.Ord.'!F188</f>
        <v>0</v>
      </c>
      <c r="W8" s="460">
        <v>2320</v>
      </c>
      <c r="X8" s="463">
        <f>'GEXCTB Limp.Ord.'!F191</f>
        <v>0</v>
      </c>
      <c r="Y8" s="196">
        <f t="shared" si="0"/>
        <v>0</v>
      </c>
      <c r="Z8" s="539">
        <f>'GEXCTB Covid'!D135*'Prod. GEXCTB'!P7</f>
        <v>0</v>
      </c>
      <c r="AA8" s="535">
        <f>'GEXCTB Limp.Ord.'!C140*'Prod. GEXCTB'!R7</f>
        <v>0</v>
      </c>
      <c r="AB8" s="198">
        <f>'GEXCTB Covid'!C140*'Prod. GEXCTB'!S7</f>
        <v>0</v>
      </c>
      <c r="AC8" s="199"/>
    </row>
    <row r="9" spans="1:29" x14ac:dyDescent="0.2">
      <c r="A9" s="189">
        <v>4</v>
      </c>
      <c r="B9" s="189" t="s">
        <v>84</v>
      </c>
      <c r="C9" s="189" t="s">
        <v>346</v>
      </c>
      <c r="D9" s="434">
        <f>MC!C72</f>
        <v>0</v>
      </c>
      <c r="E9" s="467">
        <v>661.1</v>
      </c>
      <c r="F9" s="468">
        <f>'GEXCTB Limp.Ord.'!F149</f>
        <v>0</v>
      </c>
      <c r="G9" s="472">
        <v>152.5</v>
      </c>
      <c r="H9" s="463">
        <f>'GEXCTB Limp.Ord.'!F155</f>
        <v>0</v>
      </c>
      <c r="I9" s="460"/>
      <c r="J9" s="463">
        <f>'GEXCTB Limp.Ord.'!F161</f>
        <v>0</v>
      </c>
      <c r="K9" s="460">
        <v>55.33</v>
      </c>
      <c r="L9" s="463">
        <f>'GEXCTB Limp.Ord.'!F167</f>
        <v>0</v>
      </c>
      <c r="M9" s="460">
        <v>250</v>
      </c>
      <c r="N9" s="463">
        <f>'GEXCTB Limp.Ord.'!F173</f>
        <v>0</v>
      </c>
      <c r="O9" s="460">
        <v>1748.85</v>
      </c>
      <c r="P9" s="463">
        <f>'GEXCTB Limp.Ord.'!F176</f>
        <v>0</v>
      </c>
      <c r="Q9" s="460">
        <v>216</v>
      </c>
      <c r="R9" s="463">
        <f>'GEXCTB Limp.Ord.'!F179</f>
        <v>0</v>
      </c>
      <c r="S9" s="460">
        <v>0</v>
      </c>
      <c r="T9" s="463">
        <f>'GEXCTB Limp.Ord.'!F185</f>
        <v>0</v>
      </c>
      <c r="U9" s="460">
        <v>124.35</v>
      </c>
      <c r="V9" s="463">
        <f>'GEXCTB Limp.Ord.'!F188</f>
        <v>0</v>
      </c>
      <c r="W9" s="460">
        <v>124.35</v>
      </c>
      <c r="X9" s="463">
        <f>'GEXCTB Limp.Ord.'!F191</f>
        <v>0</v>
      </c>
      <c r="Y9" s="196">
        <f t="shared" si="0"/>
        <v>0</v>
      </c>
      <c r="Z9" s="539"/>
      <c r="AA9" s="535">
        <f>'GEXCTB Limp.Ord.'!C140*'Prod. GEXCTB'!R8</f>
        <v>0</v>
      </c>
      <c r="AB9" s="198">
        <f>'GEXCTB Covid'!C140*'Prod. GEXCTB'!S8</f>
        <v>0</v>
      </c>
      <c r="AC9" s="199"/>
    </row>
    <row r="10" spans="1:29" x14ac:dyDescent="0.2">
      <c r="A10" s="189">
        <v>5</v>
      </c>
      <c r="B10" s="189" t="s">
        <v>86</v>
      </c>
      <c r="C10" s="189" t="s">
        <v>347</v>
      </c>
      <c r="D10" s="434">
        <f>MC!C73</f>
        <v>0</v>
      </c>
      <c r="E10" s="467">
        <v>1995.94</v>
      </c>
      <c r="F10" s="468">
        <f>'GEXCTB Limp.Ord.'!F149</f>
        <v>0</v>
      </c>
      <c r="G10" s="472">
        <v>1396.82</v>
      </c>
      <c r="H10" s="463">
        <f>'GEXCTB Limp.Ord.'!F155</f>
        <v>0</v>
      </c>
      <c r="I10" s="460"/>
      <c r="J10" s="463">
        <f>'GEXCTB Limp.Ord.'!F161</f>
        <v>0</v>
      </c>
      <c r="K10" s="460">
        <v>152.38999999999999</v>
      </c>
      <c r="L10" s="463">
        <f>'GEXCTB Limp.Ord.'!F167</f>
        <v>0</v>
      </c>
      <c r="M10" s="460">
        <v>5714.19</v>
      </c>
      <c r="N10" s="463">
        <f>'GEXCTB Limp.Ord.'!F173</f>
        <v>0</v>
      </c>
      <c r="O10" s="460">
        <v>54.85</v>
      </c>
      <c r="P10" s="463">
        <f>'GEXCTB Limp.Ord.'!F176</f>
        <v>0</v>
      </c>
      <c r="Q10" s="460">
        <v>710</v>
      </c>
      <c r="R10" s="463">
        <f>'GEXCTB Limp.Ord.'!F179</f>
        <v>0</v>
      </c>
      <c r="S10" s="460">
        <v>100.25</v>
      </c>
      <c r="T10" s="463">
        <f>'GEXCTB Limp.Ord.'!F185</f>
        <v>0</v>
      </c>
      <c r="U10" s="460">
        <v>200</v>
      </c>
      <c r="V10" s="463">
        <f>'GEXCTB Limp.Ord.'!F188</f>
        <v>0</v>
      </c>
      <c r="W10" s="460">
        <v>300.25</v>
      </c>
      <c r="X10" s="463">
        <f>'GEXCTB Limp.Ord.'!F191</f>
        <v>0</v>
      </c>
      <c r="Y10" s="196">
        <f t="shared" si="0"/>
        <v>0</v>
      </c>
      <c r="Z10" s="539">
        <f>'GEXCTB Covid'!C135*'Prod. GEXCTB'!Q9</f>
        <v>0</v>
      </c>
      <c r="AA10" s="535">
        <f>'GEXCTB Limp.Ord.'!C140*'Prod. GEXCTB'!R9</f>
        <v>0</v>
      </c>
      <c r="AB10" s="198">
        <f>'GEXCTB Covid'!C140*'Prod. GEXCTB'!S9</f>
        <v>0</v>
      </c>
      <c r="AC10" s="199"/>
    </row>
    <row r="11" spans="1:29" x14ac:dyDescent="0.2">
      <c r="A11" s="189">
        <v>6</v>
      </c>
      <c r="B11" s="189" t="s">
        <v>88</v>
      </c>
      <c r="C11" s="189" t="s">
        <v>348</v>
      </c>
      <c r="D11" s="434">
        <f>MC!C74</f>
        <v>0</v>
      </c>
      <c r="E11" s="467">
        <v>825.54</v>
      </c>
      <c r="F11" s="468">
        <f>'GEXCTB Limp.Ord.'!L149</f>
        <v>0</v>
      </c>
      <c r="G11" s="473">
        <v>825.54</v>
      </c>
      <c r="H11" s="463">
        <f>'GEXCTB Limp.Ord.'!L155</f>
        <v>0</v>
      </c>
      <c r="I11" s="460">
        <v>825.54</v>
      </c>
      <c r="J11" s="463">
        <f>'GEXCTB Limp.Ord.'!L161</f>
        <v>0</v>
      </c>
      <c r="K11" s="460">
        <v>143.30000000000001</v>
      </c>
      <c r="L11" s="463">
        <f>'GEXCTB Limp.Ord.'!L167</f>
        <v>0</v>
      </c>
      <c r="M11" s="460">
        <v>479</v>
      </c>
      <c r="N11" s="463">
        <f>'GEXCTB Limp.Ord.'!L173</f>
        <v>0</v>
      </c>
      <c r="O11" s="460">
        <v>263</v>
      </c>
      <c r="P11" s="463">
        <f>'GEXCTB Limp.Ord.'!L176</f>
        <v>0</v>
      </c>
      <c r="Q11" s="460">
        <v>150</v>
      </c>
      <c r="R11" s="463">
        <f>'GEXCTB Limp.Ord.'!L179</f>
        <v>0</v>
      </c>
      <c r="S11" s="460">
        <v>746.26</v>
      </c>
      <c r="T11" s="463">
        <f>'GEXCTB Limp.Ord.'!L185</f>
        <v>0</v>
      </c>
      <c r="U11" s="460">
        <v>373</v>
      </c>
      <c r="V11" s="463">
        <f>'GEXCTB Limp.Ord.'!L188</f>
        <v>0</v>
      </c>
      <c r="W11" s="460">
        <v>1119.26</v>
      </c>
      <c r="X11" s="463">
        <f>'GEXCTB Limp.Ord.'!L191</f>
        <v>0</v>
      </c>
      <c r="Y11" s="196">
        <f t="shared" si="0"/>
        <v>0</v>
      </c>
      <c r="Z11" s="539">
        <f>'GEXCTB Covid'!D137*'Prod. GEXCTB'!P10</f>
        <v>0</v>
      </c>
      <c r="AA11" s="535">
        <f>'GEXCTB Limp.Ord.'!C142*'Prod. GEXCTB'!R10</f>
        <v>0</v>
      </c>
      <c r="AB11" s="198">
        <f>'GEXCTB Covid'!C142*'Prod. GEXCTB'!S10</f>
        <v>0</v>
      </c>
      <c r="AC11" s="199"/>
    </row>
    <row r="12" spans="1:29" x14ac:dyDescent="0.2">
      <c r="A12" s="189">
        <v>7</v>
      </c>
      <c r="B12" s="189" t="s">
        <v>90</v>
      </c>
      <c r="C12" s="189" t="s">
        <v>349</v>
      </c>
      <c r="D12" s="434">
        <f>MC!C75</f>
        <v>0</v>
      </c>
      <c r="E12" s="467">
        <v>475.66</v>
      </c>
      <c r="F12" s="468">
        <f>'GEXCTB Limp.Ord.'!L149</f>
        <v>0</v>
      </c>
      <c r="G12" s="472"/>
      <c r="H12" s="463">
        <f>'GEXCTB Limp.Ord.'!L155</f>
        <v>0</v>
      </c>
      <c r="I12" s="460"/>
      <c r="J12" s="463">
        <f>'GEXCTB Limp.Ord.'!L161</f>
        <v>0</v>
      </c>
      <c r="K12" s="460">
        <v>20.21</v>
      </c>
      <c r="L12" s="463">
        <f>'GEXCTB Limp.Ord.'!L167</f>
        <v>0</v>
      </c>
      <c r="M12" s="460">
        <v>18.600000000000001</v>
      </c>
      <c r="N12" s="463">
        <f>'GEXCTB Limp.Ord.'!L173</f>
        <v>0</v>
      </c>
      <c r="O12" s="460"/>
      <c r="P12" s="463">
        <f>'GEXCTB Limp.Ord.'!L176</f>
        <v>0</v>
      </c>
      <c r="Q12" s="460">
        <v>436.74</v>
      </c>
      <c r="R12" s="463">
        <f>'GEXCTB Limp.Ord.'!L179</f>
        <v>0</v>
      </c>
      <c r="S12" s="460">
        <v>0</v>
      </c>
      <c r="T12" s="463">
        <f>'GEXCTB Limp.Ord.'!L185</f>
        <v>0</v>
      </c>
      <c r="U12" s="460">
        <v>60.08</v>
      </c>
      <c r="V12" s="463">
        <f>'GEXCTB Limp.Ord.'!L188</f>
        <v>0</v>
      </c>
      <c r="W12" s="460">
        <v>60.08</v>
      </c>
      <c r="X12" s="463">
        <f>'GEXCTB Limp.Ord.'!L191</f>
        <v>0</v>
      </c>
      <c r="Y12" s="196">
        <f t="shared" si="0"/>
        <v>0</v>
      </c>
      <c r="Z12" s="539">
        <f>'GEXCTB Covid'!D138*'Prod. GEXCTB'!P11</f>
        <v>0</v>
      </c>
      <c r="AA12" s="535">
        <f>'GEXCTB Limp.Ord.'!C143*'Prod. GEXCTB'!R11</f>
        <v>0</v>
      </c>
      <c r="AB12" s="198">
        <f>'GEXCTB Covid'!C143*'Prod. GEXCTB'!S11</f>
        <v>0</v>
      </c>
      <c r="AC12" s="199"/>
    </row>
    <row r="13" spans="1:29" x14ac:dyDescent="0.2">
      <c r="A13" s="189">
        <v>8</v>
      </c>
      <c r="B13" s="189" t="s">
        <v>92</v>
      </c>
      <c r="C13" s="189" t="s">
        <v>350</v>
      </c>
      <c r="D13" s="434">
        <f>MC!C76</f>
        <v>0</v>
      </c>
      <c r="E13" s="467">
        <v>578.01</v>
      </c>
      <c r="F13" s="468">
        <f>'GEXCTB Limp.Ord.'!L149</f>
        <v>0</v>
      </c>
      <c r="G13" s="472">
        <v>289</v>
      </c>
      <c r="H13" s="463">
        <f>'GEXCTB Limp.Ord.'!L155</f>
        <v>0</v>
      </c>
      <c r="I13" s="460"/>
      <c r="J13" s="463">
        <f>'GEXCTB Limp.Ord.'!L161</f>
        <v>0</v>
      </c>
      <c r="K13" s="460">
        <v>31.02</v>
      </c>
      <c r="L13" s="463">
        <f>'GEXCTB Limp.Ord.'!L167</f>
        <v>0</v>
      </c>
      <c r="M13" s="460">
        <v>24.46</v>
      </c>
      <c r="N13" s="463">
        <f>'GEXCTB Limp.Ord.'!L173</f>
        <v>0</v>
      </c>
      <c r="O13" s="460"/>
      <c r="P13" s="463">
        <f>'GEXCTB Limp.Ord.'!L176</f>
        <v>0</v>
      </c>
      <c r="Q13" s="460">
        <v>37.5</v>
      </c>
      <c r="R13" s="463">
        <f>'GEXCTB Limp.Ord.'!L179</f>
        <v>0</v>
      </c>
      <c r="S13" s="460">
        <v>35.950000000000003</v>
      </c>
      <c r="T13" s="463">
        <f>'GEXCTB Limp.Ord.'!L185</f>
        <v>0</v>
      </c>
      <c r="U13" s="460">
        <v>35.950000000000003</v>
      </c>
      <c r="V13" s="463">
        <f>'GEXCTB Limp.Ord.'!L188</f>
        <v>0</v>
      </c>
      <c r="W13" s="460">
        <v>71.900000000000006</v>
      </c>
      <c r="X13" s="463">
        <f>'GEXCTB Limp.Ord.'!L191</f>
        <v>0</v>
      </c>
      <c r="Y13" s="196">
        <f t="shared" si="0"/>
        <v>0</v>
      </c>
      <c r="Z13" s="539">
        <f>'GEXCTB Covid'!D138*'Prod. GEXCTB'!P12</f>
        <v>0</v>
      </c>
      <c r="AA13" s="535">
        <f>'GEXCTB Limp.Ord.'!C143*'Prod. GEXCTB'!R12</f>
        <v>0</v>
      </c>
      <c r="AB13" s="198">
        <f>'GEXCTB Covid'!C143*'Prod. GEXCTB'!S12</f>
        <v>0</v>
      </c>
      <c r="AC13" s="199"/>
    </row>
    <row r="14" spans="1:29" x14ac:dyDescent="0.2">
      <c r="A14" s="189">
        <v>9</v>
      </c>
      <c r="B14" s="189" t="s">
        <v>94</v>
      </c>
      <c r="C14" s="189" t="s">
        <v>351</v>
      </c>
      <c r="D14" s="434">
        <f>MC!C77</f>
        <v>0</v>
      </c>
      <c r="E14" s="467">
        <v>757.45</v>
      </c>
      <c r="F14" s="468">
        <f>'GEXCTB Limp.Ord.'!D149</f>
        <v>0</v>
      </c>
      <c r="G14" s="472"/>
      <c r="H14" s="463">
        <f>'GEXCTB Limp.Ord.'!D155</f>
        <v>0</v>
      </c>
      <c r="I14" s="460">
        <v>60.69</v>
      </c>
      <c r="J14" s="463">
        <f>'GEXCTB Limp.Ord.'!D161</f>
        <v>0</v>
      </c>
      <c r="K14" s="460">
        <v>44.12</v>
      </c>
      <c r="L14" s="463">
        <f>'GEXCTB Limp.Ord.'!D167</f>
        <v>0</v>
      </c>
      <c r="M14" s="460">
        <v>258</v>
      </c>
      <c r="N14" s="463">
        <f>'GEXCTB Limp.Ord.'!D173</f>
        <v>0</v>
      </c>
      <c r="O14" s="460"/>
      <c r="P14" s="463">
        <f>'GEXCTB Limp.Ord.'!D176</f>
        <v>0</v>
      </c>
      <c r="Q14" s="460"/>
      <c r="R14" s="463">
        <f>'GEXCTB Limp.Ord.'!D179</f>
        <v>0</v>
      </c>
      <c r="S14" s="460">
        <v>0</v>
      </c>
      <c r="T14" s="463">
        <f>'GEXCTB Limp.Ord.'!D185</f>
        <v>0</v>
      </c>
      <c r="U14" s="460">
        <v>62.03</v>
      </c>
      <c r="V14" s="463">
        <f>'GEXCTB Limp.Ord.'!D188</f>
        <v>0</v>
      </c>
      <c r="W14" s="460">
        <v>62.03</v>
      </c>
      <c r="X14" s="463">
        <f>'GEXCTB Limp.Ord.'!D191</f>
        <v>0</v>
      </c>
      <c r="Y14" s="196">
        <f t="shared" si="0"/>
        <v>0</v>
      </c>
      <c r="Z14" s="539">
        <f>'GEXCTB Covid'!D134*'Prod. GEXCTB'!P13</f>
        <v>0</v>
      </c>
      <c r="AA14" s="535">
        <f>'GEXCTB Limp.Ord.'!C139*'Prod. GEXCTB'!R13</f>
        <v>0</v>
      </c>
      <c r="AB14" s="198">
        <f>'GEXCTB Covid'!C139*'Prod. GEXCTB'!S13</f>
        <v>0</v>
      </c>
      <c r="AC14" s="199"/>
    </row>
    <row r="15" spans="1:29" x14ac:dyDescent="0.2">
      <c r="A15" s="189">
        <v>10</v>
      </c>
      <c r="B15" s="189" t="s">
        <v>96</v>
      </c>
      <c r="C15" s="189" t="s">
        <v>352</v>
      </c>
      <c r="D15" s="434">
        <f>MC!C78</f>
        <v>0</v>
      </c>
      <c r="E15" s="467">
        <v>567.87</v>
      </c>
      <c r="F15" s="468">
        <f>'GEXCTB Limp.Ord.'!D149</f>
        <v>0</v>
      </c>
      <c r="G15" s="472"/>
      <c r="H15" s="463">
        <f>'GEXCTB Limp.Ord.'!D155</f>
        <v>0</v>
      </c>
      <c r="I15" s="460"/>
      <c r="J15" s="463">
        <f>'GEXCTB Limp.Ord.'!D161</f>
        <v>0</v>
      </c>
      <c r="K15" s="460">
        <v>39.869999999999997</v>
      </c>
      <c r="L15" s="463">
        <f>'GEXCTB Limp.Ord.'!D167</f>
        <v>0</v>
      </c>
      <c r="M15" s="460">
        <v>446.83</v>
      </c>
      <c r="N15" s="463">
        <f>'GEXCTB Limp.Ord.'!D173</f>
        <v>0</v>
      </c>
      <c r="O15" s="460">
        <v>128</v>
      </c>
      <c r="P15" s="463">
        <f>'GEXCTB Limp.Ord.'!D176</f>
        <v>0</v>
      </c>
      <c r="Q15" s="460">
        <v>45</v>
      </c>
      <c r="R15" s="463">
        <f>'GEXCTB Limp.Ord.'!D179</f>
        <v>0</v>
      </c>
      <c r="S15" s="460">
        <v>0</v>
      </c>
      <c r="T15" s="463">
        <f>'GEXCTB Limp.Ord.'!D185</f>
        <v>0</v>
      </c>
      <c r="U15" s="460">
        <v>89.12</v>
      </c>
      <c r="V15" s="463">
        <f>'GEXCTB Limp.Ord.'!D188</f>
        <v>0</v>
      </c>
      <c r="W15" s="460">
        <v>89.12</v>
      </c>
      <c r="X15" s="463">
        <f>'GEXCTB Limp.Ord.'!D191</f>
        <v>0</v>
      </c>
      <c r="Y15" s="196">
        <f t="shared" si="0"/>
        <v>0</v>
      </c>
      <c r="Z15" s="539"/>
      <c r="AA15" s="535">
        <f>'GEXCTB Limp.Ord.'!C139*'Prod. GEXCTB'!R14</f>
        <v>0</v>
      </c>
      <c r="AB15" s="198">
        <f>'GEXCTB Covid'!C139*'Prod. GEXCTB'!S14</f>
        <v>0</v>
      </c>
      <c r="AC15" s="199"/>
    </row>
    <row r="16" spans="1:29" x14ac:dyDescent="0.2">
      <c r="A16" s="189">
        <v>11</v>
      </c>
      <c r="B16" s="189" t="s">
        <v>98</v>
      </c>
      <c r="C16" s="189" t="s">
        <v>353</v>
      </c>
      <c r="D16" s="434">
        <f>MC!C79</f>
        <v>0</v>
      </c>
      <c r="E16" s="467">
        <v>432.68</v>
      </c>
      <c r="F16" s="468">
        <f>'GEXCTB Limp.Ord.'!H149</f>
        <v>0</v>
      </c>
      <c r="G16" s="472"/>
      <c r="H16" s="463">
        <f>'GEXCTB Limp.Ord.'!H155</f>
        <v>0</v>
      </c>
      <c r="I16" s="460"/>
      <c r="J16" s="463">
        <f>'GEXCTB Limp.Ord.'!H161</f>
        <v>0</v>
      </c>
      <c r="K16" s="460">
        <v>21.48</v>
      </c>
      <c r="L16" s="463">
        <f>'GEXCTB Limp.Ord.'!H167</f>
        <v>0</v>
      </c>
      <c r="M16" s="460">
        <v>75</v>
      </c>
      <c r="N16" s="463">
        <f>'GEXCTB Limp.Ord.'!H173</f>
        <v>0</v>
      </c>
      <c r="O16" s="460"/>
      <c r="P16" s="463">
        <f>'GEXCTB Limp.Ord.'!H176</f>
        <v>0</v>
      </c>
      <c r="Q16" s="460">
        <v>30</v>
      </c>
      <c r="R16" s="463">
        <f>'GEXCTB Limp.Ord.'!H179</f>
        <v>0</v>
      </c>
      <c r="S16" s="460">
        <v>0</v>
      </c>
      <c r="T16" s="463">
        <f>'GEXCTB Limp.Ord.'!H185</f>
        <v>0</v>
      </c>
      <c r="U16" s="460">
        <v>49.56</v>
      </c>
      <c r="V16" s="463">
        <f>'GEXCTB Limp.Ord.'!H188</f>
        <v>0</v>
      </c>
      <c r="W16" s="460">
        <v>49.56</v>
      </c>
      <c r="X16" s="463">
        <f>'GEXCTB Limp.Ord.'!H191</f>
        <v>0</v>
      </c>
      <c r="Y16" s="196">
        <f t="shared" si="0"/>
        <v>0</v>
      </c>
      <c r="Z16" s="539"/>
      <c r="AA16" s="535">
        <f>'GEXCTB Limp.Ord.'!C141*'Prod. GEXCTB'!R15</f>
        <v>0</v>
      </c>
      <c r="AB16" s="198">
        <f>'GEXCTB Covid'!C141*'Prod. GEXCTB'!S15</f>
        <v>0</v>
      </c>
      <c r="AC16" s="199"/>
    </row>
    <row r="17" spans="1:1014" x14ac:dyDescent="0.2">
      <c r="A17" s="189">
        <v>12</v>
      </c>
      <c r="B17" s="189" t="s">
        <v>100</v>
      </c>
      <c r="C17" s="189" t="s">
        <v>354</v>
      </c>
      <c r="D17" s="434">
        <f>MC!C80</f>
        <v>0</v>
      </c>
      <c r="E17" s="467">
        <v>289</v>
      </c>
      <c r="F17" s="468">
        <f>'GEXCTB Limp.Ord.'!D149</f>
        <v>0</v>
      </c>
      <c r="G17" s="472">
        <v>21</v>
      </c>
      <c r="H17" s="463">
        <f>'GEXCTB Limp.Ord.'!D155</f>
        <v>0</v>
      </c>
      <c r="I17" s="460"/>
      <c r="J17" s="463">
        <f>'GEXCTB Limp.Ord.'!D161</f>
        <v>0</v>
      </c>
      <c r="K17" s="460">
        <v>24.4</v>
      </c>
      <c r="L17" s="463">
        <f>'GEXCTB Limp.Ord.'!D167</f>
        <v>0</v>
      </c>
      <c r="M17" s="460">
        <v>603.35</v>
      </c>
      <c r="N17" s="463">
        <f>'GEXCTB Limp.Ord.'!D173</f>
        <v>0</v>
      </c>
      <c r="O17" s="460">
        <v>261</v>
      </c>
      <c r="P17" s="463">
        <f>'GEXCTB Limp.Ord.'!D176</f>
        <v>0</v>
      </c>
      <c r="Q17" s="460">
        <v>40</v>
      </c>
      <c r="R17" s="463">
        <f>'GEXCTB Limp.Ord.'!D179</f>
        <v>0</v>
      </c>
      <c r="S17" s="460">
        <v>0</v>
      </c>
      <c r="T17" s="463">
        <f>'GEXCTB Limp.Ord.'!D185</f>
        <v>0</v>
      </c>
      <c r="U17" s="460">
        <v>84.6</v>
      </c>
      <c r="V17" s="463">
        <f>'GEXCTB Limp.Ord.'!D188</f>
        <v>0</v>
      </c>
      <c r="W17" s="460">
        <v>84.6</v>
      </c>
      <c r="X17" s="463">
        <f>'GEXCTB Limp.Ord.'!D191</f>
        <v>0</v>
      </c>
      <c r="Y17" s="196">
        <f t="shared" si="0"/>
        <v>0</v>
      </c>
      <c r="Z17" s="539">
        <f>'GEXCTB Covid'!D136*'Prod. GEXCTB'!P16</f>
        <v>0</v>
      </c>
      <c r="AA17" s="535">
        <f>'GEXCTB Limp.Ord.'!C139*'Prod. GEXCTB'!R16</f>
        <v>0</v>
      </c>
      <c r="AB17" s="198">
        <f>'GEXCTB Covid'!C139*'Prod. GEXCTB'!S16</f>
        <v>0</v>
      </c>
      <c r="AC17" s="199"/>
    </row>
    <row r="18" spans="1:1014" s="168" customFormat="1" ht="12.75" x14ac:dyDescent="0.2">
      <c r="A18" s="189">
        <v>13</v>
      </c>
      <c r="B18" s="189" t="s">
        <v>102</v>
      </c>
      <c r="C18" s="189" t="s">
        <v>355</v>
      </c>
      <c r="D18" s="434">
        <f>MC!C81</f>
        <v>0</v>
      </c>
      <c r="E18" s="467">
        <v>289</v>
      </c>
      <c r="F18" s="468">
        <f>'GEXCTB Limp.Ord.'!D149</f>
        <v>0</v>
      </c>
      <c r="G18" s="472">
        <v>21</v>
      </c>
      <c r="H18" s="463">
        <f>'GEXCTB Limp.Ord.'!D155</f>
        <v>0</v>
      </c>
      <c r="I18" s="460"/>
      <c r="J18" s="463">
        <f>'GEXCTB Limp.Ord.'!D161</f>
        <v>0</v>
      </c>
      <c r="K18" s="460">
        <v>24.4</v>
      </c>
      <c r="L18" s="463">
        <f>'GEXCTB Limp.Ord.'!D167</f>
        <v>0</v>
      </c>
      <c r="M18" s="460">
        <v>394.5</v>
      </c>
      <c r="N18" s="463">
        <f>'GEXCTB Limp.Ord.'!D173</f>
        <v>0</v>
      </c>
      <c r="O18" s="460">
        <v>471.1</v>
      </c>
      <c r="P18" s="463">
        <f>'GEXCTB Limp.Ord.'!D176</f>
        <v>0</v>
      </c>
      <c r="Q18" s="460">
        <v>120</v>
      </c>
      <c r="R18" s="463">
        <f>'GEXCTB Limp.Ord.'!D179</f>
        <v>0</v>
      </c>
      <c r="S18" s="460">
        <v>0</v>
      </c>
      <c r="T18" s="463">
        <f>'GEXCTB Limp.Ord.'!D185</f>
        <v>0</v>
      </c>
      <c r="U18" s="460">
        <v>84.6</v>
      </c>
      <c r="V18" s="463">
        <f>'GEXCTB Limp.Ord.'!D188</f>
        <v>0</v>
      </c>
      <c r="W18" s="460">
        <v>84.6</v>
      </c>
      <c r="X18" s="463">
        <f>'GEXCTB Limp.Ord.'!D191</f>
        <v>0</v>
      </c>
      <c r="Y18" s="196">
        <f t="shared" si="0"/>
        <v>0</v>
      </c>
      <c r="Z18" s="539"/>
      <c r="AA18" s="535">
        <f>'GEXCTB Limp.Ord.'!C139*'Prod. GEXCTB'!R17</f>
        <v>0</v>
      </c>
      <c r="AB18" s="198">
        <f>'GEXCTB Covid'!C139*'Prod. GEXCTB'!S17</f>
        <v>0</v>
      </c>
      <c r="AC18" s="199"/>
      <c r="ALN18" s="201"/>
      <c r="ALO18" s="201"/>
      <c r="ALP18" s="201"/>
      <c r="ALQ18" s="201"/>
      <c r="ALR18" s="201"/>
      <c r="ALS18" s="201"/>
      <c r="ALT18" s="201"/>
      <c r="ALU18" s="201"/>
      <c r="ALV18" s="201"/>
      <c r="ALW18" s="201"/>
      <c r="ALX18" s="201"/>
      <c r="ALY18" s="201"/>
      <c r="ALZ18" s="201"/>
    </row>
    <row r="19" spans="1:1014" s="168" customFormat="1" ht="12.75" x14ac:dyDescent="0.2">
      <c r="A19" s="189">
        <v>14</v>
      </c>
      <c r="B19" s="189" t="s">
        <v>104</v>
      </c>
      <c r="C19" s="189" t="s">
        <v>356</v>
      </c>
      <c r="D19" s="434">
        <f>MC!C82</f>
        <v>0</v>
      </c>
      <c r="E19" s="467">
        <v>289</v>
      </c>
      <c r="F19" s="468">
        <f>'GEXCTB Limp.Ord.'!D149</f>
        <v>0</v>
      </c>
      <c r="G19" s="472">
        <v>21</v>
      </c>
      <c r="H19" s="463">
        <f>'GEXCTB Limp.Ord.'!D155</f>
        <v>0</v>
      </c>
      <c r="I19" s="460"/>
      <c r="J19" s="463">
        <f>'GEXCTB Limp.Ord.'!D161</f>
        <v>0</v>
      </c>
      <c r="K19" s="460">
        <v>24.4</v>
      </c>
      <c r="L19" s="463">
        <f>'GEXCTB Limp.Ord.'!D167</f>
        <v>0</v>
      </c>
      <c r="M19" s="460">
        <v>613.6</v>
      </c>
      <c r="N19" s="463">
        <f>'GEXCTB Limp.Ord.'!D173</f>
        <v>0</v>
      </c>
      <c r="O19" s="460">
        <v>402</v>
      </c>
      <c r="P19" s="463">
        <f>'GEXCTB Limp.Ord.'!D176</f>
        <v>0</v>
      </c>
      <c r="Q19" s="460">
        <v>30</v>
      </c>
      <c r="R19" s="463">
        <f>'GEXCTB Limp.Ord.'!D179</f>
        <v>0</v>
      </c>
      <c r="S19" s="460">
        <v>0</v>
      </c>
      <c r="T19" s="463">
        <f>'GEXCTB Limp.Ord.'!D185</f>
        <v>0</v>
      </c>
      <c r="U19" s="460">
        <v>84.6</v>
      </c>
      <c r="V19" s="463">
        <f>'GEXCTB Limp.Ord.'!D188</f>
        <v>0</v>
      </c>
      <c r="W19" s="460">
        <v>84.6</v>
      </c>
      <c r="X19" s="463">
        <f>'GEXCTB Limp.Ord.'!D191</f>
        <v>0</v>
      </c>
      <c r="Y19" s="196">
        <f t="shared" si="0"/>
        <v>0</v>
      </c>
      <c r="Z19" s="539"/>
      <c r="AA19" s="535">
        <f>'GEXCTB Limp.Ord.'!C139*'Prod. GEXCTB'!R18</f>
        <v>0</v>
      </c>
      <c r="AB19" s="198">
        <f>'GEXCTB Covid'!C139*'Prod. GEXCTB'!S18</f>
        <v>0</v>
      </c>
      <c r="AC19" s="199"/>
      <c r="ALN19" s="201"/>
      <c r="ALO19" s="201"/>
      <c r="ALP19" s="201"/>
      <c r="ALQ19" s="201"/>
      <c r="ALR19" s="201"/>
      <c r="ALS19" s="201"/>
      <c r="ALT19" s="201"/>
      <c r="ALU19" s="201"/>
      <c r="ALV19" s="201"/>
      <c r="ALW19" s="201"/>
      <c r="ALX19" s="201"/>
      <c r="ALY19" s="201"/>
      <c r="ALZ19" s="201"/>
    </row>
    <row r="20" spans="1:1014" s="168" customFormat="1" ht="13.5" thickBot="1" x14ac:dyDescent="0.25">
      <c r="A20" s="189">
        <v>15</v>
      </c>
      <c r="B20" s="202" t="s">
        <v>106</v>
      </c>
      <c r="C20" s="189" t="s">
        <v>357</v>
      </c>
      <c r="D20" s="435">
        <f>MC!C83</f>
        <v>0</v>
      </c>
      <c r="E20" s="469">
        <v>289</v>
      </c>
      <c r="F20" s="470">
        <f>'GEXCTB Limp.Ord.'!F149</f>
        <v>0</v>
      </c>
      <c r="G20" s="474">
        <v>21</v>
      </c>
      <c r="H20" s="464">
        <f>'GEXCTB Limp.Ord.'!F155</f>
        <v>0</v>
      </c>
      <c r="I20" s="461"/>
      <c r="J20" s="464">
        <f>'GEXCTB Limp.Ord.'!F161</f>
        <v>0</v>
      </c>
      <c r="K20" s="461">
        <v>24.4</v>
      </c>
      <c r="L20" s="464">
        <f>'GEXCTB Limp.Ord.'!F167</f>
        <v>0</v>
      </c>
      <c r="M20" s="461">
        <v>505.1</v>
      </c>
      <c r="N20" s="464">
        <f>'GEXCTB Limp.Ord.'!F173</f>
        <v>0</v>
      </c>
      <c r="O20" s="461">
        <v>210.5</v>
      </c>
      <c r="P20" s="464">
        <f>'GEXCTB Limp.Ord.'!F176</f>
        <v>0</v>
      </c>
      <c r="Q20" s="461">
        <v>45</v>
      </c>
      <c r="R20" s="464">
        <f>'GEXCTB Limp.Ord.'!F179</f>
        <v>0</v>
      </c>
      <c r="S20" s="461">
        <v>0</v>
      </c>
      <c r="T20" s="464">
        <f>'GEXCTB Limp.Ord.'!F185</f>
        <v>0</v>
      </c>
      <c r="U20" s="461">
        <v>84.6</v>
      </c>
      <c r="V20" s="464">
        <f>'GEXCTB Limp.Ord.'!F188</f>
        <v>0</v>
      </c>
      <c r="W20" s="461">
        <v>84.6</v>
      </c>
      <c r="X20" s="464">
        <f>'GEXCTB Limp.Ord.'!F191</f>
        <v>0</v>
      </c>
      <c r="Y20" s="209">
        <f t="shared" si="0"/>
        <v>0</v>
      </c>
      <c r="Z20" s="540"/>
      <c r="AA20" s="536">
        <f>'GEXCTB Limp.Ord.'!C140*'Prod. GEXCTB'!R19</f>
        <v>0</v>
      </c>
      <c r="AB20" s="210">
        <f>'GEXCTB Covid'!C140*'Prod. GEXCTB'!S19</f>
        <v>0</v>
      </c>
      <c r="AC20" s="211"/>
      <c r="ALN20" s="201"/>
      <c r="ALO20" s="201"/>
      <c r="ALP20" s="201"/>
      <c r="ALQ20" s="201"/>
      <c r="ALR20" s="201"/>
      <c r="ALS20" s="201"/>
      <c r="ALT20" s="201"/>
      <c r="ALU20" s="201"/>
      <c r="ALV20" s="201"/>
      <c r="ALW20" s="201"/>
      <c r="ALX20" s="201"/>
      <c r="ALY20" s="201"/>
      <c r="ALZ20" s="201"/>
    </row>
    <row r="21" spans="1:1014" s="168" customFormat="1" ht="14.25" customHeight="1" thickBot="1" x14ac:dyDescent="0.25">
      <c r="A21" s="846" t="s">
        <v>358</v>
      </c>
      <c r="B21" s="847"/>
      <c r="C21" s="847"/>
      <c r="D21" s="848"/>
      <c r="E21" s="477">
        <f>SUM(E6:E20)</f>
        <v>20536.489999999998</v>
      </c>
      <c r="F21" s="478"/>
      <c r="G21" s="213">
        <f>SUM(G6:G20)</f>
        <v>8420.81</v>
      </c>
      <c r="H21" s="214"/>
      <c r="I21" s="213">
        <f>SUM(I6:I20)</f>
        <v>4130.16</v>
      </c>
      <c r="J21" s="214"/>
      <c r="K21" s="213">
        <f>SUM(K6:K20)</f>
        <v>1326.7900000000002</v>
      </c>
      <c r="L21" s="214"/>
      <c r="M21" s="213">
        <f>SUM(M6:M20)</f>
        <v>11091.43</v>
      </c>
      <c r="N21" s="214"/>
      <c r="O21" s="213">
        <f>SUM(O6:O20)</f>
        <v>7809.3000000000011</v>
      </c>
      <c r="P21" s="214"/>
      <c r="Q21" s="213">
        <f>SUM(Q6:Q20)</f>
        <v>2249.6400000000003</v>
      </c>
      <c r="R21" s="214"/>
      <c r="S21" s="213">
        <f>SUM(S6:S20)</f>
        <v>6113.97</v>
      </c>
      <c r="T21" s="726"/>
      <c r="U21" s="213">
        <f>SUM(U6:U20)</f>
        <v>1760.4899999999993</v>
      </c>
      <c r="V21" s="214"/>
      <c r="W21" s="215">
        <f>SUM(W6:W20)</f>
        <v>7874.4600000000019</v>
      </c>
      <c r="X21" s="214"/>
      <c r="Y21" s="214">
        <f>SUM(Y6:Y20)</f>
        <v>0</v>
      </c>
      <c r="Z21" s="537">
        <f>SUM(Z6:Z20)</f>
        <v>0</v>
      </c>
      <c r="AA21" s="215">
        <f>SUM(AA6:AA20)</f>
        <v>0</v>
      </c>
      <c r="AB21" s="216">
        <f>SUM(AB6:AB20)</f>
        <v>0</v>
      </c>
      <c r="AC21" s="214">
        <f>SUM(AC6:AC20)</f>
        <v>0</v>
      </c>
      <c r="ALN21" s="201"/>
      <c r="ALO21" s="201"/>
      <c r="ALP21" s="201"/>
      <c r="ALQ21" s="201"/>
      <c r="ALR21" s="201"/>
      <c r="ALS21" s="201"/>
      <c r="ALT21" s="201"/>
      <c r="ALU21" s="201"/>
      <c r="ALV21" s="201"/>
      <c r="ALW21" s="201"/>
      <c r="ALX21" s="201"/>
      <c r="ALY21" s="201"/>
      <c r="ALZ21" s="201"/>
    </row>
    <row r="22" spans="1:1014" s="168" customFormat="1" ht="12.75" x14ac:dyDescent="0.2">
      <c r="A22" s="178">
        <v>16</v>
      </c>
      <c r="B22" s="178" t="s">
        <v>77</v>
      </c>
      <c r="C22" s="178" t="s">
        <v>359</v>
      </c>
      <c r="D22" s="432">
        <f>MC!I68</f>
        <v>0</v>
      </c>
      <c r="E22" s="727">
        <v>1747.93</v>
      </c>
      <c r="F22" s="180">
        <f>'GEXPGR Limp.Ord. '!H149</f>
        <v>0</v>
      </c>
      <c r="G22" s="217">
        <v>204.45</v>
      </c>
      <c r="H22" s="182">
        <f>'GEXPGR Limp.Ord. '!H155</f>
        <v>0</v>
      </c>
      <c r="I22" s="217">
        <v>153.06</v>
      </c>
      <c r="J22" s="182">
        <f>'GEXPGR Limp.Ord. '!H161</f>
        <v>0</v>
      </c>
      <c r="K22" s="217">
        <v>125.06</v>
      </c>
      <c r="L22" s="182">
        <f>'GEXPGR Limp.Ord. '!H167</f>
        <v>0</v>
      </c>
      <c r="M22" s="217">
        <v>1995</v>
      </c>
      <c r="N22" s="182">
        <f>'GEXPGR Limp.Ord. '!H173</f>
        <v>0</v>
      </c>
      <c r="O22" s="217">
        <f>1000</f>
        <v>1000</v>
      </c>
      <c r="P22" s="182">
        <f>'GEXPGR Limp.Ord. '!H176</f>
        <v>0</v>
      </c>
      <c r="Q22" s="217">
        <v>480</v>
      </c>
      <c r="R22" s="182">
        <f>'GEXPGR Limp.Ord. '!H179</f>
        <v>0</v>
      </c>
      <c r="S22" s="183"/>
      <c r="T22" s="182">
        <f>'GEXPGR Limp.Ord. '!H185</f>
        <v>0</v>
      </c>
      <c r="U22" s="217">
        <v>250</v>
      </c>
      <c r="V22" s="182">
        <f>'GEXPGR Limp.Ord. '!H188</f>
        <v>0</v>
      </c>
      <c r="W22" s="218">
        <v>460</v>
      </c>
      <c r="X22" s="182">
        <f>'GEXPGR Limp.Ord. '!H191</f>
        <v>0</v>
      </c>
      <c r="Y22" s="185">
        <f t="shared" ref="Y22:Y36" si="1">(E22*F22)+(G22*H22)+(I22*J22)+(K22*L22)+(M22*N22)+(O22*P22)+(Q22*R22)+(S22*T22)+(U22*V22)+(W22*X22)</f>
        <v>0</v>
      </c>
      <c r="Z22" s="539"/>
      <c r="AA22" s="186">
        <f>'GEXPGR Limp.Ord. '!C141*'Prod. GEXPGR'!R4</f>
        <v>0</v>
      </c>
      <c r="AB22" s="187">
        <f>'GEXPGR Covid '!C141*'Prod. GEXPGR'!S4</f>
        <v>0</v>
      </c>
      <c r="AC22" s="188">
        <f>MC!I7*'Prod. GEXPGR'!T4</f>
        <v>0</v>
      </c>
      <c r="ALN22" s="201"/>
      <c r="ALO22" s="201"/>
      <c r="ALP22" s="201"/>
      <c r="ALQ22" s="201"/>
      <c r="ALR22" s="201"/>
      <c r="ALS22" s="201"/>
      <c r="ALT22" s="201"/>
      <c r="ALU22" s="201"/>
      <c r="ALV22" s="201"/>
      <c r="ALW22" s="201"/>
      <c r="ALX22" s="201"/>
      <c r="ALY22" s="201"/>
      <c r="ALZ22" s="201"/>
    </row>
    <row r="23" spans="1:1014" s="168" customFormat="1" ht="12.75" x14ac:dyDescent="0.2">
      <c r="A23" s="189">
        <v>17</v>
      </c>
      <c r="B23" s="189" t="s">
        <v>78</v>
      </c>
      <c r="C23" s="189" t="s">
        <v>360</v>
      </c>
      <c r="D23" s="434">
        <f>MC!I69</f>
        <v>0</v>
      </c>
      <c r="E23" s="728">
        <v>51.01</v>
      </c>
      <c r="F23" s="191">
        <f>'GEXPGR Limp.Ord. '!H149</f>
        <v>0</v>
      </c>
      <c r="G23" s="192">
        <f>312.22+284.05+306.14</f>
        <v>902.41</v>
      </c>
      <c r="H23" s="193">
        <f>'GEXPGR Limp.Ord. '!H155</f>
        <v>0</v>
      </c>
      <c r="I23" s="192">
        <f>36.86+11.34+34.19+25.1+5.7+14.64+7.63</f>
        <v>135.46</v>
      </c>
      <c r="J23" s="193">
        <f>'GEXPGR Limp.Ord. '!H161</f>
        <v>0</v>
      </c>
      <c r="K23" s="192">
        <f>3.18+3.36+4.84+4.84</f>
        <v>16.22</v>
      </c>
      <c r="L23" s="193">
        <f>'GEXPGR Limp.Ord. '!H167</f>
        <v>0</v>
      </c>
      <c r="M23" s="192">
        <v>52.5</v>
      </c>
      <c r="N23" s="193">
        <f>'GEXPGR Limp.Ord. '!H173</f>
        <v>0</v>
      </c>
      <c r="O23" s="192"/>
      <c r="P23" s="193">
        <f>'GEXPGR Limp.Ord. '!H176</f>
        <v>0</v>
      </c>
      <c r="Q23" s="192">
        <v>16</v>
      </c>
      <c r="R23" s="193">
        <f>'GEXPGR Limp.Ord. '!H179</f>
        <v>0</v>
      </c>
      <c r="S23" s="194">
        <v>57.5</v>
      </c>
      <c r="T23" s="193">
        <f>'GEXPGR Limp.Ord. '!H185</f>
        <v>0</v>
      </c>
      <c r="U23" s="192">
        <f>115/2</f>
        <v>57.5</v>
      </c>
      <c r="V23" s="193">
        <f>'GEXPGR Limp.Ord. '!H188</f>
        <v>0</v>
      </c>
      <c r="W23" s="219">
        <v>115</v>
      </c>
      <c r="X23" s="193">
        <f>'GEXPGR Limp.Ord. '!H191</f>
        <v>0</v>
      </c>
      <c r="Y23" s="196">
        <f t="shared" si="1"/>
        <v>0</v>
      </c>
      <c r="Z23" s="539"/>
      <c r="AA23" s="197">
        <f>'GEXPGR Limp.Ord. '!C141*'Prod. GEXPGR'!R5</f>
        <v>0</v>
      </c>
      <c r="AB23" s="198">
        <f>'GEXPGR Covid '!C141*'Prod. GEXPGR'!S5</f>
        <v>0</v>
      </c>
      <c r="AC23" s="199"/>
      <c r="ALN23" s="201"/>
      <c r="ALO23" s="201"/>
      <c r="ALP23" s="201"/>
      <c r="ALQ23" s="201"/>
      <c r="ALR23" s="201"/>
      <c r="ALS23" s="201"/>
      <c r="ALT23" s="201"/>
      <c r="ALU23" s="201"/>
      <c r="ALV23" s="201"/>
      <c r="ALW23" s="201"/>
      <c r="ALX23" s="201"/>
      <c r="ALY23" s="201"/>
      <c r="ALZ23" s="201"/>
    </row>
    <row r="24" spans="1:1014" s="168" customFormat="1" ht="12.75" x14ac:dyDescent="0.2">
      <c r="A24" s="189">
        <v>18</v>
      </c>
      <c r="B24" s="189" t="s">
        <v>361</v>
      </c>
      <c r="C24" s="189" t="s">
        <v>359</v>
      </c>
      <c r="D24" s="434">
        <f>MC!I70</f>
        <v>0</v>
      </c>
      <c r="E24" s="729">
        <v>1552.87</v>
      </c>
      <c r="F24" s="191">
        <f>'GEXPGR Limp.Ord. '!H149</f>
        <v>0</v>
      </c>
      <c r="G24" s="192"/>
      <c r="H24" s="193">
        <f>'GEXPGR Limp.Ord. '!H155</f>
        <v>0</v>
      </c>
      <c r="I24" s="192">
        <v>70</v>
      </c>
      <c r="J24" s="182">
        <f>'GEXPGR Limp.Ord. '!H161</f>
        <v>0</v>
      </c>
      <c r="K24" s="192">
        <v>125.06</v>
      </c>
      <c r="L24" s="193">
        <f>'GEXPGR Limp.Ord. '!H167</f>
        <v>0</v>
      </c>
      <c r="M24" s="192"/>
      <c r="N24" s="193">
        <f>'GEXPGR Limp.Ord. '!H173</f>
        <v>0</v>
      </c>
      <c r="O24" s="192"/>
      <c r="P24" s="193">
        <f>'GEXPGR Limp.Ord. '!H176</f>
        <v>0</v>
      </c>
      <c r="Q24" s="192"/>
      <c r="R24" s="193">
        <f>'GEXPGR Limp.Ord. '!H179</f>
        <v>0</v>
      </c>
      <c r="S24" s="194"/>
      <c r="T24" s="193">
        <f>'GEXPGR Limp.Ord. '!H185</f>
        <v>0</v>
      </c>
      <c r="U24" s="192"/>
      <c r="V24" s="193">
        <f>'GEXPGR Limp.Ord. '!H188</f>
        <v>0</v>
      </c>
      <c r="W24" s="220"/>
      <c r="X24" s="193">
        <f>'GEXPGR Limp.Ord. '!H191</f>
        <v>0</v>
      </c>
      <c r="Y24" s="196">
        <f t="shared" si="1"/>
        <v>0</v>
      </c>
      <c r="Z24" s="539">
        <f>'GEXPGR Covid '!C136*'Prod. GEXPGR'!Q6+'GEXPGR Covid '!D136*'Prod. GEXPGR'!P6</f>
        <v>0</v>
      </c>
      <c r="AA24" s="197">
        <f>'GEXPGR Limp.Ord. '!C141*'Prod. GEXPGR'!R6</f>
        <v>0</v>
      </c>
      <c r="AB24" s="198">
        <f>'GEXPGR Covid '!C141*'Prod. GEXPGR'!S6</f>
        <v>0</v>
      </c>
      <c r="AC24" s="199"/>
      <c r="ALN24" s="201"/>
      <c r="ALO24" s="201"/>
      <c r="ALP24" s="201"/>
      <c r="ALQ24" s="201"/>
      <c r="ALR24" s="201"/>
      <c r="ALS24" s="201"/>
      <c r="ALT24" s="201"/>
      <c r="ALU24" s="201"/>
      <c r="ALV24" s="201"/>
      <c r="ALW24" s="201"/>
      <c r="ALX24" s="201"/>
      <c r="ALY24" s="201"/>
      <c r="ALZ24" s="201"/>
    </row>
    <row r="25" spans="1:1014" s="168" customFormat="1" ht="12.75" x14ac:dyDescent="0.2">
      <c r="A25" s="189">
        <v>19</v>
      </c>
      <c r="B25" s="189" t="s">
        <v>83</v>
      </c>
      <c r="C25" s="189" t="s">
        <v>362</v>
      </c>
      <c r="D25" s="434">
        <f>MC!I71</f>
        <v>0</v>
      </c>
      <c r="E25" s="729">
        <v>1763.64</v>
      </c>
      <c r="F25" s="191">
        <f>'GEXPGR Limp.Ord. '!L149</f>
        <v>0</v>
      </c>
      <c r="G25" s="192">
        <f>41.87+210.51+189.47+12.88+32.17+32.05+17.92+14.65</f>
        <v>551.52</v>
      </c>
      <c r="H25" s="193">
        <f>'GEXPGR Limp.Ord. '!L155</f>
        <v>0</v>
      </c>
      <c r="I25" s="192">
        <f>25.87+57.06+108.25+210.51+70.44</f>
        <v>472.13</v>
      </c>
      <c r="J25" s="193">
        <f>'GEXPGR Limp.Ord. '!L161</f>
        <v>0</v>
      </c>
      <c r="K25" s="192">
        <f>45.92+54.88+36.01</f>
        <v>136.81</v>
      </c>
      <c r="L25" s="193">
        <f>'GEXPGR Limp.Ord. '!L167</f>
        <v>0</v>
      </c>
      <c r="M25" s="192">
        <v>225</v>
      </c>
      <c r="N25" s="193">
        <f>'GEXPGR Limp.Ord. '!L173</f>
        <v>0</v>
      </c>
      <c r="O25" s="192">
        <v>43.28</v>
      </c>
      <c r="P25" s="193">
        <f>'GEXPGR Limp.Ord. '!L176</f>
        <v>0</v>
      </c>
      <c r="Q25" s="192">
        <v>152</v>
      </c>
      <c r="R25" s="193">
        <f>'GEXPGR Limp.Ord. '!L179</f>
        <v>0</v>
      </c>
      <c r="S25" s="194">
        <v>350</v>
      </c>
      <c r="T25" s="193">
        <f>'GEXPGR Limp.Ord. '!L185</f>
        <v>0</v>
      </c>
      <c r="U25" s="192">
        <v>32</v>
      </c>
      <c r="V25" s="193">
        <f>'GEXPGR Limp.Ord. '!L188</f>
        <v>0</v>
      </c>
      <c r="W25" s="220">
        <v>806</v>
      </c>
      <c r="X25" s="193">
        <f>'GEXPGR Limp.Ord. '!L191</f>
        <v>0</v>
      </c>
      <c r="Y25" s="196">
        <f t="shared" si="1"/>
        <v>0</v>
      </c>
      <c r="Z25" s="539">
        <f>'GEXPGR Covid '!D138*'Prod. GEXPGR'!P7</f>
        <v>0</v>
      </c>
      <c r="AA25" s="197">
        <f>'GEXPGR Limp.Ord. '!C143*'Prod. GEXPGR'!R7</f>
        <v>0</v>
      </c>
      <c r="AB25" s="198">
        <f>'GEXPGR Covid '!C143*'Prod. GEXPGR'!S7</f>
        <v>0</v>
      </c>
      <c r="AC25" s="199"/>
      <c r="ALN25" s="201"/>
      <c r="ALO25" s="201"/>
      <c r="ALP25" s="201"/>
      <c r="ALQ25" s="201"/>
      <c r="ALR25" s="201"/>
      <c r="ALS25" s="201"/>
      <c r="ALT25" s="201"/>
      <c r="ALU25" s="201"/>
      <c r="ALV25" s="201"/>
      <c r="ALW25" s="201"/>
      <c r="ALX25" s="201"/>
      <c r="ALY25" s="201"/>
      <c r="ALZ25" s="201"/>
    </row>
    <row r="26" spans="1:1014" s="168" customFormat="1" ht="12.75" x14ac:dyDescent="0.2">
      <c r="A26" s="189">
        <v>20</v>
      </c>
      <c r="B26" s="189" t="s">
        <v>363</v>
      </c>
      <c r="C26" s="189" t="s">
        <v>364</v>
      </c>
      <c r="D26" s="434">
        <f>MC!I72</f>
        <v>0</v>
      </c>
      <c r="E26" s="728">
        <v>510</v>
      </c>
      <c r="F26" s="191">
        <f>'GEXPGR Limp.Ord. '!L149</f>
        <v>0</v>
      </c>
      <c r="G26" s="192">
        <v>594.79</v>
      </c>
      <c r="H26" s="193">
        <f>'GEXPGR Limp.Ord. '!L155</f>
        <v>0</v>
      </c>
      <c r="I26" s="192">
        <v>387.12</v>
      </c>
      <c r="J26" s="193">
        <f>'GEXPGR Limp.Ord. '!L161</f>
        <v>0</v>
      </c>
      <c r="K26" s="192">
        <v>33.25</v>
      </c>
      <c r="L26" s="193">
        <f>'GEXPGR Limp.Ord. '!L167</f>
        <v>0</v>
      </c>
      <c r="M26" s="192">
        <v>270</v>
      </c>
      <c r="N26" s="193">
        <f>'GEXPGR Limp.Ord. '!L173</f>
        <v>0</v>
      </c>
      <c r="O26" s="192"/>
      <c r="P26" s="193">
        <f>'GEXPGR Limp.Ord. '!L176</f>
        <v>0</v>
      </c>
      <c r="Q26" s="192">
        <v>50</v>
      </c>
      <c r="R26" s="193">
        <f>'GEXPGR Limp.Ord. '!L179</f>
        <v>0</v>
      </c>
      <c r="S26" s="194">
        <v>45</v>
      </c>
      <c r="T26" s="193">
        <f>'GEXPGR Limp.Ord. '!L185</f>
        <v>0</v>
      </c>
      <c r="U26" s="192">
        <v>98</v>
      </c>
      <c r="V26" s="193">
        <f>'GEXPGR Limp.Ord. '!L188</f>
        <v>0</v>
      </c>
      <c r="W26" s="220">
        <v>143</v>
      </c>
      <c r="X26" s="193">
        <f>'GEXPGR Limp.Ord. '!L191</f>
        <v>0</v>
      </c>
      <c r="Y26" s="196">
        <f t="shared" si="1"/>
        <v>0</v>
      </c>
      <c r="Z26" s="539">
        <f>'GEXPGR Covid '!D138*'Prod. GEXPGR'!P8</f>
        <v>0</v>
      </c>
      <c r="AA26" s="197">
        <f>'GEXPGR Limp.Ord. '!C143*'Prod. GEXPGR'!R8</f>
        <v>0</v>
      </c>
      <c r="AB26" s="198">
        <f>'GEXPGR Covid '!C143*'Prod. GEXPGR'!S8</f>
        <v>0</v>
      </c>
      <c r="AC26" s="199"/>
      <c r="ALN26" s="201"/>
      <c r="ALO26" s="201"/>
      <c r="ALP26" s="201"/>
      <c r="ALQ26" s="201"/>
      <c r="ALR26" s="201"/>
      <c r="ALS26" s="201"/>
      <c r="ALT26" s="201"/>
      <c r="ALU26" s="201"/>
      <c r="ALV26" s="201"/>
      <c r="ALW26" s="201"/>
      <c r="ALX26" s="201"/>
      <c r="ALY26" s="201"/>
      <c r="ALZ26" s="201"/>
    </row>
    <row r="27" spans="1:1014" s="168" customFormat="1" ht="12.75" x14ac:dyDescent="0.2">
      <c r="A27" s="189">
        <v>21</v>
      </c>
      <c r="B27" s="189" t="s">
        <v>87</v>
      </c>
      <c r="C27" s="189" t="s">
        <v>365</v>
      </c>
      <c r="D27" s="434">
        <f>MC!I73</f>
        <v>0</v>
      </c>
      <c r="E27" s="728">
        <v>404.12</v>
      </c>
      <c r="F27" s="191">
        <f>'GEXPGR Limp.Ord. '!D149</f>
        <v>0</v>
      </c>
      <c r="G27" s="192">
        <f>470.2-7.87-7.87-8.46-8.46-7.87-12.06</f>
        <v>417.61</v>
      </c>
      <c r="H27" s="193">
        <f>'GEXPGR Limp.Ord. '!D155</f>
        <v>0</v>
      </c>
      <c r="I27" s="192">
        <f>2.34+2.55+12.06+5.06</f>
        <v>22.009999999999998</v>
      </c>
      <c r="J27" s="193">
        <f>'GEXPGR Limp.Ord. '!D161</f>
        <v>0</v>
      </c>
      <c r="K27" s="192">
        <f>7.87+8.87+8.46+8.46</f>
        <v>33.659999999999997</v>
      </c>
      <c r="L27" s="193">
        <f>'GEXPGR Limp.Ord. '!D167</f>
        <v>0</v>
      </c>
      <c r="M27" s="192">
        <v>150.04</v>
      </c>
      <c r="N27" s="193">
        <f>'GEXPGR Limp.Ord. '!D173</f>
        <v>0</v>
      </c>
      <c r="O27" s="192">
        <v>33.840000000000003</v>
      </c>
      <c r="P27" s="193">
        <f>'GEXPGR Limp.Ord. '!D176</f>
        <v>0</v>
      </c>
      <c r="Q27" s="192">
        <v>117.3</v>
      </c>
      <c r="R27" s="193">
        <f>'GEXPGR Limp.Ord. '!D179</f>
        <v>0</v>
      </c>
      <c r="S27" s="194"/>
      <c r="T27" s="193">
        <f>'GEXPGR Limp.Ord. '!D185</f>
        <v>0</v>
      </c>
      <c r="U27" s="192">
        <v>72.5</v>
      </c>
      <c r="V27" s="193">
        <f>'GEXPGR Limp.Ord. '!D188</f>
        <v>0</v>
      </c>
      <c r="W27" s="220">
        <v>72.5</v>
      </c>
      <c r="X27" s="193">
        <f>'GEXPGR Limp.Ord. '!D191</f>
        <v>0</v>
      </c>
      <c r="Y27" s="196">
        <f t="shared" si="1"/>
        <v>0</v>
      </c>
      <c r="Z27" s="539">
        <f>'GEXPGR Covid '!D134*'Prod. GEXPGR'!P9</f>
        <v>0</v>
      </c>
      <c r="AA27" s="197">
        <f>'GEXPGR Limp.Ord. '!C139*'Prod. GEXPGR'!R9</f>
        <v>0</v>
      </c>
      <c r="AB27" s="198">
        <f>'GEXPGR Covid '!C139*'Prod. GEXPGR'!S9</f>
        <v>0</v>
      </c>
      <c r="AC27" s="199"/>
      <c r="ALN27" s="201"/>
      <c r="ALO27" s="201"/>
      <c r="ALP27" s="201"/>
      <c r="ALQ27" s="201"/>
      <c r="ALR27" s="201"/>
      <c r="ALS27" s="201"/>
      <c r="ALT27" s="201"/>
      <c r="ALU27" s="201"/>
      <c r="ALV27" s="201"/>
      <c r="ALW27" s="201"/>
      <c r="ALX27" s="201"/>
      <c r="ALY27" s="201"/>
      <c r="ALZ27" s="201"/>
    </row>
    <row r="28" spans="1:1014" s="168" customFormat="1" ht="12.75" x14ac:dyDescent="0.2">
      <c r="A28" s="189">
        <v>22</v>
      </c>
      <c r="B28" s="189" t="s">
        <v>89</v>
      </c>
      <c r="C28" s="189" t="s">
        <v>366</v>
      </c>
      <c r="D28" s="434">
        <f>MC!I74</f>
        <v>0</v>
      </c>
      <c r="E28" s="728">
        <v>310.49</v>
      </c>
      <c r="F28" s="191">
        <f>'GEXPGR Limp.Ord. '!L149</f>
        <v>0</v>
      </c>
      <c r="G28" s="192">
        <v>35.03</v>
      </c>
      <c r="H28" s="193">
        <f>'GEXPGR Limp.Ord. '!L155</f>
        <v>0</v>
      </c>
      <c r="I28" s="192">
        <v>127.8</v>
      </c>
      <c r="J28" s="193">
        <f>'GEXPGR Limp.Ord. '!L161</f>
        <v>0</v>
      </c>
      <c r="K28" s="192">
        <v>6.68</v>
      </c>
      <c r="L28" s="193">
        <f>'GEXPGR Limp.Ord. '!L167</f>
        <v>0</v>
      </c>
      <c r="M28" s="192">
        <v>83</v>
      </c>
      <c r="N28" s="193">
        <f>'GEXPGR Limp.Ord. '!L173</f>
        <v>0</v>
      </c>
      <c r="O28" s="192">
        <v>2.33</v>
      </c>
      <c r="P28" s="193">
        <f>'GEXPGR Limp.Ord. '!L176</f>
        <v>0</v>
      </c>
      <c r="Q28" s="192">
        <v>92.5</v>
      </c>
      <c r="R28" s="193">
        <f>'GEXPGR Limp.Ord. '!L179</f>
        <v>0</v>
      </c>
      <c r="S28" s="194"/>
      <c r="T28" s="193">
        <f>'GEXPGR Limp.Ord. '!L185</f>
        <v>0</v>
      </c>
      <c r="U28" s="192">
        <f>243/2</f>
        <v>121.5</v>
      </c>
      <c r="V28" s="193">
        <f>'GEXPGR Limp.Ord. '!L188</f>
        <v>0</v>
      </c>
      <c r="W28" s="220">
        <v>60.75</v>
      </c>
      <c r="X28" s="193">
        <f>'GEXPGR Limp.Ord. '!L191</f>
        <v>0</v>
      </c>
      <c r="Y28" s="196">
        <f t="shared" si="1"/>
        <v>0</v>
      </c>
      <c r="Z28" s="539"/>
      <c r="AA28" s="197">
        <f>'GEXPGR Limp.Ord. '!C143*'Prod. GEXPGR'!R10</f>
        <v>0</v>
      </c>
      <c r="AB28" s="198">
        <f>'GEXPGR Covid '!C143*'Prod. GEXPGR'!S10</f>
        <v>0</v>
      </c>
      <c r="AC28" s="199"/>
      <c r="ALN28" s="201"/>
      <c r="ALO28" s="201"/>
      <c r="ALP28" s="201"/>
      <c r="ALQ28" s="201"/>
      <c r="ALR28" s="201"/>
      <c r="ALS28" s="201"/>
      <c r="ALT28" s="201"/>
      <c r="ALU28" s="201"/>
      <c r="ALV28" s="201"/>
      <c r="ALW28" s="201"/>
      <c r="ALX28" s="201"/>
      <c r="ALY28" s="201"/>
      <c r="ALZ28" s="201"/>
    </row>
    <row r="29" spans="1:1014" s="168" customFormat="1" ht="12.75" x14ac:dyDescent="0.2">
      <c r="A29" s="189">
        <v>23</v>
      </c>
      <c r="B29" s="189" t="s">
        <v>91</v>
      </c>
      <c r="C29" s="189" t="s">
        <v>367</v>
      </c>
      <c r="D29" s="434">
        <f>MC!I75</f>
        <v>0</v>
      </c>
      <c r="E29" s="728">
        <v>665.41</v>
      </c>
      <c r="F29" s="191">
        <f>'GEXPGR Limp.Ord. '!L149</f>
        <v>0</v>
      </c>
      <c r="G29" s="192">
        <v>875</v>
      </c>
      <c r="H29" s="193">
        <f>'GEXPGR Limp.Ord. '!L155</f>
        <v>0</v>
      </c>
      <c r="I29" s="200">
        <v>875</v>
      </c>
      <c r="J29" s="193">
        <f>'GEXPGR Limp.Ord. '!L161</f>
        <v>0</v>
      </c>
      <c r="K29" s="192">
        <f>24.68+8.4+8.4</f>
        <v>41.48</v>
      </c>
      <c r="L29" s="193">
        <f>'GEXPGR Limp.Ord. '!L167</f>
        <v>0</v>
      </c>
      <c r="M29" s="192">
        <v>652</v>
      </c>
      <c r="N29" s="193">
        <f>'GEXPGR Limp.Ord. '!L173</f>
        <v>0</v>
      </c>
      <c r="O29" s="192"/>
      <c r="P29" s="193">
        <f>'GEXPGR Limp.Ord. '!L176</f>
        <v>0</v>
      </c>
      <c r="Q29" s="192">
        <v>234</v>
      </c>
      <c r="R29" s="193">
        <f>'GEXPGR Limp.Ord. '!L179</f>
        <v>0</v>
      </c>
      <c r="S29" s="194">
        <v>50</v>
      </c>
      <c r="T29" s="193">
        <f>'GEXPGR Limp.Ord. '!L185</f>
        <v>0</v>
      </c>
      <c r="U29" s="192">
        <v>177</v>
      </c>
      <c r="V29" s="193">
        <f>'GEXPGR Limp.Ord. '!L188</f>
        <v>0</v>
      </c>
      <c r="W29" s="219">
        <v>227</v>
      </c>
      <c r="X29" s="193">
        <f>'GEXPGR Limp.Ord. '!L191</f>
        <v>0</v>
      </c>
      <c r="Y29" s="196">
        <f t="shared" si="1"/>
        <v>0</v>
      </c>
      <c r="Z29" s="539"/>
      <c r="AA29" s="197">
        <f>'GEXPGR Limp.Ord. '!C143*'Prod. GEXPGR'!R11</f>
        <v>0</v>
      </c>
      <c r="AB29" s="198">
        <f>'GEXPGR Covid '!C143*'Prod. GEXPGR'!S11</f>
        <v>0</v>
      </c>
      <c r="AC29" s="199"/>
      <c r="ALN29" s="201"/>
      <c r="ALO29" s="201"/>
      <c r="ALP29" s="201"/>
      <c r="ALQ29" s="201"/>
      <c r="ALR29" s="201"/>
      <c r="ALS29" s="201"/>
      <c r="ALT29" s="201"/>
      <c r="ALU29" s="201"/>
      <c r="ALV29" s="201"/>
      <c r="ALW29" s="201"/>
      <c r="ALX29" s="201"/>
      <c r="ALY29" s="201"/>
      <c r="ALZ29" s="201"/>
    </row>
    <row r="30" spans="1:1014" s="168" customFormat="1" ht="12.75" x14ac:dyDescent="0.2">
      <c r="A30" s="189">
        <v>24</v>
      </c>
      <c r="B30" s="189" t="s">
        <v>93</v>
      </c>
      <c r="C30" s="189" t="s">
        <v>368</v>
      </c>
      <c r="D30" s="434">
        <f>MC!I76</f>
        <v>0</v>
      </c>
      <c r="E30" s="728">
        <v>727.23</v>
      </c>
      <c r="F30" s="191">
        <f>'GEXPGR Limp.Ord. '!F149</f>
        <v>0</v>
      </c>
      <c r="G30" s="192">
        <f>1037.45+8.58+14.8+4.9+26.4+26.4+4.68+7.86+8.64+10.26+55.11+7.57+10.3+23.59+6.04+33.05+14.8</f>
        <v>1300.4299999999998</v>
      </c>
      <c r="H30" s="193">
        <f>'GEXPGR Limp.Ord. '!F155</f>
        <v>0</v>
      </c>
      <c r="I30" s="192">
        <v>1045.95</v>
      </c>
      <c r="J30" s="193">
        <f>'GEXPGR Limp.Ord. '!F161</f>
        <v>0</v>
      </c>
      <c r="K30" s="192">
        <f>8.84+8.84+4.68+8.65+10.27</f>
        <v>41.28</v>
      </c>
      <c r="L30" s="193">
        <f>'GEXPGR Limp.Ord. '!F167</f>
        <v>0</v>
      </c>
      <c r="M30" s="192">
        <v>643</v>
      </c>
      <c r="N30" s="193">
        <f>'GEXPGR Limp.Ord. '!F173</f>
        <v>0</v>
      </c>
      <c r="O30" s="192"/>
      <c r="P30" s="193">
        <f>'GEXPGR Limp.Ord. '!F176</f>
        <v>0</v>
      </c>
      <c r="Q30" s="192">
        <v>192</v>
      </c>
      <c r="R30" s="193">
        <f>'GEXPGR Limp.Ord. '!F179</f>
        <v>0</v>
      </c>
      <c r="S30" s="194">
        <v>80</v>
      </c>
      <c r="T30" s="193">
        <f>'GEXPGR Limp.Ord. '!F185</f>
        <v>0</v>
      </c>
      <c r="U30" s="192">
        <v>160</v>
      </c>
      <c r="V30" s="193">
        <f>'GEXPGR Limp.Ord. '!F188</f>
        <v>0</v>
      </c>
      <c r="W30" s="220">
        <v>320</v>
      </c>
      <c r="X30" s="193">
        <f>'GEXPGR Limp.Ord. '!F191</f>
        <v>0</v>
      </c>
      <c r="Y30" s="196">
        <f t="shared" si="1"/>
        <v>0</v>
      </c>
      <c r="Z30" s="539">
        <f>'GEXPGR Covid '!D135*'Prod. GEXPGR'!P12</f>
        <v>0</v>
      </c>
      <c r="AA30" s="197">
        <f>'GEXPGR Limp.Ord. '!C140*'Prod. GEXPGR'!R12</f>
        <v>0</v>
      </c>
      <c r="AB30" s="198">
        <f>'GEXPGR Covid '!C140*'Prod. GEXPGR'!S12</f>
        <v>0</v>
      </c>
      <c r="AC30" s="199"/>
      <c r="ALN30" s="201"/>
      <c r="ALO30" s="201"/>
      <c r="ALP30" s="201"/>
      <c r="ALQ30" s="201"/>
      <c r="ALR30" s="201"/>
      <c r="ALS30" s="201"/>
      <c r="ALT30" s="201"/>
      <c r="ALU30" s="201"/>
      <c r="ALV30" s="201"/>
      <c r="ALW30" s="201"/>
      <c r="ALX30" s="201"/>
      <c r="ALY30" s="201"/>
      <c r="ALZ30" s="201"/>
    </row>
    <row r="31" spans="1:1014" s="168" customFormat="1" ht="12.75" x14ac:dyDescent="0.2">
      <c r="A31" s="189">
        <v>25</v>
      </c>
      <c r="B31" s="189" t="s">
        <v>95</v>
      </c>
      <c r="C31" s="189" t="s">
        <v>369</v>
      </c>
      <c r="D31" s="434">
        <f>MC!I77</f>
        <v>0</v>
      </c>
      <c r="E31" s="728">
        <v>466.68</v>
      </c>
      <c r="F31" s="191">
        <f>'GEXPGR Limp.Ord. '!H149</f>
        <v>0</v>
      </c>
      <c r="G31" s="192">
        <v>47.8</v>
      </c>
      <c r="H31" s="193">
        <f>'GEXPGR Limp.Ord. '!H155</f>
        <v>0</v>
      </c>
      <c r="I31" s="192">
        <v>18.3</v>
      </c>
      <c r="J31" s="193">
        <f>'GEXPGR Limp.Ord. '!H161</f>
        <v>0</v>
      </c>
      <c r="K31" s="192">
        <f>4+4.3+4.3+10.18+9.04+3.77</f>
        <v>35.590000000000003</v>
      </c>
      <c r="L31" s="193">
        <f>'GEXPGR Limp.Ord. '!H167</f>
        <v>0</v>
      </c>
      <c r="M31" s="192">
        <v>1378</v>
      </c>
      <c r="N31" s="193">
        <f>'GEXPGR Limp.Ord. '!H173</f>
        <v>0</v>
      </c>
      <c r="O31" s="192">
        <v>10.69</v>
      </c>
      <c r="P31" s="193">
        <f>'GEXPGR Limp.Ord. '!H176</f>
        <v>0</v>
      </c>
      <c r="Q31" s="192">
        <v>122</v>
      </c>
      <c r="R31" s="193">
        <f>'GEXPGR Limp.Ord. '!H179</f>
        <v>0</v>
      </c>
      <c r="S31" s="194"/>
      <c r="T31" s="193">
        <f>'GEXPGR Limp.Ord. '!H185</f>
        <v>0</v>
      </c>
      <c r="U31" s="192">
        <v>120</v>
      </c>
      <c r="V31" s="193">
        <f>'GEXPGR Limp.Ord. '!H188</f>
        <v>0</v>
      </c>
      <c r="W31" s="220">
        <v>60</v>
      </c>
      <c r="X31" s="193">
        <f>'GEXPGR Limp.Ord. '!H191</f>
        <v>0</v>
      </c>
      <c r="Y31" s="196">
        <f t="shared" si="1"/>
        <v>0</v>
      </c>
      <c r="Z31" s="539">
        <f>'GEXPGR Covid '!D136*'Prod. GEXPGR'!P13</f>
        <v>0</v>
      </c>
      <c r="AA31" s="197">
        <f>'GEXPGR Limp.Ord. '!C141*'Prod. GEXPGR'!R13</f>
        <v>0</v>
      </c>
      <c r="AB31" s="198">
        <f>'GEXPGR Covid '!C141*'Prod. GEXPGR'!S13</f>
        <v>0</v>
      </c>
      <c r="AC31" s="199"/>
      <c r="ALN31" s="201"/>
      <c r="ALO31" s="201"/>
      <c r="ALP31" s="201"/>
      <c r="ALQ31" s="201"/>
      <c r="ALR31" s="201"/>
      <c r="ALS31" s="201"/>
      <c r="ALT31" s="201"/>
      <c r="ALU31" s="201"/>
      <c r="ALV31" s="201"/>
      <c r="ALW31" s="201"/>
      <c r="ALX31" s="201"/>
      <c r="ALY31" s="201"/>
      <c r="ALZ31" s="201"/>
    </row>
    <row r="32" spans="1:1014" s="168" customFormat="1" ht="12.75" x14ac:dyDescent="0.2">
      <c r="A32" s="189">
        <v>26</v>
      </c>
      <c r="B32" s="189" t="s">
        <v>97</v>
      </c>
      <c r="C32" s="189" t="s">
        <v>370</v>
      </c>
      <c r="D32" s="434">
        <f>MC!I78</f>
        <v>0</v>
      </c>
      <c r="E32" s="728">
        <v>331.4</v>
      </c>
      <c r="F32" s="191">
        <f>'GEXPGR Limp.Ord. '!H149</f>
        <v>0</v>
      </c>
      <c r="G32" s="192">
        <v>23.5</v>
      </c>
      <c r="H32" s="193">
        <f>'GEXPGR Limp.Ord. '!H155</f>
        <v>0</v>
      </c>
      <c r="I32" s="192">
        <v>29.75</v>
      </c>
      <c r="J32" s="193">
        <f>'GEXPGR Limp.Ord. '!H161</f>
        <v>0</v>
      </c>
      <c r="K32" s="192">
        <f>18.55+16.8</f>
        <v>35.35</v>
      </c>
      <c r="L32" s="193">
        <f>'GEXPGR Limp.Ord. '!H167</f>
        <v>0</v>
      </c>
      <c r="M32" s="192">
        <v>1840</v>
      </c>
      <c r="N32" s="193">
        <f>'GEXPGR Limp.Ord. '!H173</f>
        <v>0</v>
      </c>
      <c r="O32" s="192">
        <v>27.3</v>
      </c>
      <c r="P32" s="193">
        <f>'GEXPGR Limp.Ord. '!H176</f>
        <v>0</v>
      </c>
      <c r="Q32" s="192">
        <v>113.95</v>
      </c>
      <c r="R32" s="193">
        <f>'GEXPGR Limp.Ord. '!H179</f>
        <v>0</v>
      </c>
      <c r="S32" s="194"/>
      <c r="T32" s="193">
        <f>'GEXPGR Limp.Ord. '!H185</f>
        <v>0</v>
      </c>
      <c r="U32" s="192">
        <v>120</v>
      </c>
      <c r="V32" s="193">
        <f>'GEXPGR Limp.Ord. '!H188</f>
        <v>0</v>
      </c>
      <c r="W32" s="220">
        <v>60</v>
      </c>
      <c r="X32" s="193">
        <f>'GEXPGR Limp.Ord. '!H191</f>
        <v>0</v>
      </c>
      <c r="Y32" s="196">
        <f t="shared" si="1"/>
        <v>0</v>
      </c>
      <c r="Z32" s="539"/>
      <c r="AA32" s="197">
        <f>'GEXPGR Limp.Ord. '!C141*'Prod. GEXPGR'!R14</f>
        <v>0</v>
      </c>
      <c r="AB32" s="198">
        <f>'GEXPGR Covid '!C141*'Prod. GEXPGR'!S14</f>
        <v>0</v>
      </c>
      <c r="AC32" s="199"/>
      <c r="ALN32" s="201"/>
      <c r="ALO32" s="201"/>
      <c r="ALP32" s="201"/>
      <c r="ALQ32" s="201"/>
      <c r="ALR32" s="201"/>
      <c r="ALS32" s="201"/>
      <c r="ALT32" s="201"/>
      <c r="ALU32" s="201"/>
      <c r="ALV32" s="201"/>
      <c r="ALW32" s="201"/>
      <c r="ALX32" s="201"/>
      <c r="ALY32" s="201"/>
      <c r="ALZ32" s="201"/>
    </row>
    <row r="33" spans="1:1014" s="168" customFormat="1" ht="12.75" x14ac:dyDescent="0.2">
      <c r="A33" s="189">
        <v>27</v>
      </c>
      <c r="B33" s="189" t="s">
        <v>99</v>
      </c>
      <c r="C33" s="189" t="s">
        <v>371</v>
      </c>
      <c r="D33" s="434">
        <f>MC!I79</f>
        <v>0</v>
      </c>
      <c r="E33" s="728">
        <v>281</v>
      </c>
      <c r="F33" s="191">
        <f>'GEXPGR Limp.Ord. '!H149</f>
        <v>0</v>
      </c>
      <c r="G33" s="192">
        <v>30</v>
      </c>
      <c r="H33" s="193">
        <f>'GEXPGR Limp.Ord. '!H155</f>
        <v>0</v>
      </c>
      <c r="I33" s="192"/>
      <c r="J33" s="193">
        <f>'GEXPGR Limp.Ord. '!H161</f>
        <v>0</v>
      </c>
      <c r="K33" s="192">
        <v>19</v>
      </c>
      <c r="L33" s="193">
        <f>'GEXPGR Limp.Ord. '!H167</f>
        <v>0</v>
      </c>
      <c r="M33" s="192"/>
      <c r="N33" s="193">
        <f>'GEXPGR Limp.Ord. '!H173</f>
        <v>0</v>
      </c>
      <c r="O33" s="192"/>
      <c r="P33" s="193">
        <f>'GEXPGR Limp.Ord. '!H176</f>
        <v>0</v>
      </c>
      <c r="Q33" s="192">
        <v>147</v>
      </c>
      <c r="R33" s="193">
        <f>'GEXPGR Limp.Ord. '!H179</f>
        <v>0</v>
      </c>
      <c r="S33" s="194"/>
      <c r="T33" s="193">
        <f>'GEXPGR Limp.Ord. '!H185</f>
        <v>0</v>
      </c>
      <c r="U33" s="192">
        <v>32</v>
      </c>
      <c r="V33" s="193">
        <f>'GEXPGR Limp.Ord. '!H188</f>
        <v>0</v>
      </c>
      <c r="W33" s="220">
        <v>16</v>
      </c>
      <c r="X33" s="193">
        <f>'GEXPGR Limp.Ord. '!H191</f>
        <v>0</v>
      </c>
      <c r="Y33" s="196">
        <f t="shared" si="1"/>
        <v>0</v>
      </c>
      <c r="Z33" s="539"/>
      <c r="AA33" s="197">
        <f>'GEXPGR Limp.Ord. '!C141*'Prod. GEXPGR'!R15</f>
        <v>0</v>
      </c>
      <c r="AB33" s="198">
        <f>'GEXPGR Covid '!C141*'Prod. GEXPGR'!S15</f>
        <v>0</v>
      </c>
      <c r="AC33" s="199"/>
      <c r="ALN33" s="201"/>
      <c r="ALO33" s="201"/>
      <c r="ALP33" s="201"/>
      <c r="ALQ33" s="201"/>
      <c r="ALR33" s="201"/>
      <c r="ALS33" s="201"/>
      <c r="ALT33" s="201"/>
      <c r="ALU33" s="201"/>
      <c r="ALV33" s="201"/>
      <c r="ALW33" s="201"/>
      <c r="ALX33" s="201"/>
      <c r="ALY33" s="201"/>
      <c r="ALZ33" s="201"/>
    </row>
    <row r="34" spans="1:1014" s="168" customFormat="1" ht="12.75" x14ac:dyDescent="0.2">
      <c r="A34" s="189">
        <v>28</v>
      </c>
      <c r="B34" s="189" t="s">
        <v>101</v>
      </c>
      <c r="C34" s="189" t="s">
        <v>372</v>
      </c>
      <c r="D34" s="434">
        <f>MC!I80</f>
        <v>0</v>
      </c>
      <c r="E34" s="728">
        <v>289</v>
      </c>
      <c r="F34" s="191">
        <f>'GEXPGR Limp.Ord. '!D149</f>
        <v>0</v>
      </c>
      <c r="G34" s="192">
        <v>21</v>
      </c>
      <c r="H34" s="193">
        <f>'GEXPGR Limp.Ord. '!D155</f>
        <v>0</v>
      </c>
      <c r="I34" s="192">
        <v>0</v>
      </c>
      <c r="J34" s="193">
        <f>'GEXPGR Limp.Ord. '!D161</f>
        <v>0</v>
      </c>
      <c r="K34" s="192">
        <v>24.4</v>
      </c>
      <c r="L34" s="193">
        <f>'GEXPGR Limp.Ord. '!D167</f>
        <v>0</v>
      </c>
      <c r="M34" s="192">
        <v>604.52</v>
      </c>
      <c r="N34" s="193">
        <f>'GEXPGR Limp.Ord. '!D173</f>
        <v>0</v>
      </c>
      <c r="O34" s="192">
        <v>150</v>
      </c>
      <c r="P34" s="193">
        <f>'GEXPGR Limp.Ord. '!D176</f>
        <v>0</v>
      </c>
      <c r="Q34" s="192">
        <v>166</v>
      </c>
      <c r="R34" s="193">
        <f>'GEXPGR Limp.Ord. '!D179</f>
        <v>0</v>
      </c>
      <c r="S34" s="194"/>
      <c r="T34" s="193">
        <f>'GEXPGR Limp.Ord. '!D185</f>
        <v>0</v>
      </c>
      <c r="U34" s="192">
        <v>84.6</v>
      </c>
      <c r="V34" s="193">
        <f>'GEXPGR Limp.Ord. '!D188</f>
        <v>0</v>
      </c>
      <c r="W34" s="220">
        <v>42.3</v>
      </c>
      <c r="X34" s="193">
        <f>'GEXPGR Limp.Ord. '!D191</f>
        <v>0</v>
      </c>
      <c r="Y34" s="196">
        <f t="shared" si="1"/>
        <v>0</v>
      </c>
      <c r="Z34" s="539"/>
      <c r="AA34" s="197">
        <f>'GEXPGR Limp.Ord. '!C139*'Prod. GEXPGR'!R16</f>
        <v>0</v>
      </c>
      <c r="AB34" s="198">
        <f>'GEXPGR Covid '!C139*'Prod. GEXPGR'!S16</f>
        <v>0</v>
      </c>
      <c r="AC34" s="199"/>
      <c r="ALN34" s="201"/>
      <c r="ALO34" s="201"/>
      <c r="ALP34" s="201"/>
      <c r="ALQ34" s="201"/>
      <c r="ALR34" s="201"/>
      <c r="ALS34" s="201"/>
      <c r="ALT34" s="201"/>
      <c r="ALU34" s="201"/>
      <c r="ALV34" s="201"/>
      <c r="ALW34" s="201"/>
      <c r="ALX34" s="201"/>
      <c r="ALY34" s="201"/>
      <c r="ALZ34" s="201"/>
    </row>
    <row r="35" spans="1:1014" s="168" customFormat="1" ht="12.75" x14ac:dyDescent="0.2">
      <c r="A35" s="189">
        <v>29</v>
      </c>
      <c r="B35" s="189" t="s">
        <v>103</v>
      </c>
      <c r="C35" s="189" t="s">
        <v>373</v>
      </c>
      <c r="D35" s="434">
        <f>MC!I81</f>
        <v>0</v>
      </c>
      <c r="E35" s="728">
        <v>289</v>
      </c>
      <c r="F35" s="191">
        <f>'GEXPGR Limp.Ord. '!L149</f>
        <v>0</v>
      </c>
      <c r="G35" s="192">
        <v>21</v>
      </c>
      <c r="H35" s="193">
        <f>'GEXPGR Limp.Ord. '!L155</f>
        <v>0</v>
      </c>
      <c r="I35" s="192">
        <v>0</v>
      </c>
      <c r="J35" s="193">
        <f>'GEXPGR Limp.Ord. '!L161</f>
        <v>0</v>
      </c>
      <c r="K35" s="192">
        <v>24.4</v>
      </c>
      <c r="L35" s="193">
        <f>'GEXPGR Limp.Ord. '!L167</f>
        <v>0</v>
      </c>
      <c r="M35" s="192">
        <v>476</v>
      </c>
      <c r="N35" s="193">
        <f>'GEXPGR Limp.Ord. '!L173</f>
        <v>0</v>
      </c>
      <c r="O35" s="192"/>
      <c r="P35" s="193">
        <f>'GEXPGR Limp.Ord. '!L176</f>
        <v>0</v>
      </c>
      <c r="Q35" s="192">
        <v>55</v>
      </c>
      <c r="R35" s="193">
        <f>'GEXPGR Limp.Ord. '!L179</f>
        <v>0</v>
      </c>
      <c r="S35" s="194"/>
      <c r="T35" s="193">
        <f>'GEXPGR Limp.Ord. '!L185</f>
        <v>0</v>
      </c>
      <c r="U35" s="192">
        <v>84.6</v>
      </c>
      <c r="V35" s="193">
        <f>'GEXPGR Limp.Ord. '!L188</f>
        <v>0</v>
      </c>
      <c r="W35" s="220">
        <v>42.3</v>
      </c>
      <c r="X35" s="193">
        <f>'GEXPGR Limp.Ord. '!L191</f>
        <v>0</v>
      </c>
      <c r="Y35" s="196">
        <f t="shared" si="1"/>
        <v>0</v>
      </c>
      <c r="Z35" s="539"/>
      <c r="AA35" s="197">
        <f>'GEXPGR Limp.Ord. '!C143*'Prod. GEXPGR'!R17</f>
        <v>0</v>
      </c>
      <c r="AB35" s="198">
        <f>'GEXPGR Covid '!C143*'Prod. GEXPGR'!S17</f>
        <v>0</v>
      </c>
      <c r="AC35" s="199"/>
      <c r="ALN35" s="201"/>
      <c r="ALO35" s="201"/>
      <c r="ALP35" s="201"/>
      <c r="ALQ35" s="201"/>
      <c r="ALR35" s="201"/>
      <c r="ALS35" s="201"/>
      <c r="ALT35" s="201"/>
      <c r="ALU35" s="201"/>
      <c r="ALV35" s="201"/>
      <c r="ALW35" s="201"/>
      <c r="ALX35" s="201"/>
      <c r="ALY35" s="201"/>
      <c r="ALZ35" s="201"/>
    </row>
    <row r="36" spans="1:1014" s="168" customFormat="1" ht="12.75" x14ac:dyDescent="0.2">
      <c r="A36" s="189">
        <v>30</v>
      </c>
      <c r="B36" s="189" t="s">
        <v>105</v>
      </c>
      <c r="C36" s="189" t="s">
        <v>374</v>
      </c>
      <c r="D36" s="434">
        <f>MC!I82</f>
        <v>0</v>
      </c>
      <c r="E36" s="728">
        <v>289</v>
      </c>
      <c r="F36" s="191">
        <f>'GEXPGR Limp.Ord. '!L149</f>
        <v>0</v>
      </c>
      <c r="G36" s="192">
        <v>21</v>
      </c>
      <c r="H36" s="193">
        <f>'GEXPGR Limp.Ord. '!L155</f>
        <v>0</v>
      </c>
      <c r="I36" s="192">
        <v>0</v>
      </c>
      <c r="J36" s="193">
        <f>'GEXPGR Limp.Ord. '!L161</f>
        <v>0</v>
      </c>
      <c r="K36" s="192">
        <v>24.4</v>
      </c>
      <c r="L36" s="193">
        <f>'GEXPGR Limp.Ord. '!L167</f>
        <v>0</v>
      </c>
      <c r="M36" s="192">
        <v>1147.47</v>
      </c>
      <c r="N36" s="193">
        <f>'GEXPGR Limp.Ord. '!L173</f>
        <v>0</v>
      </c>
      <c r="O36" s="192">
        <v>150</v>
      </c>
      <c r="P36" s="193">
        <f>'GEXPGR Limp.Ord. '!L176</f>
        <v>0</v>
      </c>
      <c r="Q36" s="192">
        <v>259.2</v>
      </c>
      <c r="R36" s="193">
        <f>'GEXPGR Limp.Ord. '!L179</f>
        <v>0</v>
      </c>
      <c r="S36" s="194"/>
      <c r="T36" s="193">
        <f>'GEXPGR Limp.Ord. '!L185</f>
        <v>0</v>
      </c>
      <c r="U36" s="192">
        <v>84.6</v>
      </c>
      <c r="V36" s="193">
        <f>'GEXPGR Limp.Ord. '!L188</f>
        <v>0</v>
      </c>
      <c r="W36" s="220">
        <v>42.3</v>
      </c>
      <c r="X36" s="193">
        <f>'GEXPGR Limp.Ord. '!L191</f>
        <v>0</v>
      </c>
      <c r="Y36" s="196">
        <f t="shared" si="1"/>
        <v>0</v>
      </c>
      <c r="Z36" s="539"/>
      <c r="AA36" s="197">
        <f>'GEXPGR Limp.Ord. '!C143*'Prod. GEXPGR'!R18</f>
        <v>0</v>
      </c>
      <c r="AB36" s="198">
        <f>'GEXPGR Covid '!C143*'Prod. GEXPGR'!S18</f>
        <v>0</v>
      </c>
      <c r="AC36" s="199"/>
      <c r="ALN36" s="201"/>
      <c r="ALO36" s="201"/>
      <c r="ALP36" s="201"/>
      <c r="ALQ36" s="201"/>
      <c r="ALR36" s="201"/>
      <c r="ALS36" s="201"/>
      <c r="ALT36" s="201"/>
      <c r="ALU36" s="201"/>
      <c r="ALV36" s="201"/>
      <c r="ALW36" s="201"/>
      <c r="ALX36" s="201"/>
      <c r="ALY36" s="201"/>
      <c r="ALZ36" s="201"/>
    </row>
    <row r="37" spans="1:1014" s="168" customFormat="1" ht="12.75" x14ac:dyDescent="0.2">
      <c r="A37" s="189">
        <v>31</v>
      </c>
      <c r="B37" s="202" t="s">
        <v>107</v>
      </c>
      <c r="C37" s="189" t="s">
        <v>375</v>
      </c>
      <c r="D37" s="435">
        <f>MC!I83</f>
        <v>0</v>
      </c>
      <c r="E37" s="728">
        <v>289</v>
      </c>
      <c r="F37" s="204">
        <f>'GEXPGR Limp.Ord. '!L149</f>
        <v>0</v>
      </c>
      <c r="G37" s="192">
        <v>21</v>
      </c>
      <c r="H37" s="206">
        <f>'GEXPGR Limp.Ord. '!L155</f>
        <v>0</v>
      </c>
      <c r="I37" s="192">
        <v>0</v>
      </c>
      <c r="J37" s="206">
        <f>'GEXPGR Limp.Ord. '!L161</f>
        <v>0</v>
      </c>
      <c r="K37" s="192">
        <v>24.4</v>
      </c>
      <c r="L37" s="206">
        <f>'GEXPGR Limp.Ord. '!L167</f>
        <v>0</v>
      </c>
      <c r="M37" s="192">
        <v>1364.38</v>
      </c>
      <c r="N37" s="206">
        <f>'GEXPGR Limp.Ord. '!L173</f>
        <v>0</v>
      </c>
      <c r="O37" s="192">
        <v>200</v>
      </c>
      <c r="P37" s="206">
        <f>'GEXPGR Limp.Ord. '!L176</f>
        <v>0</v>
      </c>
      <c r="Q37" s="192">
        <v>74.5</v>
      </c>
      <c r="R37" s="206">
        <f>'GEXPGR Limp.Ord. '!L179</f>
        <v>0</v>
      </c>
      <c r="S37" s="194"/>
      <c r="T37" s="206">
        <f>'GEXPGR Limp.Ord. '!L185</f>
        <v>0</v>
      </c>
      <c r="U37" s="192">
        <v>84.6</v>
      </c>
      <c r="V37" s="206">
        <f>'GEXPGR Limp.Ord. '!L188</f>
        <v>0</v>
      </c>
      <c r="W37" s="220">
        <v>42.3</v>
      </c>
      <c r="X37" s="206">
        <f>'GEXPGR Limp.Ord. '!L191</f>
        <v>0</v>
      </c>
      <c r="Y37" s="196">
        <f t="shared" ref="Y37:Y39" si="2">(E37*F37)+(G37*H37)+(I37*J37)+(K37*L37)+(M37*N37)+(O37*P37)+(Q37*R37)+(S37*T37)+(U37*V37)+(W37*X37)</f>
        <v>0</v>
      </c>
      <c r="Z37" s="539"/>
      <c r="AA37" s="221">
        <f>'GEXPGR Limp.Ord. '!C143*'Prod. GEXPGR'!R19</f>
        <v>0</v>
      </c>
      <c r="AB37" s="198">
        <f>'GEXPGR Covid '!C143*'Prod. GEXPGR'!S19</f>
        <v>0</v>
      </c>
      <c r="AC37" s="222"/>
      <c r="ALN37" s="201"/>
      <c r="ALO37" s="201"/>
      <c r="ALP37" s="201"/>
      <c r="ALQ37" s="201"/>
      <c r="ALR37" s="201"/>
      <c r="ALS37" s="201"/>
      <c r="ALT37" s="201"/>
      <c r="ALU37" s="201"/>
      <c r="ALV37" s="201"/>
      <c r="ALW37" s="201"/>
      <c r="ALX37" s="201"/>
      <c r="ALY37" s="201"/>
      <c r="ALZ37" s="201"/>
    </row>
    <row r="38" spans="1:1014" s="168" customFormat="1" ht="12.75" x14ac:dyDescent="0.2">
      <c r="A38" s="189">
        <v>32</v>
      </c>
      <c r="B38" s="189" t="s">
        <v>109</v>
      </c>
      <c r="C38" s="712" t="s">
        <v>376</v>
      </c>
      <c r="D38" s="434">
        <f>MC!I84</f>
        <v>0</v>
      </c>
      <c r="E38" s="728">
        <v>289</v>
      </c>
      <c r="F38" s="204">
        <f>'GEXPGR Limp.Ord. '!H149</f>
        <v>0</v>
      </c>
      <c r="G38" s="192">
        <v>21</v>
      </c>
      <c r="H38" s="206">
        <f>'GEXPGR Limp.Ord. '!H155</f>
        <v>0</v>
      </c>
      <c r="I38" s="192">
        <v>0</v>
      </c>
      <c r="J38" s="206">
        <f>'GEXPGR Limp.Ord. '!H161</f>
        <v>0</v>
      </c>
      <c r="K38" s="192">
        <v>24.4</v>
      </c>
      <c r="L38" s="206">
        <f>'GEXPGR Limp.Ord. '!H167</f>
        <v>0</v>
      </c>
      <c r="M38" s="192">
        <v>1078.0999999999999</v>
      </c>
      <c r="N38" s="206">
        <f>'GEXPGR Limp.Ord. '!H173</f>
        <v>0</v>
      </c>
      <c r="O38" s="192">
        <v>350</v>
      </c>
      <c r="P38" s="206">
        <f>'GEXPGR Limp.Ord. '!H176</f>
        <v>0</v>
      </c>
      <c r="Q38" s="192">
        <v>91.5</v>
      </c>
      <c r="R38" s="206">
        <f>'GEXPGR Limp.Ord. '!H179</f>
        <v>0</v>
      </c>
      <c r="S38" s="183"/>
      <c r="T38" s="206">
        <f>'GEXPGR Limp.Ord. '!H185</f>
        <v>0</v>
      </c>
      <c r="U38" s="192">
        <v>84.6</v>
      </c>
      <c r="V38" s="206">
        <f>'GEXPGR Limp.Ord. '!H188</f>
        <v>0</v>
      </c>
      <c r="W38" s="220">
        <v>42.3</v>
      </c>
      <c r="X38" s="206">
        <f>'GEXPGR Limp.Ord. '!H191</f>
        <v>0</v>
      </c>
      <c r="Y38" s="196">
        <f t="shared" si="2"/>
        <v>0</v>
      </c>
      <c r="Z38" s="539"/>
      <c r="AA38" s="221">
        <f>'GEXPGR Limp.Ord. '!C141*'Prod. GEXPGR'!R20</f>
        <v>0</v>
      </c>
      <c r="AB38" s="198">
        <f>'GEXPGR Covid '!C141*'Prod. GEXPGR'!S20</f>
        <v>0</v>
      </c>
      <c r="AC38" s="222"/>
      <c r="ALN38" s="201"/>
      <c r="ALO38" s="201"/>
      <c r="ALP38" s="201"/>
      <c r="ALQ38" s="201"/>
      <c r="ALR38" s="201"/>
      <c r="ALS38" s="201"/>
      <c r="ALT38" s="201"/>
      <c r="ALU38" s="201"/>
      <c r="ALV38" s="201"/>
      <c r="ALW38" s="201"/>
      <c r="ALX38" s="201"/>
      <c r="ALY38" s="201"/>
      <c r="ALZ38" s="201"/>
    </row>
    <row r="39" spans="1:1014" s="168" customFormat="1" ht="13.5" thickBot="1" x14ac:dyDescent="0.25">
      <c r="A39" s="189">
        <v>33</v>
      </c>
      <c r="B39" s="202" t="s">
        <v>111</v>
      </c>
      <c r="C39" s="189" t="s">
        <v>377</v>
      </c>
      <c r="D39" s="435">
        <f>MC!I85</f>
        <v>0</v>
      </c>
      <c r="E39" s="730">
        <v>289</v>
      </c>
      <c r="F39" s="204">
        <f>'GEXPGR Limp.Ord. '!J149</f>
        <v>0</v>
      </c>
      <c r="G39" s="205">
        <v>21</v>
      </c>
      <c r="H39" s="206">
        <f>'GEXPGR Limp.Ord. '!J155</f>
        <v>0</v>
      </c>
      <c r="I39" s="205">
        <v>0</v>
      </c>
      <c r="J39" s="206">
        <f>'GEXPGR Limp.Ord. '!J161</f>
        <v>0</v>
      </c>
      <c r="K39" s="205">
        <v>24.4</v>
      </c>
      <c r="L39" s="206">
        <f>'GEXPGR Limp.Ord. '!J167</f>
        <v>0</v>
      </c>
      <c r="M39" s="205">
        <v>878.64</v>
      </c>
      <c r="N39" s="206">
        <f>'GEXPGR Limp.Ord. '!J173</f>
        <v>0</v>
      </c>
      <c r="O39" s="205">
        <v>150</v>
      </c>
      <c r="P39" s="206">
        <f>'GEXPGR Limp.Ord. '!J176</f>
        <v>0</v>
      </c>
      <c r="Q39" s="205">
        <v>66.7</v>
      </c>
      <c r="R39" s="206">
        <f>'GEXPGR Limp.Ord. '!J179</f>
        <v>0</v>
      </c>
      <c r="S39" s="194"/>
      <c r="T39" s="206">
        <f>'GEXPGR Limp.Ord. '!J185</f>
        <v>0</v>
      </c>
      <c r="U39" s="205">
        <v>84.6</v>
      </c>
      <c r="V39" s="206">
        <f>'GEXPGR Limp.Ord. '!J188</f>
        <v>0</v>
      </c>
      <c r="W39" s="223">
        <v>42.3</v>
      </c>
      <c r="X39" s="206">
        <f>'GEXPGR Limp.Ord. '!J191</f>
        <v>0</v>
      </c>
      <c r="Y39" s="196">
        <f t="shared" si="2"/>
        <v>0</v>
      </c>
      <c r="Z39" s="539"/>
      <c r="AA39" s="221">
        <f>'GEXPGR Limp.Ord. '!C142*'Prod. GEXPGR'!R21</f>
        <v>0</v>
      </c>
      <c r="AB39" s="198">
        <f>'GEXPGR Covid '!C142*'Prod. GEXPGR'!S21</f>
        <v>0</v>
      </c>
      <c r="AC39" s="222"/>
      <c r="ALN39" s="201"/>
      <c r="ALO39" s="201"/>
      <c r="ALP39" s="201"/>
      <c r="ALQ39" s="201"/>
      <c r="ALR39" s="201"/>
      <c r="ALS39" s="201"/>
      <c r="ALT39" s="201"/>
      <c r="ALU39" s="201"/>
      <c r="ALV39" s="201"/>
      <c r="ALW39" s="201"/>
      <c r="ALX39" s="201"/>
      <c r="ALY39" s="201"/>
      <c r="ALZ39" s="201"/>
    </row>
    <row r="40" spans="1:1014" s="168" customFormat="1" ht="13.5" thickBot="1" x14ac:dyDescent="0.25">
      <c r="A40" s="846" t="s">
        <v>378</v>
      </c>
      <c r="B40" s="847"/>
      <c r="C40" s="847"/>
      <c r="D40" s="848"/>
      <c r="E40" s="433">
        <f>SUM(E22:E39)</f>
        <v>10545.779999999999</v>
      </c>
      <c r="F40" s="212"/>
      <c r="G40" s="213">
        <f>SUM(G22:G39)</f>
        <v>5108.54</v>
      </c>
      <c r="H40" s="214"/>
      <c r="I40" s="213">
        <f>SUM(I22:I39)</f>
        <v>3336.58</v>
      </c>
      <c r="J40" s="214"/>
      <c r="K40" s="213">
        <f>SUM(K22:K39)</f>
        <v>795.83999999999992</v>
      </c>
      <c r="L40" s="214"/>
      <c r="M40" s="224">
        <f>SUM(M22:M39)</f>
        <v>12837.65</v>
      </c>
      <c r="N40" s="225"/>
      <c r="O40" s="224">
        <f>SUM(O22:O39)</f>
        <v>2117.4399999999996</v>
      </c>
      <c r="P40" s="214"/>
      <c r="Q40" s="213">
        <f>SUM(Q22:Q39)</f>
        <v>2429.6499999999996</v>
      </c>
      <c r="R40" s="214"/>
      <c r="S40" s="213">
        <f>SUM(S22:S39)</f>
        <v>582.5</v>
      </c>
      <c r="T40" s="214"/>
      <c r="U40" s="224">
        <f>SUM(U22:U39)</f>
        <v>1748.0999999999995</v>
      </c>
      <c r="V40" s="214"/>
      <c r="W40" s="215">
        <f>SUM(W22:W39)</f>
        <v>2594.0500000000011</v>
      </c>
      <c r="X40" s="214"/>
      <c r="Y40" s="214">
        <f>SUM(Y22:Y39)</f>
        <v>0</v>
      </c>
      <c r="Z40" s="216">
        <f>SUM(Z22:Z39)</f>
        <v>0</v>
      </c>
      <c r="AA40" s="215">
        <f>SUM(AA22:AA39)</f>
        <v>0</v>
      </c>
      <c r="AB40" s="216">
        <f>SUM(AB22:AB39)</f>
        <v>0</v>
      </c>
      <c r="AC40" s="214">
        <f>SUM(AC22:AC39)</f>
        <v>0</v>
      </c>
      <c r="ALN40" s="201"/>
      <c r="ALO40" s="201"/>
      <c r="ALP40" s="201"/>
      <c r="ALQ40" s="201"/>
      <c r="ALR40" s="201"/>
      <c r="ALS40" s="201"/>
      <c r="ALT40" s="201"/>
      <c r="ALU40" s="201"/>
      <c r="ALV40" s="201"/>
      <c r="ALW40" s="201"/>
      <c r="ALX40" s="201"/>
      <c r="ALY40" s="201"/>
      <c r="ALZ40" s="201"/>
    </row>
    <row r="41" spans="1:1014" s="168" customFormat="1" ht="15" x14ac:dyDescent="0.25">
      <c r="A41"/>
      <c r="B41" s="226"/>
      <c r="C41" s="226"/>
      <c r="D41" s="226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725"/>
      <c r="U41" s="227"/>
      <c r="V41" s="227"/>
      <c r="W41" s="227"/>
      <c r="X41" s="227"/>
      <c r="Y41" s="228"/>
      <c r="Z41" s="228"/>
      <c r="AA41" s="228"/>
      <c r="AB41" s="228"/>
      <c r="AC41" s="229"/>
      <c r="ALQ41" s="229"/>
      <c r="ALR41" s="229"/>
      <c r="ALS41" s="229"/>
      <c r="ALT41" s="229"/>
      <c r="ALU41" s="229"/>
      <c r="ALV41" s="229"/>
      <c r="ALW41" s="229"/>
      <c r="ALX41" s="229"/>
      <c r="ALY41" s="229"/>
      <c r="ALZ41" s="229"/>
    </row>
    <row r="42" spans="1:1014" ht="15" x14ac:dyDescent="0.2">
      <c r="A42" s="230"/>
      <c r="B42" s="857" t="s">
        <v>379</v>
      </c>
      <c r="C42" s="857"/>
      <c r="D42" s="857"/>
      <c r="E42" s="857"/>
      <c r="F42" s="857"/>
      <c r="G42" s="857"/>
      <c r="H42" s="857"/>
      <c r="I42" s="857"/>
      <c r="J42" s="857"/>
      <c r="K42" s="857"/>
      <c r="L42" s="857"/>
      <c r="M42" s="857"/>
      <c r="N42" s="857"/>
      <c r="O42" s="857"/>
      <c r="P42" s="857"/>
      <c r="Q42" s="857"/>
      <c r="R42" s="857"/>
      <c r="S42" s="857"/>
      <c r="T42" s="857"/>
      <c r="U42" s="857"/>
      <c r="V42" s="857"/>
      <c r="W42" s="857"/>
      <c r="X42" s="857"/>
      <c r="Y42" s="231">
        <f>ROUND(Y21+Y40,2)</f>
        <v>0</v>
      </c>
      <c r="Z42" s="231">
        <f>ROUND(Z21+Z40,2)</f>
        <v>0</v>
      </c>
      <c r="AA42" s="231">
        <f>ROUND(AA21+AA40,2)</f>
        <v>0</v>
      </c>
      <c r="AB42" s="231">
        <f>ROUND(AB21+AB40,2)</f>
        <v>0</v>
      </c>
      <c r="AC42" s="231">
        <f>ROUND(AC21+AC40,2)</f>
        <v>0</v>
      </c>
    </row>
    <row r="43" spans="1:1014" ht="15" x14ac:dyDescent="0.2">
      <c r="A43" s="230"/>
      <c r="B43" s="232"/>
      <c r="C43" s="232"/>
      <c r="D43" s="232"/>
      <c r="E43" s="233"/>
      <c r="F43" s="234"/>
      <c r="G43" s="233"/>
      <c r="H43" s="233"/>
      <c r="I43" s="231"/>
      <c r="J43" s="231"/>
      <c r="K43" s="231"/>
      <c r="L43" s="231"/>
      <c r="M43" s="231"/>
      <c r="N43" s="231"/>
      <c r="O43" s="231"/>
      <c r="P43" s="235"/>
      <c r="Q43" s="236"/>
      <c r="R43" s="233"/>
      <c r="S43" s="234"/>
      <c r="T43" s="233"/>
      <c r="U43" s="233"/>
      <c r="V43" s="231"/>
      <c r="W43" s="231"/>
      <c r="X43" s="231"/>
      <c r="Y43" s="231"/>
      <c r="Z43" s="231"/>
      <c r="AA43" s="233"/>
      <c r="AB43" s="231"/>
      <c r="AC43" s="231"/>
    </row>
    <row r="44" spans="1:1014" x14ac:dyDescent="0.2">
      <c r="A44" s="237"/>
      <c r="B44" s="238"/>
      <c r="C44" s="238"/>
      <c r="D44" s="238"/>
      <c r="E44" s="239"/>
      <c r="F44" s="239"/>
      <c r="G44" s="239"/>
      <c r="H44" s="239"/>
      <c r="I44" s="240"/>
      <c r="J44" s="240"/>
      <c r="K44" s="240"/>
      <c r="L44" s="240"/>
      <c r="M44" s="240"/>
      <c r="N44" s="239"/>
      <c r="O44" s="239"/>
      <c r="P44" s="239"/>
      <c r="Q44" s="240"/>
      <c r="R44" s="240"/>
      <c r="S44" s="239"/>
      <c r="T44" s="239"/>
      <c r="U44" s="239"/>
      <c r="V44" s="240"/>
      <c r="W44" s="240"/>
      <c r="X44" s="240"/>
      <c r="Y44" s="240"/>
      <c r="Z44" s="240"/>
      <c r="AA44" s="239"/>
      <c r="AB44" s="849" t="s">
        <v>53</v>
      </c>
      <c r="AC44" s="235">
        <f>Y42+Z42+AA42+AB42+AC42</f>
        <v>0</v>
      </c>
    </row>
    <row r="45" spans="1:1014" x14ac:dyDescent="0.2">
      <c r="A45" s="241"/>
      <c r="B45" s="242"/>
      <c r="C45" s="242"/>
      <c r="D45" s="242"/>
      <c r="E45" s="243"/>
      <c r="F45" s="243"/>
      <c r="G45" s="243"/>
      <c r="H45" s="243"/>
      <c r="I45" s="244"/>
      <c r="J45" s="244"/>
      <c r="K45" s="244"/>
      <c r="L45" s="244"/>
      <c r="M45" s="244"/>
      <c r="N45" s="243"/>
      <c r="O45" s="243"/>
      <c r="P45" s="243"/>
      <c r="Q45" s="244"/>
      <c r="R45" s="244"/>
      <c r="S45" s="243"/>
      <c r="T45" s="243"/>
      <c r="U45" s="243"/>
      <c r="V45" s="244"/>
      <c r="W45" s="244"/>
      <c r="X45" s="244"/>
      <c r="Y45" s="244"/>
      <c r="Z45" s="244"/>
      <c r="AA45" s="243"/>
      <c r="AB45" s="849"/>
      <c r="AC45" s="235">
        <f>AC44*12</f>
        <v>0</v>
      </c>
    </row>
    <row r="46" spans="1:1014" x14ac:dyDescent="0.2">
      <c r="E46" s="245" t="s">
        <v>380</v>
      </c>
    </row>
  </sheetData>
  <mergeCells count="27">
    <mergeCell ref="A1:AC1"/>
    <mergeCell ref="A2:B2"/>
    <mergeCell ref="E2:L2"/>
    <mergeCell ref="M2:R2"/>
    <mergeCell ref="S2:X2"/>
    <mergeCell ref="AC3:AC4"/>
    <mergeCell ref="B42:X42"/>
    <mergeCell ref="U3:V4"/>
    <mergeCell ref="W3:X4"/>
    <mergeCell ref="Y3:Y4"/>
    <mergeCell ref="AA3:AA4"/>
    <mergeCell ref="K3:L4"/>
    <mergeCell ref="M3:N4"/>
    <mergeCell ref="O3:P4"/>
    <mergeCell ref="Q3:R4"/>
    <mergeCell ref="S3:T4"/>
    <mergeCell ref="B3:B5"/>
    <mergeCell ref="E3:F4"/>
    <mergeCell ref="G3:H4"/>
    <mergeCell ref="I3:J4"/>
    <mergeCell ref="D3:D5"/>
    <mergeCell ref="Z3:Z4"/>
    <mergeCell ref="A21:D21"/>
    <mergeCell ref="A40:D40"/>
    <mergeCell ref="AB44:AB45"/>
    <mergeCell ref="AB3:AB4"/>
    <mergeCell ref="A3:A5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724"/>
  </sheetPr>
  <dimension ref="A1:AMD183"/>
  <sheetViews>
    <sheetView zoomScale="80" zoomScaleNormal="80" workbookViewId="0">
      <pane xSplit="2" ySplit="3" topLeftCell="D4" activePane="bottomRight" state="frozen"/>
      <selection pane="topRight"/>
      <selection pane="bottomLeft"/>
      <selection pane="bottomRight" activeCell="O7" sqref="O7"/>
    </sheetView>
  </sheetViews>
  <sheetFormatPr defaultRowHeight="14.25" x14ac:dyDescent="0.2"/>
  <cols>
    <col min="1" max="1" width="34.5"/>
    <col min="4" max="4" width="13.625"/>
    <col min="5" max="5" width="9.625"/>
    <col min="6" max="6" width="11.625"/>
    <col min="8" max="8" width="13.5"/>
    <col min="9" max="9" width="11.125"/>
    <col min="10" max="10" width="9.875"/>
    <col min="11" max="11" width="12.25"/>
    <col min="12" max="12" width="12.5"/>
    <col min="13" max="17" width="9.25"/>
    <col min="18" max="18" width="10.875" customWidth="1"/>
    <col min="19" max="20" width="10.625" customWidth="1"/>
    <col min="21" max="21" width="11.625"/>
    <col min="22" max="22" width="9.25"/>
    <col min="23" max="1019" width="10.625"/>
  </cols>
  <sheetData>
    <row r="1" spans="1:22" ht="15" customHeight="1" x14ac:dyDescent="0.2">
      <c r="A1" s="226"/>
      <c r="B1" s="226"/>
      <c r="C1" s="885" t="s">
        <v>312</v>
      </c>
      <c r="D1" s="885"/>
      <c r="E1" s="885"/>
      <c r="F1" s="885"/>
      <c r="G1" s="886" t="s">
        <v>313</v>
      </c>
      <c r="H1" s="886"/>
      <c r="I1" s="886"/>
      <c r="J1" s="887" t="s">
        <v>314</v>
      </c>
      <c r="K1" s="887"/>
      <c r="L1" s="887"/>
      <c r="M1" s="226"/>
      <c r="N1" s="226"/>
      <c r="O1" s="226"/>
      <c r="P1" s="226"/>
      <c r="Q1" s="226"/>
      <c r="R1" s="878"/>
      <c r="S1" s="878"/>
      <c r="T1" s="878"/>
      <c r="U1" s="226"/>
      <c r="V1" s="168"/>
    </row>
    <row r="2" spans="1:22" ht="60" customHeight="1" x14ac:dyDescent="0.2">
      <c r="A2" s="891" t="s">
        <v>321</v>
      </c>
      <c r="B2" s="895" t="s">
        <v>71</v>
      </c>
      <c r="C2" s="892" t="s">
        <v>323</v>
      </c>
      <c r="D2" s="863" t="s">
        <v>324</v>
      </c>
      <c r="E2" s="869" t="s">
        <v>325</v>
      </c>
      <c r="F2" s="894" t="s">
        <v>381</v>
      </c>
      <c r="G2" s="888" t="s">
        <v>327</v>
      </c>
      <c r="H2" s="889" t="s">
        <v>382</v>
      </c>
      <c r="I2" s="879" t="s">
        <v>329</v>
      </c>
      <c r="J2" s="880" t="s">
        <v>330</v>
      </c>
      <c r="K2" s="858" t="s">
        <v>331</v>
      </c>
      <c r="L2" s="881" t="s">
        <v>332</v>
      </c>
      <c r="M2" s="882" t="s">
        <v>383</v>
      </c>
      <c r="N2" s="883" t="s">
        <v>384</v>
      </c>
      <c r="O2" s="883"/>
      <c r="P2" s="884" t="s">
        <v>385</v>
      </c>
      <c r="Q2" s="884"/>
      <c r="R2" s="615" t="s">
        <v>386</v>
      </c>
      <c r="S2" s="616" t="s">
        <v>387</v>
      </c>
      <c r="T2" s="731" t="s">
        <v>388</v>
      </c>
      <c r="U2" s="248" t="s">
        <v>389</v>
      </c>
      <c r="V2" s="172"/>
    </row>
    <row r="3" spans="1:22" x14ac:dyDescent="0.2">
      <c r="A3" s="891"/>
      <c r="B3" s="896"/>
      <c r="C3" s="893"/>
      <c r="D3" s="863"/>
      <c r="E3" s="869"/>
      <c r="F3" s="894"/>
      <c r="G3" s="888"/>
      <c r="H3" s="890"/>
      <c r="I3" s="879"/>
      <c r="J3" s="880"/>
      <c r="K3" s="858"/>
      <c r="L3" s="881"/>
      <c r="M3" s="882"/>
      <c r="N3" s="246" t="s">
        <v>341</v>
      </c>
      <c r="O3" s="249" t="s">
        <v>390</v>
      </c>
      <c r="P3" s="250" t="s">
        <v>341</v>
      </c>
      <c r="Q3" s="609" t="s">
        <v>390</v>
      </c>
      <c r="R3" s="636" t="s">
        <v>391</v>
      </c>
      <c r="S3" s="618" t="s">
        <v>391</v>
      </c>
      <c r="T3" s="732" t="s">
        <v>392</v>
      </c>
      <c r="U3" s="248" t="s">
        <v>390</v>
      </c>
      <c r="V3" s="172"/>
    </row>
    <row r="4" spans="1:22" x14ac:dyDescent="0.2">
      <c r="A4" s="251" t="s">
        <v>76</v>
      </c>
      <c r="B4" s="722">
        <f>'Resumo Proposta'!D6</f>
        <v>0</v>
      </c>
      <c r="C4" s="179">
        <v>7101.45</v>
      </c>
      <c r="D4" s="181">
        <v>2611.9</v>
      </c>
      <c r="E4" s="183">
        <v>1841.99</v>
      </c>
      <c r="F4" s="181">
        <v>209.96</v>
      </c>
      <c r="G4" s="183">
        <v>294.07</v>
      </c>
      <c r="H4" s="181"/>
      <c r="I4" s="181">
        <v>239.4</v>
      </c>
      <c r="J4" s="183">
        <v>3040.81</v>
      </c>
      <c r="K4" s="183">
        <v>250</v>
      </c>
      <c r="L4" s="184">
        <v>3290.81</v>
      </c>
      <c r="M4" s="252">
        <f>C4/$C$21+D4/$D$21+E4/$E$21+F4/$F$21+G4/$G$21+H4/$H$21+I4/$I$21+K4/$K$21*16*1/188.76+L4/$L$21*16*1/188.76</f>
        <v>13.113744214502052</v>
      </c>
      <c r="N4" s="252"/>
      <c r="O4" s="252">
        <v>13</v>
      </c>
      <c r="P4" s="253"/>
      <c r="Q4" s="253"/>
      <c r="R4" s="631">
        <v>6</v>
      </c>
      <c r="S4" s="642">
        <v>6</v>
      </c>
      <c r="T4" s="733">
        <v>22</v>
      </c>
      <c r="U4" s="740">
        <v>1</v>
      </c>
      <c r="V4" s="168"/>
    </row>
    <row r="5" spans="1:22" x14ac:dyDescent="0.2">
      <c r="A5" s="255" t="s">
        <v>78</v>
      </c>
      <c r="B5" s="722">
        <f>'Resumo Proposta'!D7</f>
        <v>0</v>
      </c>
      <c r="C5" s="190">
        <v>150</v>
      </c>
      <c r="D5" s="192">
        <v>3000</v>
      </c>
      <c r="E5" s="194"/>
      <c r="F5" s="192">
        <v>20.62</v>
      </c>
      <c r="G5" s="194">
        <v>774.35</v>
      </c>
      <c r="H5" s="192">
        <v>4270</v>
      </c>
      <c r="I5" s="192"/>
      <c r="J5" s="194">
        <v>48.7</v>
      </c>
      <c r="K5" s="194"/>
      <c r="L5" s="195">
        <v>48.7</v>
      </c>
      <c r="M5" s="252">
        <f>C5/$C$21+D5/$D$21+E5/$E$21+F5/$F$21+G5/$G$21+H5/$H$21+I5/$I$21+K5/$K$21*16*1/188.76+L5/$L$21*16*1/188.76</f>
        <v>2.0389108649174679</v>
      </c>
      <c r="N5" s="256">
        <v>3</v>
      </c>
      <c r="O5" s="256"/>
      <c r="P5" s="257"/>
      <c r="Q5" s="257"/>
      <c r="R5" s="632">
        <v>6</v>
      </c>
      <c r="S5" s="638">
        <v>6</v>
      </c>
      <c r="T5" s="734"/>
      <c r="U5" s="741"/>
      <c r="V5" s="168"/>
    </row>
    <row r="6" spans="1:22" x14ac:dyDescent="0.2">
      <c r="A6" s="258" t="s">
        <v>79</v>
      </c>
      <c r="B6" s="258"/>
      <c r="C6" s="190"/>
      <c r="D6" s="192"/>
      <c r="E6" s="194"/>
      <c r="F6" s="192"/>
      <c r="G6" s="194"/>
      <c r="H6" s="192"/>
      <c r="I6" s="192"/>
      <c r="J6" s="194"/>
      <c r="K6" s="194"/>
      <c r="L6" s="195"/>
      <c r="M6" s="252"/>
      <c r="N6" s="256"/>
      <c r="O6" s="256"/>
      <c r="P6" s="257"/>
      <c r="Q6" s="257"/>
      <c r="R6" s="632"/>
      <c r="S6" s="638"/>
      <c r="T6" s="735"/>
      <c r="U6" s="741"/>
      <c r="V6" s="168"/>
    </row>
    <row r="7" spans="1:22" x14ac:dyDescent="0.2">
      <c r="A7" s="255" t="s">
        <v>82</v>
      </c>
      <c r="B7" s="723">
        <f>'Resumo Proposta'!D8</f>
        <v>0</v>
      </c>
      <c r="C7" s="190">
        <v>5834.79</v>
      </c>
      <c r="D7" s="192">
        <v>61.05</v>
      </c>
      <c r="E7" s="194">
        <v>1401.94</v>
      </c>
      <c r="F7" s="192">
        <v>490.89</v>
      </c>
      <c r="G7" s="194">
        <v>640.38</v>
      </c>
      <c r="H7" s="192"/>
      <c r="I7" s="192">
        <v>150</v>
      </c>
      <c r="J7" s="194">
        <v>2142</v>
      </c>
      <c r="K7" s="194">
        <v>178</v>
      </c>
      <c r="L7" s="195">
        <v>2320</v>
      </c>
      <c r="M7" s="252">
        <f t="shared" ref="M7:M19" si="0">C7/$C$21+D7/$D$21+E7/$E$21+F7/$F$21+G7/$G$21+H7/$H$21+I7/$I$21+K7/$K$21*16*1/188.76+L7/$L$21*16*1/188.76</f>
        <v>11.031799974882906</v>
      </c>
      <c r="N7" s="256"/>
      <c r="O7" s="256">
        <v>10</v>
      </c>
      <c r="P7" s="257">
        <v>5</v>
      </c>
      <c r="Q7" s="257"/>
      <c r="R7" s="632">
        <v>6</v>
      </c>
      <c r="S7" s="638">
        <v>6</v>
      </c>
      <c r="T7" s="735"/>
      <c r="U7" s="741"/>
      <c r="V7" s="168"/>
    </row>
    <row r="8" spans="1:22" x14ac:dyDescent="0.2">
      <c r="A8" s="255" t="s">
        <v>84</v>
      </c>
      <c r="B8" s="723">
        <f>'Resumo Proposta'!D9</f>
        <v>0</v>
      </c>
      <c r="C8" s="190">
        <v>661.1</v>
      </c>
      <c r="D8" s="192">
        <v>152.5</v>
      </c>
      <c r="E8" s="194"/>
      <c r="F8" s="192">
        <v>55.33</v>
      </c>
      <c r="G8" s="194">
        <v>250</v>
      </c>
      <c r="H8" s="192">
        <v>1748.85</v>
      </c>
      <c r="I8" s="192">
        <v>216</v>
      </c>
      <c r="J8" s="194">
        <v>0</v>
      </c>
      <c r="K8" s="194">
        <v>124.35</v>
      </c>
      <c r="L8" s="195">
        <v>124.35</v>
      </c>
      <c r="M8" s="252">
        <f t="shared" si="0"/>
        <v>1.3098707650652557</v>
      </c>
      <c r="N8" s="256">
        <v>2</v>
      </c>
      <c r="O8" s="256"/>
      <c r="P8" s="257"/>
      <c r="Q8" s="257"/>
      <c r="R8" s="632">
        <v>6</v>
      </c>
      <c r="S8" s="638">
        <v>6</v>
      </c>
      <c r="T8" s="735"/>
      <c r="U8" s="741"/>
      <c r="V8" s="168"/>
    </row>
    <row r="9" spans="1:22" x14ac:dyDescent="0.2">
      <c r="A9" s="255" t="s">
        <v>86</v>
      </c>
      <c r="B9" s="723">
        <f>'Resumo Proposta'!D10</f>
        <v>0</v>
      </c>
      <c r="C9" s="190">
        <v>1995.94</v>
      </c>
      <c r="D9" s="192">
        <v>1396.82</v>
      </c>
      <c r="E9" s="194"/>
      <c r="F9" s="192">
        <v>152.38999999999999</v>
      </c>
      <c r="G9" s="194">
        <v>5714.19</v>
      </c>
      <c r="H9" s="194">
        <v>54.85</v>
      </c>
      <c r="I9" s="192">
        <v>710</v>
      </c>
      <c r="J9" s="194">
        <v>100.25</v>
      </c>
      <c r="K9" s="194">
        <v>200</v>
      </c>
      <c r="L9" s="195">
        <v>300.25</v>
      </c>
      <c r="M9" s="252">
        <f t="shared" si="0"/>
        <v>6.0770284141236228</v>
      </c>
      <c r="N9" s="256"/>
      <c r="O9" s="256">
        <v>6</v>
      </c>
      <c r="P9" s="257"/>
      <c r="Q9" s="257">
        <v>5</v>
      </c>
      <c r="R9" s="632">
        <v>6</v>
      </c>
      <c r="S9" s="638">
        <v>6</v>
      </c>
      <c r="T9" s="735"/>
      <c r="U9" s="741"/>
      <c r="V9" s="168"/>
    </row>
    <row r="10" spans="1:22" x14ac:dyDescent="0.2">
      <c r="A10" s="255" t="s">
        <v>88</v>
      </c>
      <c r="B10" s="723">
        <f>'Resumo Proposta'!D11</f>
        <v>0</v>
      </c>
      <c r="C10" s="190">
        <v>825.54</v>
      </c>
      <c r="D10" s="192">
        <v>825.54</v>
      </c>
      <c r="E10" s="194">
        <v>825.54</v>
      </c>
      <c r="F10" s="192">
        <v>143.30000000000001</v>
      </c>
      <c r="G10" s="194">
        <v>479</v>
      </c>
      <c r="H10" s="194">
        <v>263</v>
      </c>
      <c r="I10" s="192">
        <v>150</v>
      </c>
      <c r="J10" s="194">
        <v>746.26</v>
      </c>
      <c r="K10" s="194">
        <v>373</v>
      </c>
      <c r="L10" s="195">
        <v>1119.26</v>
      </c>
      <c r="M10" s="252">
        <f t="shared" si="0"/>
        <v>3.0781704926554925</v>
      </c>
      <c r="N10" s="256"/>
      <c r="O10" s="256">
        <v>3</v>
      </c>
      <c r="P10" s="257">
        <v>1</v>
      </c>
      <c r="Q10" s="257"/>
      <c r="R10" s="632">
        <v>6</v>
      </c>
      <c r="S10" s="638">
        <v>6</v>
      </c>
      <c r="T10" s="735"/>
      <c r="U10" s="741"/>
      <c r="V10" s="168"/>
    </row>
    <row r="11" spans="1:22" x14ac:dyDescent="0.2">
      <c r="A11" s="255" t="s">
        <v>90</v>
      </c>
      <c r="B11" s="723">
        <f>'Resumo Proposta'!D12</f>
        <v>0</v>
      </c>
      <c r="C11" s="190">
        <v>475.66</v>
      </c>
      <c r="D11" s="192"/>
      <c r="E11" s="194"/>
      <c r="F11" s="192">
        <v>20.21</v>
      </c>
      <c r="G11" s="194">
        <v>18.600000000000001</v>
      </c>
      <c r="H11" s="194"/>
      <c r="I11" s="192">
        <v>436.74</v>
      </c>
      <c r="J11" s="194">
        <v>0</v>
      </c>
      <c r="K11" s="194">
        <v>60.08</v>
      </c>
      <c r="L11" s="195">
        <v>60.08</v>
      </c>
      <c r="M11" s="252">
        <f t="shared" si="0"/>
        <v>0.75763373642572229</v>
      </c>
      <c r="N11" s="256"/>
      <c r="O11" s="256">
        <v>1</v>
      </c>
      <c r="P11" s="257">
        <v>1</v>
      </c>
      <c r="Q11" s="257"/>
      <c r="R11" s="632">
        <v>6</v>
      </c>
      <c r="S11" s="638">
        <v>6</v>
      </c>
      <c r="T11" s="735"/>
      <c r="U11" s="741"/>
      <c r="V11" s="168"/>
    </row>
    <row r="12" spans="1:22" x14ac:dyDescent="0.2">
      <c r="A12" s="255" t="s">
        <v>92</v>
      </c>
      <c r="B12" s="723">
        <f>'Resumo Proposta'!D13</f>
        <v>0</v>
      </c>
      <c r="C12" s="190">
        <v>578.01</v>
      </c>
      <c r="D12" s="192">
        <v>289</v>
      </c>
      <c r="E12" s="194"/>
      <c r="F12" s="192">
        <v>31.02</v>
      </c>
      <c r="G12" s="194">
        <v>24.46</v>
      </c>
      <c r="H12" s="192"/>
      <c r="I12" s="192">
        <v>37.5</v>
      </c>
      <c r="J12" s="194">
        <v>35.950000000000003</v>
      </c>
      <c r="K12" s="194">
        <v>35.950000000000003</v>
      </c>
      <c r="L12" s="195">
        <v>71.900000000000006</v>
      </c>
      <c r="M12" s="252">
        <f t="shared" si="0"/>
        <v>1.0214947559754617</v>
      </c>
      <c r="N12" s="256"/>
      <c r="O12" s="256">
        <v>1</v>
      </c>
      <c r="P12" s="257">
        <v>1</v>
      </c>
      <c r="Q12" s="257"/>
      <c r="R12" s="632">
        <v>6</v>
      </c>
      <c r="S12" s="638">
        <v>6</v>
      </c>
      <c r="T12" s="735"/>
      <c r="U12" s="741"/>
      <c r="V12" s="168"/>
    </row>
    <row r="13" spans="1:22" x14ac:dyDescent="0.2">
      <c r="A13" s="255" t="s">
        <v>94</v>
      </c>
      <c r="B13" s="723">
        <f>'Resumo Proposta'!D14</f>
        <v>0</v>
      </c>
      <c r="C13" s="190">
        <v>757.45</v>
      </c>
      <c r="D13" s="192"/>
      <c r="E13" s="194">
        <v>60.69</v>
      </c>
      <c r="F13" s="192">
        <v>44.12</v>
      </c>
      <c r="G13" s="194">
        <v>258</v>
      </c>
      <c r="H13" s="192"/>
      <c r="I13" s="192"/>
      <c r="J13" s="194">
        <v>0</v>
      </c>
      <c r="K13" s="194">
        <v>62.03</v>
      </c>
      <c r="L13" s="195">
        <v>62.03</v>
      </c>
      <c r="M13" s="252">
        <f t="shared" si="0"/>
        <v>1.2869811798793975</v>
      </c>
      <c r="N13" s="256"/>
      <c r="O13" s="256">
        <v>1</v>
      </c>
      <c r="P13" s="257">
        <v>1</v>
      </c>
      <c r="Q13" s="257"/>
      <c r="R13" s="632">
        <v>6</v>
      </c>
      <c r="S13" s="638">
        <v>6</v>
      </c>
      <c r="T13" s="735"/>
      <c r="U13" s="741"/>
      <c r="V13" s="168"/>
    </row>
    <row r="14" spans="1:22" x14ac:dyDescent="0.2">
      <c r="A14" s="255" t="s">
        <v>96</v>
      </c>
      <c r="B14" s="723">
        <f>'Resumo Proposta'!D15</f>
        <v>0</v>
      </c>
      <c r="C14" s="190">
        <v>567.87</v>
      </c>
      <c r="D14" s="192"/>
      <c r="E14" s="194"/>
      <c r="F14" s="192">
        <v>39.869999999999997</v>
      </c>
      <c r="G14" s="194">
        <v>446.83</v>
      </c>
      <c r="H14" s="192">
        <v>128</v>
      </c>
      <c r="I14" s="192">
        <v>45</v>
      </c>
      <c r="J14" s="194">
        <v>0</v>
      </c>
      <c r="K14" s="194">
        <v>89.12</v>
      </c>
      <c r="L14" s="195">
        <v>89.12</v>
      </c>
      <c r="M14" s="252">
        <f t="shared" si="0"/>
        <v>1.0808487390498036</v>
      </c>
      <c r="N14" s="256">
        <v>1</v>
      </c>
      <c r="O14" s="256"/>
      <c r="P14" s="257"/>
      <c r="Q14" s="257"/>
      <c r="R14" s="632">
        <v>6</v>
      </c>
      <c r="S14" s="638">
        <v>6</v>
      </c>
      <c r="T14" s="735"/>
      <c r="U14" s="741"/>
      <c r="V14" s="168"/>
    </row>
    <row r="15" spans="1:22" x14ac:dyDescent="0.2">
      <c r="A15" s="255" t="s">
        <v>98</v>
      </c>
      <c r="B15" s="723">
        <f>'Resumo Proposta'!D16</f>
        <v>0</v>
      </c>
      <c r="C15" s="190">
        <v>432.68</v>
      </c>
      <c r="D15" s="192"/>
      <c r="E15" s="194"/>
      <c r="F15" s="192">
        <v>21.48</v>
      </c>
      <c r="G15" s="194">
        <v>75</v>
      </c>
      <c r="H15" s="192"/>
      <c r="I15" s="192">
        <v>30</v>
      </c>
      <c r="J15" s="194">
        <v>0</v>
      </c>
      <c r="K15" s="194">
        <v>49.56</v>
      </c>
      <c r="L15" s="195">
        <v>49.56</v>
      </c>
      <c r="M15" s="252">
        <f t="shared" si="0"/>
        <v>0.67999105857991027</v>
      </c>
      <c r="N15" s="256">
        <v>1</v>
      </c>
      <c r="O15" s="256"/>
      <c r="P15" s="257"/>
      <c r="Q15" s="257"/>
      <c r="R15" s="632">
        <v>6</v>
      </c>
      <c r="S15" s="638">
        <v>6</v>
      </c>
      <c r="T15" s="735"/>
      <c r="U15" s="741"/>
      <c r="V15" s="168"/>
    </row>
    <row r="16" spans="1:22" x14ac:dyDescent="0.2">
      <c r="A16" s="255" t="s">
        <v>100</v>
      </c>
      <c r="B16" s="723">
        <f>'Resumo Proposta'!D17</f>
        <v>0</v>
      </c>
      <c r="C16" s="190">
        <v>289</v>
      </c>
      <c r="D16" s="192">
        <v>21</v>
      </c>
      <c r="E16" s="194"/>
      <c r="F16" s="192">
        <v>24.4</v>
      </c>
      <c r="G16" s="194">
        <v>603.35</v>
      </c>
      <c r="H16" s="192">
        <v>261</v>
      </c>
      <c r="I16" s="192">
        <v>40</v>
      </c>
      <c r="J16" s="194">
        <v>0</v>
      </c>
      <c r="K16" s="194">
        <v>84.6</v>
      </c>
      <c r="L16" s="195">
        <v>84.6</v>
      </c>
      <c r="M16" s="252">
        <f t="shared" si="0"/>
        <v>0.73710956955148355</v>
      </c>
      <c r="N16" s="256">
        <v>1</v>
      </c>
      <c r="O16" s="256"/>
      <c r="P16" s="257">
        <v>1</v>
      </c>
      <c r="Q16" s="257"/>
      <c r="R16" s="632">
        <v>6</v>
      </c>
      <c r="S16" s="638">
        <v>6</v>
      </c>
      <c r="T16" s="735"/>
      <c r="U16" s="741"/>
      <c r="V16" s="168"/>
    </row>
    <row r="17" spans="1:1018" s="168" customFormat="1" ht="12.75" x14ac:dyDescent="0.2">
      <c r="A17" s="255" t="s">
        <v>102</v>
      </c>
      <c r="B17" s="723">
        <f>'Resumo Proposta'!D18</f>
        <v>0</v>
      </c>
      <c r="C17" s="190">
        <v>289</v>
      </c>
      <c r="D17" s="192">
        <v>21</v>
      </c>
      <c r="E17" s="194"/>
      <c r="F17" s="192">
        <v>24.4</v>
      </c>
      <c r="G17" s="194">
        <v>394.5</v>
      </c>
      <c r="H17" s="192">
        <v>471.1</v>
      </c>
      <c r="I17" s="192">
        <v>120</v>
      </c>
      <c r="J17" s="194">
        <v>0</v>
      </c>
      <c r="K17" s="194">
        <v>84.6</v>
      </c>
      <c r="L17" s="195">
        <v>84.6</v>
      </c>
      <c r="M17" s="252">
        <f t="shared" si="0"/>
        <v>0.67074760658852051</v>
      </c>
      <c r="N17" s="256">
        <v>1</v>
      </c>
      <c r="O17" s="256"/>
      <c r="P17" s="257"/>
      <c r="Q17" s="257"/>
      <c r="R17" s="633">
        <v>6</v>
      </c>
      <c r="S17" s="639">
        <v>6</v>
      </c>
      <c r="T17" s="736"/>
      <c r="U17" s="741"/>
      <c r="ALR17" s="201"/>
      <c r="ALS17" s="201"/>
      <c r="ALT17" s="201"/>
      <c r="ALU17" s="201"/>
      <c r="ALV17" s="201"/>
      <c r="ALW17" s="201"/>
      <c r="ALX17" s="201"/>
      <c r="ALY17" s="201"/>
      <c r="ALZ17" s="201"/>
      <c r="AMA17" s="201"/>
      <c r="AMB17" s="201"/>
      <c r="AMC17" s="201"/>
      <c r="AMD17" s="201"/>
    </row>
    <row r="18" spans="1:1018" s="168" customFormat="1" ht="12.75" x14ac:dyDescent="0.2">
      <c r="A18" s="255" t="s">
        <v>104</v>
      </c>
      <c r="B18" s="723">
        <f>'Resumo Proposta'!D19</f>
        <v>0</v>
      </c>
      <c r="C18" s="190">
        <v>289</v>
      </c>
      <c r="D18" s="192">
        <v>21</v>
      </c>
      <c r="E18" s="194"/>
      <c r="F18" s="192">
        <v>24.4</v>
      </c>
      <c r="G18" s="194">
        <v>613.6</v>
      </c>
      <c r="H18" s="192">
        <v>402</v>
      </c>
      <c r="I18" s="192">
        <v>30</v>
      </c>
      <c r="J18" s="194">
        <v>0</v>
      </c>
      <c r="K18" s="194">
        <v>84.6</v>
      </c>
      <c r="L18" s="195">
        <v>84.6</v>
      </c>
      <c r="M18" s="252">
        <f t="shared" si="0"/>
        <v>0.74120475473666869</v>
      </c>
      <c r="N18" s="256">
        <v>1</v>
      </c>
      <c r="O18" s="256"/>
      <c r="P18" s="257"/>
      <c r="Q18" s="257"/>
      <c r="R18" s="634">
        <v>6</v>
      </c>
      <c r="S18" s="640">
        <v>6</v>
      </c>
      <c r="T18" s="737"/>
      <c r="U18" s="741"/>
      <c r="ALR18" s="201"/>
      <c r="ALS18" s="201"/>
      <c r="ALT18" s="201"/>
      <c r="ALU18" s="201"/>
      <c r="ALV18" s="201"/>
      <c r="ALW18" s="201"/>
      <c r="ALX18" s="201"/>
      <c r="ALY18" s="201"/>
      <c r="ALZ18" s="201"/>
      <c r="AMA18" s="201"/>
      <c r="AMB18" s="201"/>
      <c r="AMC18" s="201"/>
      <c r="AMD18" s="201"/>
    </row>
    <row r="19" spans="1:1018" s="168" customFormat="1" ht="12.75" x14ac:dyDescent="0.2">
      <c r="A19" s="259" t="s">
        <v>106</v>
      </c>
      <c r="B19" s="723">
        <f>'Resumo Proposta'!D20</f>
        <v>0</v>
      </c>
      <c r="C19" s="203">
        <v>289</v>
      </c>
      <c r="D19" s="205">
        <v>21</v>
      </c>
      <c r="E19" s="207"/>
      <c r="F19" s="205">
        <v>24.4</v>
      </c>
      <c r="G19" s="207">
        <v>505.1</v>
      </c>
      <c r="H19" s="205">
        <v>210.5</v>
      </c>
      <c r="I19" s="205">
        <v>45</v>
      </c>
      <c r="J19" s="207">
        <v>0</v>
      </c>
      <c r="K19" s="207">
        <v>84.6</v>
      </c>
      <c r="L19" s="208">
        <v>84.6</v>
      </c>
      <c r="M19" s="252">
        <f t="shared" si="0"/>
        <v>0.70077123621815018</v>
      </c>
      <c r="N19" s="260">
        <v>1</v>
      </c>
      <c r="O19" s="260"/>
      <c r="P19" s="261"/>
      <c r="Q19" s="610"/>
      <c r="R19" s="635">
        <v>6</v>
      </c>
      <c r="S19" s="641">
        <v>6</v>
      </c>
      <c r="T19" s="738"/>
      <c r="U19" s="742"/>
      <c r="ALR19" s="201"/>
      <c r="ALS19" s="201"/>
      <c r="ALT19" s="201"/>
      <c r="ALU19" s="201"/>
      <c r="ALV19" s="201"/>
      <c r="ALW19" s="201"/>
      <c r="ALX19" s="201"/>
      <c r="ALY19" s="201"/>
      <c r="ALZ19" s="201"/>
      <c r="AMA19" s="201"/>
      <c r="AMB19" s="201"/>
      <c r="AMC19" s="201"/>
      <c r="AMD19" s="201"/>
    </row>
    <row r="20" spans="1:1018" s="168" customFormat="1" ht="12.75" x14ac:dyDescent="0.2">
      <c r="A20" s="262" t="s">
        <v>393</v>
      </c>
      <c r="B20" s="262"/>
      <c r="C20" s="263">
        <f t="shared" ref="C20:U20" si="1">SUM(C4:C19)</f>
        <v>20536.489999999998</v>
      </c>
      <c r="D20" s="264">
        <f t="shared" si="1"/>
        <v>8420.81</v>
      </c>
      <c r="E20" s="264">
        <f t="shared" si="1"/>
        <v>4130.16</v>
      </c>
      <c r="F20" s="264">
        <f t="shared" si="1"/>
        <v>1326.7900000000002</v>
      </c>
      <c r="G20" s="264">
        <f t="shared" si="1"/>
        <v>11091.43</v>
      </c>
      <c r="H20" s="264">
        <f t="shared" si="1"/>
        <v>7809.3000000000011</v>
      </c>
      <c r="I20" s="264">
        <f t="shared" si="1"/>
        <v>2249.6400000000003</v>
      </c>
      <c r="J20" s="264">
        <f t="shared" si="1"/>
        <v>6113.97</v>
      </c>
      <c r="K20" s="264">
        <f t="shared" si="1"/>
        <v>1760.4899999999993</v>
      </c>
      <c r="L20" s="265">
        <f t="shared" si="1"/>
        <v>7874.4600000000019</v>
      </c>
      <c r="M20" s="266">
        <f t="shared" si="1"/>
        <v>44.326307363151926</v>
      </c>
      <c r="N20" s="267">
        <f t="shared" si="1"/>
        <v>11</v>
      </c>
      <c r="O20" s="268">
        <f t="shared" si="1"/>
        <v>35</v>
      </c>
      <c r="P20" s="516">
        <f t="shared" si="1"/>
        <v>10</v>
      </c>
      <c r="Q20" s="611">
        <f t="shared" si="1"/>
        <v>5</v>
      </c>
      <c r="R20" s="637">
        <f t="shared" si="1"/>
        <v>90</v>
      </c>
      <c r="S20" s="613">
        <f t="shared" si="1"/>
        <v>90</v>
      </c>
      <c r="T20" s="739">
        <f t="shared" si="1"/>
        <v>22</v>
      </c>
      <c r="U20" s="743">
        <f t="shared" si="1"/>
        <v>1</v>
      </c>
      <c r="ALR20" s="201"/>
      <c r="ALS20" s="201"/>
      <c r="ALT20" s="201"/>
      <c r="ALU20" s="201"/>
      <c r="ALV20" s="201"/>
      <c r="ALW20" s="201"/>
      <c r="ALX20" s="201"/>
      <c r="ALY20" s="201"/>
      <c r="ALZ20" s="201"/>
      <c r="AMA20" s="201"/>
      <c r="AMB20" s="201"/>
      <c r="AMC20" s="201"/>
      <c r="AMD20" s="201"/>
    </row>
    <row r="21" spans="1:1018" s="168" customFormat="1" ht="15" x14ac:dyDescent="0.25">
      <c r="A21" s="270" t="s">
        <v>394</v>
      </c>
      <c r="B21" s="270"/>
      <c r="C21" s="271">
        <v>800</v>
      </c>
      <c r="D21" s="272">
        <v>2100</v>
      </c>
      <c r="E21" s="272">
        <v>1500</v>
      </c>
      <c r="F21" s="272">
        <v>250</v>
      </c>
      <c r="G21" s="272">
        <v>2700</v>
      </c>
      <c r="H21" s="272">
        <v>100000</v>
      </c>
      <c r="I21" s="272">
        <v>9000</v>
      </c>
      <c r="J21" s="272">
        <v>160</v>
      </c>
      <c r="K21" s="272">
        <v>380</v>
      </c>
      <c r="L21" s="273">
        <v>380</v>
      </c>
      <c r="M21" s="274"/>
      <c r="N21" s="519" t="s">
        <v>395</v>
      </c>
      <c r="O21" s="517">
        <f>N20+O20</f>
        <v>46</v>
      </c>
      <c r="P21" s="519" t="s">
        <v>395</v>
      </c>
      <c r="Q21" s="518">
        <f>P20+Q20</f>
        <v>15</v>
      </c>
      <c r="R21" s="608"/>
      <c r="S21" s="608"/>
      <c r="T21" s="608"/>
      <c r="U21" s="228"/>
      <c r="V21" s="229"/>
      <c r="ALU21" s="229"/>
      <c r="ALV21" s="229"/>
      <c r="ALW21" s="229"/>
      <c r="ALX21" s="229"/>
      <c r="ALY21" s="229"/>
      <c r="ALZ21" s="229"/>
      <c r="AMA21" s="229"/>
      <c r="AMB21" s="229"/>
      <c r="AMC21" s="229"/>
      <c r="AMD21" s="229"/>
    </row>
    <row r="22" spans="1:1018" s="168" customFormat="1" ht="15" x14ac:dyDescent="0.25">
      <c r="A22" s="276" t="s">
        <v>396</v>
      </c>
      <c r="B22" s="276"/>
      <c r="C22" s="277">
        <f t="shared" ref="C22:I22" si="2">C20/C21</f>
        <v>25.670612499999997</v>
      </c>
      <c r="D22" s="278">
        <f t="shared" si="2"/>
        <v>4.0099095238095233</v>
      </c>
      <c r="E22" s="278">
        <f t="shared" si="2"/>
        <v>2.7534399999999999</v>
      </c>
      <c r="F22" s="278">
        <f t="shared" si="2"/>
        <v>5.3071600000000005</v>
      </c>
      <c r="G22" s="278">
        <f t="shared" si="2"/>
        <v>4.1079370370370372</v>
      </c>
      <c r="H22" s="278">
        <f t="shared" si="2"/>
        <v>7.809300000000001E-2</v>
      </c>
      <c r="I22" s="278">
        <f t="shared" si="2"/>
        <v>0.24996000000000004</v>
      </c>
      <c r="J22" s="278">
        <f>1/J21*8*1/(30/7*44*6)*J20</f>
        <v>0.27018806818181823</v>
      </c>
      <c r="K22" s="278">
        <f>1/K21*16*1/188.76*K20</f>
        <v>0.39269916686184614</v>
      </c>
      <c r="L22" s="279">
        <f>1/L21*16*1/188.76*L20</f>
        <v>1.7564961354435045</v>
      </c>
      <c r="M22" s="414">
        <f>SUM(C22:L22)-J22</f>
        <v>44.326307363151919</v>
      </c>
      <c r="N22" s="520" t="s">
        <v>397</v>
      </c>
      <c r="O22" s="518">
        <f>O20+(N20*0.85)</f>
        <v>44.35</v>
      </c>
      <c r="P22" s="275"/>
      <c r="Q22" s="228"/>
      <c r="R22" s="228"/>
      <c r="S22" s="228"/>
      <c r="T22" s="228"/>
      <c r="U22" s="228"/>
      <c r="V22" s="229"/>
      <c r="ALU22" s="229"/>
      <c r="ALV22" s="229"/>
      <c r="ALW22" s="229"/>
      <c r="ALX22" s="229"/>
      <c r="ALY22" s="229"/>
      <c r="ALZ22" s="229"/>
      <c r="AMA22" s="229"/>
      <c r="AMB22" s="229"/>
      <c r="AMC22" s="229"/>
      <c r="AMD22" s="229"/>
    </row>
    <row r="23" spans="1:1018" s="168" customFormat="1" ht="15" x14ac:dyDescent="0.25">
      <c r="A23" s="281" t="s">
        <v>398</v>
      </c>
      <c r="B23" s="281"/>
      <c r="C23" s="282">
        <f>C20/(M22*C21)</f>
        <v>0.57912815271726781</v>
      </c>
      <c r="D23" s="283">
        <f>D20/(M22*D21)</f>
        <v>9.0463423694591968E-2</v>
      </c>
      <c r="E23" s="283">
        <f>E20/(M22*E21)</f>
        <v>6.2117513589433591E-2</v>
      </c>
      <c r="F23" s="283">
        <f>F20/(M22*F21)</f>
        <v>0.11972935071085568</v>
      </c>
      <c r="G23" s="283">
        <f>G20/(M22*G21)</f>
        <v>9.2674921088778311E-2</v>
      </c>
      <c r="H23" s="283">
        <f>H20/(M22*H21)</f>
        <v>1.7617754477089165E-3</v>
      </c>
      <c r="I23" s="283">
        <f>I20/(M22*I21)</f>
        <v>5.6390891745652068E-3</v>
      </c>
      <c r="J23" s="283">
        <f>1/4*1/J21*16*1/1132.6*J20</f>
        <v>0.1349543086703161</v>
      </c>
      <c r="K23" s="283">
        <f>1/M22*1/K21*16*1/188.76*K20</f>
        <v>8.8592799676404724E-3</v>
      </c>
      <c r="L23" s="284">
        <f>1/M22*1/L21*16*1/188.76*L20</f>
        <v>3.9626493609157813E-2</v>
      </c>
      <c r="M23" s="285">
        <f>SUM(C23:L23)-J23</f>
        <v>0.99999999999999967</v>
      </c>
      <c r="N23" s="228"/>
      <c r="O23" s="228"/>
      <c r="P23" s="228"/>
      <c r="Q23" s="228"/>
      <c r="R23" s="228"/>
      <c r="S23" s="228"/>
      <c r="T23" s="228"/>
      <c r="U23" s="229"/>
      <c r="V23" s="229"/>
      <c r="ALU23" s="229"/>
      <c r="ALV23" s="229"/>
      <c r="ALW23" s="229"/>
      <c r="ALX23" s="229"/>
      <c r="ALY23" s="229"/>
      <c r="ALZ23" s="229"/>
      <c r="AMA23" s="229"/>
      <c r="AMB23" s="229"/>
      <c r="AMC23" s="229"/>
      <c r="AMD23" s="229"/>
    </row>
    <row r="24" spans="1:1018" s="168" customFormat="1" ht="15" hidden="1" x14ac:dyDescent="0.25">
      <c r="A24" s="286" t="s">
        <v>399</v>
      </c>
      <c r="B24" s="286"/>
      <c r="C24" s="287">
        <f t="shared" ref="C24:I24" si="3">ROUND(1/C21,9)</f>
        <v>1.25E-3</v>
      </c>
      <c r="D24" s="288">
        <f t="shared" si="3"/>
        <v>4.7618999999999998E-4</v>
      </c>
      <c r="E24" s="288">
        <f t="shared" si="3"/>
        <v>6.6666700000000002E-4</v>
      </c>
      <c r="F24" s="288">
        <f t="shared" si="3"/>
        <v>4.0000000000000001E-3</v>
      </c>
      <c r="G24" s="288">
        <f t="shared" si="3"/>
        <v>3.7037000000000002E-4</v>
      </c>
      <c r="H24" s="288">
        <f t="shared" si="3"/>
        <v>1.0000000000000001E-5</v>
      </c>
      <c r="I24" s="288">
        <f t="shared" si="3"/>
        <v>1.11111E-4</v>
      </c>
      <c r="J24" s="289">
        <f>(1/J21)*(1/L32)*8</f>
        <v>4.8611111111111115E-5</v>
      </c>
      <c r="K24" s="289">
        <f>(1/K21)*(1/L31)*16</f>
        <v>2.4561403508771931E-4</v>
      </c>
      <c r="L24" s="290">
        <f>(1/L21)*(1/L31)*16</f>
        <v>2.4561403508771931E-4</v>
      </c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ALU24" s="229"/>
      <c r="ALV24" s="229"/>
      <c r="ALW24" s="229"/>
      <c r="ALX24" s="229"/>
      <c r="ALY24" s="229"/>
      <c r="ALZ24" s="229"/>
      <c r="AMA24" s="229"/>
      <c r="AMB24" s="229"/>
      <c r="AMC24" s="229"/>
      <c r="AMD24" s="229"/>
    </row>
    <row r="25" spans="1:1018" s="168" customFormat="1" ht="15" hidden="1" x14ac:dyDescent="0.25">
      <c r="A25" s="291" t="s">
        <v>400</v>
      </c>
      <c r="B25" s="291"/>
      <c r="C25" s="292">
        <f t="shared" ref="C25" si="4">C24/$U$20</f>
        <v>1.25E-3</v>
      </c>
      <c r="D25" s="293">
        <f t="shared" ref="D25:L25" si="5">D24/$U$20</f>
        <v>4.7618999999999998E-4</v>
      </c>
      <c r="E25" s="293">
        <f t="shared" si="5"/>
        <v>6.6666700000000002E-4</v>
      </c>
      <c r="F25" s="293">
        <f t="shared" si="5"/>
        <v>4.0000000000000001E-3</v>
      </c>
      <c r="G25" s="293">
        <f t="shared" si="5"/>
        <v>3.7037000000000002E-4</v>
      </c>
      <c r="H25" s="293">
        <f t="shared" si="5"/>
        <v>1.0000000000000001E-5</v>
      </c>
      <c r="I25" s="293">
        <f t="shared" si="5"/>
        <v>1.11111E-4</v>
      </c>
      <c r="J25" s="294">
        <f t="shared" si="5"/>
        <v>4.8611111111111115E-5</v>
      </c>
      <c r="K25" s="294">
        <f t="shared" si="5"/>
        <v>2.4561403508771931E-4</v>
      </c>
      <c r="L25" s="295">
        <f t="shared" si="5"/>
        <v>2.4561403508771931E-4</v>
      </c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ALU25" s="229"/>
      <c r="ALV25" s="229"/>
      <c r="ALW25" s="229"/>
      <c r="ALX25" s="229"/>
      <c r="ALY25" s="229"/>
      <c r="ALZ25" s="229"/>
      <c r="AMA25" s="229"/>
      <c r="AMB25" s="229"/>
      <c r="AMC25" s="229"/>
      <c r="AMD25" s="229"/>
    </row>
    <row r="26" spans="1:1018" s="168" customFormat="1" ht="15" hidden="1" x14ac:dyDescent="0.25">
      <c r="A26" s="296" t="s">
        <v>401</v>
      </c>
      <c r="B26" s="296"/>
      <c r="C26" s="297" t="s">
        <v>402</v>
      </c>
      <c r="D26" s="298" t="s">
        <v>403</v>
      </c>
      <c r="E26" s="298" t="s">
        <v>404</v>
      </c>
      <c r="F26" s="298" t="s">
        <v>405</v>
      </c>
      <c r="G26" s="299" t="s">
        <v>406</v>
      </c>
      <c r="H26" s="299" t="s">
        <v>406</v>
      </c>
      <c r="I26" s="299" t="s">
        <v>407</v>
      </c>
      <c r="J26" s="300" t="s">
        <v>408</v>
      </c>
      <c r="K26" s="300" t="s">
        <v>409</v>
      </c>
      <c r="L26" s="301" t="s">
        <v>409</v>
      </c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ALU26" s="229"/>
      <c r="ALV26" s="229"/>
      <c r="ALW26" s="229"/>
      <c r="ALX26" s="229"/>
      <c r="ALY26" s="229"/>
      <c r="ALZ26" s="229"/>
      <c r="AMA26" s="229"/>
      <c r="AMB26" s="229"/>
      <c r="AMC26" s="229"/>
      <c r="AMD26" s="229"/>
    </row>
    <row r="27" spans="1:1018" s="168" customFormat="1" ht="15" hidden="1" x14ac:dyDescent="0.25">
      <c r="A27" s="302"/>
      <c r="B27" s="302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ALR27" s="201"/>
      <c r="ALS27" s="201"/>
      <c r="ALT27" s="201"/>
      <c r="ALU27" s="201"/>
      <c r="ALV27" s="201"/>
      <c r="ALW27" s="201"/>
      <c r="ALX27" s="201"/>
      <c r="ALY27" s="201"/>
      <c r="ALZ27" s="201"/>
      <c r="AMA27" s="201"/>
      <c r="AMB27" s="201"/>
      <c r="AMC27" s="201"/>
      <c r="AMD27" s="201"/>
    </row>
    <row r="28" spans="1:1018" s="168" customFormat="1" ht="15" x14ac:dyDescent="0.25">
      <c r="A28" s="303" t="s">
        <v>401</v>
      </c>
      <c r="B28" s="721"/>
      <c r="C28" s="298" t="s">
        <v>402</v>
      </c>
      <c r="D28" s="298" t="s">
        <v>403</v>
      </c>
      <c r="E28" s="298" t="s">
        <v>404</v>
      </c>
      <c r="F28" s="298" t="s">
        <v>405</v>
      </c>
      <c r="G28" s="299" t="s">
        <v>406</v>
      </c>
      <c r="H28" s="304">
        <v>100000</v>
      </c>
      <c r="I28" s="299" t="s">
        <v>407</v>
      </c>
      <c r="J28" s="299" t="s">
        <v>408</v>
      </c>
      <c r="K28" s="300" t="s">
        <v>409</v>
      </c>
      <c r="L28" s="301" t="s">
        <v>409</v>
      </c>
      <c r="M28" s="229"/>
      <c r="N28" s="229"/>
      <c r="O28" s="229"/>
      <c r="P28" s="229"/>
      <c r="Q28" s="229"/>
      <c r="R28" s="229"/>
      <c r="S28" s="229"/>
      <c r="T28" s="229"/>
      <c r="U28" s="229"/>
      <c r="ALR28" s="201"/>
      <c r="ALS28" s="201"/>
      <c r="ALT28" s="201"/>
      <c r="ALU28" s="201"/>
      <c r="ALV28" s="201"/>
      <c r="ALW28" s="201"/>
      <c r="ALX28" s="201"/>
      <c r="ALY28" s="201"/>
      <c r="ALZ28" s="201"/>
      <c r="AMA28" s="201"/>
      <c r="AMB28" s="201"/>
      <c r="AMC28" s="201"/>
      <c r="AMD28" s="201"/>
    </row>
    <row r="29" spans="1:1018" s="168" customFormat="1" ht="15" hidden="1" x14ac:dyDescent="0.25">
      <c r="A29" s="305"/>
      <c r="B29" s="305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ALR29" s="201"/>
      <c r="ALS29" s="201"/>
      <c r="ALT29" s="201"/>
      <c r="ALU29" s="201"/>
      <c r="ALV29" s="201"/>
      <c r="ALW29" s="201"/>
      <c r="ALX29" s="201"/>
      <c r="ALY29" s="201"/>
      <c r="ALZ29" s="201"/>
      <c r="AMA29" s="201"/>
      <c r="AMB29" s="201"/>
      <c r="AMC29" s="201"/>
      <c r="AMD29" s="201"/>
    </row>
    <row r="30" spans="1:1018" s="168" customFormat="1" ht="15" hidden="1" x14ac:dyDescent="0.25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ALR30" s="201"/>
      <c r="ALS30" s="201"/>
      <c r="ALT30" s="201"/>
      <c r="ALU30" s="201"/>
      <c r="ALV30" s="201"/>
      <c r="ALW30" s="201"/>
      <c r="ALX30" s="201"/>
      <c r="ALY30" s="201"/>
      <c r="ALZ30" s="201"/>
      <c r="AMA30" s="201"/>
      <c r="AMB30" s="201"/>
      <c r="AMC30" s="201"/>
      <c r="AMD30" s="201"/>
    </row>
    <row r="31" spans="1:1018" s="168" customFormat="1" ht="15" hidden="1" x14ac:dyDescent="0.25">
      <c r="A31" s="229"/>
      <c r="B31" s="229"/>
      <c r="C31" s="229"/>
      <c r="D31" s="229"/>
      <c r="E31" s="229"/>
      <c r="F31" s="229"/>
      <c r="G31" s="229"/>
      <c r="H31" s="229"/>
      <c r="I31" s="229"/>
      <c r="J31" s="104">
        <f>30/7</f>
        <v>4.2857142857142856</v>
      </c>
      <c r="K31" s="104">
        <v>40</v>
      </c>
      <c r="L31" s="104">
        <f>J31*K31</f>
        <v>171.42857142857142</v>
      </c>
      <c r="M31" s="104"/>
      <c r="N31" s="104"/>
      <c r="O31" s="104"/>
      <c r="P31" s="104"/>
      <c r="Q31" s="104"/>
      <c r="R31" s="104"/>
      <c r="S31" s="104"/>
      <c r="T31" s="104"/>
      <c r="U31" s="104"/>
      <c r="ALR31" s="201"/>
      <c r="ALS31" s="201"/>
      <c r="ALT31" s="201"/>
      <c r="ALU31" s="201"/>
      <c r="ALV31" s="201"/>
      <c r="ALW31" s="201"/>
      <c r="ALX31" s="201"/>
      <c r="ALY31" s="201"/>
      <c r="ALZ31" s="201"/>
      <c r="AMA31" s="201"/>
      <c r="AMB31" s="201"/>
      <c r="AMC31" s="201"/>
      <c r="AMD31" s="201"/>
    </row>
    <row r="32" spans="1:1018" s="168" customFormat="1" ht="15" hidden="1" x14ac:dyDescent="0.25">
      <c r="A32" s="229"/>
      <c r="B32" s="229"/>
      <c r="C32" s="229"/>
      <c r="D32" s="229"/>
      <c r="E32" s="229"/>
      <c r="F32" s="229"/>
      <c r="G32" s="229"/>
      <c r="H32" s="229"/>
      <c r="I32" s="229"/>
      <c r="J32" s="104"/>
      <c r="K32" s="104"/>
      <c r="L32" s="104">
        <f>L31*6</f>
        <v>1028.5714285714284</v>
      </c>
      <c r="M32" s="104" t="s">
        <v>410</v>
      </c>
      <c r="N32" s="104"/>
      <c r="O32" s="104"/>
      <c r="P32" s="104"/>
      <c r="Q32" s="104"/>
      <c r="R32" s="104"/>
      <c r="S32" s="104"/>
      <c r="T32" s="104"/>
      <c r="U32" s="104"/>
      <c r="ALR32" s="201"/>
      <c r="ALS32" s="201"/>
      <c r="ALT32" s="201"/>
      <c r="ALU32" s="201"/>
      <c r="ALV32" s="201"/>
      <c r="ALW32" s="201"/>
      <c r="ALX32" s="201"/>
      <c r="ALY32" s="201"/>
      <c r="ALZ32" s="201"/>
      <c r="AMA32" s="201"/>
      <c r="AMB32" s="201"/>
      <c r="AMC32" s="201"/>
      <c r="AMD32" s="201"/>
    </row>
    <row r="33" hidden="1" x14ac:dyDescent="0.2"/>
    <row r="39" hidden="1" x14ac:dyDescent="0.2"/>
    <row r="40" hidden="1" x14ac:dyDescent="0.2"/>
    <row r="183" spans="3:3" x14ac:dyDescent="0.2">
      <c r="C183">
        <f>(1/'Prod. GEXCTB'!J21)*(1/('Prod. GEXCTB'!J22))*8</f>
        <v>0.18505628444833247</v>
      </c>
    </row>
  </sheetData>
  <mergeCells count="19">
    <mergeCell ref="A2:A3"/>
    <mergeCell ref="C2:C3"/>
    <mergeCell ref="D2:D3"/>
    <mergeCell ref="E2:E3"/>
    <mergeCell ref="F2:F3"/>
    <mergeCell ref="B2:B3"/>
    <mergeCell ref="C1:F1"/>
    <mergeCell ref="G1:I1"/>
    <mergeCell ref="J1:L1"/>
    <mergeCell ref="G2:G3"/>
    <mergeCell ref="H2:H3"/>
    <mergeCell ref="R1:T1"/>
    <mergeCell ref="I2:I3"/>
    <mergeCell ref="J2:J3"/>
    <mergeCell ref="K2:K3"/>
    <mergeCell ref="L2:L3"/>
    <mergeCell ref="M2:M3"/>
    <mergeCell ref="N2:O2"/>
    <mergeCell ref="P2:Q2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G192"/>
  <sheetViews>
    <sheetView topLeftCell="D129" zoomScale="80" zoomScaleNormal="80" workbookViewId="0">
      <selection activeCell="M148" sqref="M148:AB192"/>
    </sheetView>
  </sheetViews>
  <sheetFormatPr defaultRowHeight="14.25" x14ac:dyDescent="0.2"/>
  <cols>
    <col min="1" max="1" width="58.125" style="104"/>
    <col min="2" max="2" width="15.375" style="104"/>
    <col min="3" max="5" width="14.5" style="104"/>
    <col min="6" max="6" width="15.75" style="104"/>
    <col min="7" max="7" width="13" style="104"/>
    <col min="8" max="8" width="15.625" style="104"/>
    <col min="9" max="9" width="10.5" style="104"/>
    <col min="10" max="10" width="15.125" style="104"/>
    <col min="11" max="11" width="10.5" style="104"/>
    <col min="12" max="12" width="14.25" style="104"/>
    <col min="13" max="1021" width="10.5" style="104"/>
    <col min="1022" max="1025" width="10.5"/>
  </cols>
  <sheetData>
    <row r="1" spans="1:6" ht="15.75" x14ac:dyDescent="0.2">
      <c r="A1" s="923" t="s">
        <v>412</v>
      </c>
      <c r="B1" s="923"/>
      <c r="C1" s="923"/>
      <c r="D1" s="923"/>
      <c r="E1" s="923"/>
      <c r="F1" s="923"/>
    </row>
    <row r="2" spans="1:6" ht="15.75" x14ac:dyDescent="0.2">
      <c r="A2" s="924" t="s">
        <v>413</v>
      </c>
      <c r="B2" s="924"/>
      <c r="C2" s="924"/>
      <c r="D2" s="924"/>
      <c r="E2" s="924"/>
      <c r="F2" s="924"/>
    </row>
    <row r="3" spans="1:6" ht="15.75" customHeight="1" x14ac:dyDescent="0.2">
      <c r="A3" s="924" t="s">
        <v>414</v>
      </c>
      <c r="B3" s="924"/>
      <c r="C3" s="924"/>
      <c r="D3" s="924"/>
      <c r="E3" s="924"/>
      <c r="F3" s="924"/>
    </row>
    <row r="4" spans="1:6" ht="15.75" x14ac:dyDescent="0.2">
      <c r="A4" s="105"/>
      <c r="B4" s="106"/>
      <c r="C4" s="107" t="s">
        <v>415</v>
      </c>
      <c r="D4" s="306" t="s">
        <v>416</v>
      </c>
      <c r="E4" s="307" t="s">
        <v>417</v>
      </c>
      <c r="F4" s="307" t="s">
        <v>418</v>
      </c>
    </row>
    <row r="5" spans="1:6" x14ac:dyDescent="0.2">
      <c r="A5" s="108"/>
      <c r="B5" s="109" t="s">
        <v>419</v>
      </c>
      <c r="C5" s="110">
        <f>MC!D11</f>
        <v>0</v>
      </c>
      <c r="D5" s="308">
        <f>MC!E11</f>
        <v>0</v>
      </c>
      <c r="E5" s="309">
        <f>MC!C11</f>
        <v>0</v>
      </c>
      <c r="F5" s="309">
        <f>MC!D12</f>
        <v>0</v>
      </c>
    </row>
    <row r="6" spans="1:6" x14ac:dyDescent="0.2">
      <c r="A6" s="108"/>
      <c r="B6" s="109" t="s">
        <v>420</v>
      </c>
      <c r="C6" s="111">
        <f>MC!D8</f>
        <v>0</v>
      </c>
      <c r="D6" s="310">
        <f>MC!D8</f>
        <v>0</v>
      </c>
      <c r="E6" s="311">
        <f>MC!D8</f>
        <v>0</v>
      </c>
      <c r="F6" s="311">
        <f>MC!D8</f>
        <v>0</v>
      </c>
    </row>
    <row r="7" spans="1:6" x14ac:dyDescent="0.2">
      <c r="A7" s="108"/>
      <c r="B7" s="109" t="s">
        <v>421</v>
      </c>
      <c r="C7" s="111">
        <f>MC!C8</f>
        <v>0</v>
      </c>
      <c r="D7" s="310">
        <f>MC!C8</f>
        <v>0</v>
      </c>
      <c r="E7" s="311">
        <f>MC!C8</f>
        <v>0</v>
      </c>
      <c r="F7" s="311">
        <f>MC!C8</f>
        <v>0</v>
      </c>
    </row>
    <row r="8" spans="1:6" x14ac:dyDescent="0.2">
      <c r="A8" s="108"/>
      <c r="B8" s="109" t="s">
        <v>422</v>
      </c>
      <c r="C8" s="112">
        <f>MC!E8</f>
        <v>0</v>
      </c>
      <c r="D8" s="312">
        <f>MC!E8</f>
        <v>0</v>
      </c>
      <c r="E8" s="313">
        <f>MC!E8</f>
        <v>0</v>
      </c>
      <c r="F8" s="313">
        <f>MC!E8</f>
        <v>0</v>
      </c>
    </row>
    <row r="9" spans="1:6" x14ac:dyDescent="0.2">
      <c r="A9" s="925"/>
      <c r="B9" s="925"/>
      <c r="C9" s="925"/>
      <c r="D9" s="925"/>
      <c r="E9" s="925"/>
      <c r="F9" s="925"/>
    </row>
    <row r="10" spans="1:6" ht="66.75" customHeight="1" x14ac:dyDescent="0.2">
      <c r="A10" s="314" t="s">
        <v>423</v>
      </c>
      <c r="B10" s="315" t="s">
        <v>424</v>
      </c>
      <c r="C10" s="315" t="s">
        <v>425</v>
      </c>
      <c r="D10" s="392" t="s">
        <v>416</v>
      </c>
      <c r="E10" s="315" t="s">
        <v>426</v>
      </c>
      <c r="F10" s="315" t="s">
        <v>427</v>
      </c>
    </row>
    <row r="11" spans="1:6" ht="14.25" customHeight="1" x14ac:dyDescent="0.2">
      <c r="A11" s="498" t="s">
        <v>428</v>
      </c>
      <c r="B11" s="498"/>
      <c r="C11" s="498"/>
      <c r="D11" s="498"/>
      <c r="E11" s="498"/>
      <c r="F11" s="498"/>
    </row>
    <row r="12" spans="1:6" ht="15.75" customHeight="1" x14ac:dyDescent="0.2">
      <c r="A12" s="113" t="s">
        <v>429</v>
      </c>
      <c r="B12" s="114" t="s">
        <v>430</v>
      </c>
      <c r="C12" s="114" t="s">
        <v>431</v>
      </c>
      <c r="D12" s="114" t="s">
        <v>431</v>
      </c>
      <c r="E12" s="316"/>
      <c r="F12" s="115" t="s">
        <v>431</v>
      </c>
    </row>
    <row r="13" spans="1:6" ht="15.75" customHeight="1" x14ac:dyDescent="0.2">
      <c r="A13" s="116" t="s">
        <v>432</v>
      </c>
      <c r="B13" s="117"/>
      <c r="C13" s="118">
        <f>C5</f>
        <v>0</v>
      </c>
      <c r="D13" s="317">
        <f>D5</f>
        <v>0</v>
      </c>
      <c r="E13" s="317">
        <f>E5</f>
        <v>0</v>
      </c>
      <c r="F13" s="119">
        <f>F5</f>
        <v>0</v>
      </c>
    </row>
    <row r="14" spans="1:6" ht="15.75" customHeight="1" x14ac:dyDescent="0.2">
      <c r="A14" s="116" t="s">
        <v>433</v>
      </c>
      <c r="B14" s="120">
        <v>0</v>
      </c>
      <c r="C14" s="118">
        <f>C13*$B$14</f>
        <v>0</v>
      </c>
      <c r="D14" s="118">
        <f>D13*$B$14</f>
        <v>0</v>
      </c>
      <c r="E14" s="118">
        <f>E13*$B$14</f>
        <v>0</v>
      </c>
      <c r="F14" s="119">
        <f>F13*$B$14</f>
        <v>0</v>
      </c>
    </row>
    <row r="15" spans="1:6" ht="15.75" customHeight="1" x14ac:dyDescent="0.2">
      <c r="A15" s="116" t="s">
        <v>434</v>
      </c>
      <c r="B15" s="121"/>
      <c r="C15" s="118"/>
      <c r="D15" s="317"/>
      <c r="E15" s="317"/>
      <c r="F15" s="119"/>
    </row>
    <row r="16" spans="1:6" ht="15.75" customHeight="1" x14ac:dyDescent="0.2">
      <c r="A16" s="116" t="s">
        <v>435</v>
      </c>
      <c r="B16" s="121"/>
      <c r="C16" s="118"/>
      <c r="D16" s="317"/>
      <c r="E16" s="317"/>
      <c r="F16" s="119"/>
    </row>
    <row r="17" spans="1:6" ht="15.75" customHeight="1" x14ac:dyDescent="0.2">
      <c r="A17" s="116" t="s">
        <v>436</v>
      </c>
      <c r="B17" s="121"/>
      <c r="C17" s="118"/>
      <c r="D17" s="317"/>
      <c r="E17" s="317"/>
      <c r="F17" s="119"/>
    </row>
    <row r="18" spans="1:6" ht="15.75" customHeight="1" x14ac:dyDescent="0.2">
      <c r="A18" s="116" t="s">
        <v>437</v>
      </c>
      <c r="B18" s="122"/>
      <c r="C18" s="118"/>
      <c r="D18" s="118"/>
      <c r="E18" s="317">
        <f>MC!C13</f>
        <v>0</v>
      </c>
      <c r="F18" s="119"/>
    </row>
    <row r="19" spans="1:6" ht="15.75" customHeight="1" x14ac:dyDescent="0.2">
      <c r="A19" s="123" t="s">
        <v>438</v>
      </c>
      <c r="B19" s="124"/>
      <c r="C19" s="133">
        <f>SUM(C13:C18)</f>
        <v>0</v>
      </c>
      <c r="D19" s="318">
        <f>SUM(D13:D18)</f>
        <v>0</v>
      </c>
      <c r="E19" s="318">
        <f>SUM(E13:E18)</f>
        <v>0</v>
      </c>
      <c r="F19" s="134">
        <f>SUM(F13:F18)</f>
        <v>0</v>
      </c>
    </row>
    <row r="20" spans="1:6" ht="15.75" customHeight="1" x14ac:dyDescent="0.2">
      <c r="A20" s="917"/>
      <c r="B20" s="917"/>
      <c r="C20" s="126"/>
      <c r="D20" s="319"/>
      <c r="E20" s="319"/>
      <c r="F20" s="127"/>
    </row>
    <row r="21" spans="1:6" ht="14.25" customHeight="1" x14ac:dyDescent="0.2">
      <c r="A21" s="922" t="s">
        <v>439</v>
      </c>
      <c r="B21" s="922"/>
      <c r="C21" s="922"/>
      <c r="D21" s="922"/>
      <c r="E21" s="922"/>
      <c r="F21" s="922"/>
    </row>
    <row r="22" spans="1:6" ht="28.35" customHeight="1" x14ac:dyDescent="0.2">
      <c r="A22" s="128" t="s">
        <v>440</v>
      </c>
      <c r="B22" s="129" t="s">
        <v>430</v>
      </c>
      <c r="C22" s="129" t="s">
        <v>431</v>
      </c>
      <c r="D22" s="129" t="s">
        <v>431</v>
      </c>
      <c r="E22" s="129" t="s">
        <v>431</v>
      </c>
      <c r="F22" s="130" t="s">
        <v>431</v>
      </c>
    </row>
    <row r="23" spans="1:6" ht="15.75" customHeight="1" x14ac:dyDescent="0.2">
      <c r="A23" s="131" t="s">
        <v>441</v>
      </c>
      <c r="B23" s="120">
        <f>1/12</f>
        <v>8.3333333333333329E-2</v>
      </c>
      <c r="C23" s="118">
        <f>ROUND($B23*C$19,2)</f>
        <v>0</v>
      </c>
      <c r="D23" s="118">
        <f>ROUND($B23*D$19,2)</f>
        <v>0</v>
      </c>
      <c r="E23" s="118">
        <f>ROUND($B23*E$19,2)</f>
        <v>0</v>
      </c>
      <c r="F23" s="119">
        <f>ROUND($B23*F$19,2)</f>
        <v>0</v>
      </c>
    </row>
    <row r="24" spans="1:6" x14ac:dyDescent="0.2">
      <c r="A24" s="131" t="s">
        <v>442</v>
      </c>
      <c r="B24" s="120">
        <f>1/3*1/12</f>
        <v>2.7777777777777776E-2</v>
      </c>
      <c r="C24" s="118">
        <f>C$19*$B$24</f>
        <v>0</v>
      </c>
      <c r="D24" s="118">
        <f>D$19*$B$24</f>
        <v>0</v>
      </c>
      <c r="E24" s="118">
        <f>E$19*$B$24</f>
        <v>0</v>
      </c>
      <c r="F24" s="119">
        <f>F$19*$B$24</f>
        <v>0</v>
      </c>
    </row>
    <row r="25" spans="1:6" ht="14.25" customHeight="1" x14ac:dyDescent="0.2">
      <c r="A25" s="123" t="s">
        <v>438</v>
      </c>
      <c r="B25" s="132">
        <f>SUM(B23:B24)</f>
        <v>0.1111111111111111</v>
      </c>
      <c r="C25" s="133">
        <f>SUM(C23:C24)</f>
        <v>0</v>
      </c>
      <c r="D25" s="133">
        <f>SUM(D23:D24)</f>
        <v>0</v>
      </c>
      <c r="E25" s="133">
        <f>SUM(E23:E24)</f>
        <v>0</v>
      </c>
      <c r="F25" s="134">
        <f>SUM(F23:F24)</f>
        <v>0</v>
      </c>
    </row>
    <row r="26" spans="1:6" x14ac:dyDescent="0.2">
      <c r="A26" s="128" t="s">
        <v>443</v>
      </c>
      <c r="B26" s="129" t="s">
        <v>430</v>
      </c>
      <c r="C26" s="129" t="s">
        <v>431</v>
      </c>
      <c r="D26" s="129" t="s">
        <v>431</v>
      </c>
      <c r="E26" s="129" t="s">
        <v>431</v>
      </c>
      <c r="F26" s="130" t="s">
        <v>431</v>
      </c>
    </row>
    <row r="27" spans="1:6" ht="15.75" customHeight="1" x14ac:dyDescent="0.2">
      <c r="A27" s="128" t="s">
        <v>444</v>
      </c>
      <c r="B27" s="135"/>
      <c r="C27" s="135"/>
      <c r="D27" s="135"/>
      <c r="E27" s="320"/>
      <c r="F27" s="136"/>
    </row>
    <row r="28" spans="1:6" ht="14.25" customHeight="1" x14ac:dyDescent="0.2">
      <c r="A28" s="131" t="s">
        <v>445</v>
      </c>
      <c r="B28" s="120">
        <v>0.2</v>
      </c>
      <c r="C28" s="137">
        <f t="shared" ref="C28:C35" si="0">ROUND(($C$19+$C$25)*B28,2)</f>
        <v>0</v>
      </c>
      <c r="D28" s="137">
        <f t="shared" ref="D28:D35" si="1">ROUND(($D$19+$D$25)*B28,2)</f>
        <v>0</v>
      </c>
      <c r="E28" s="137">
        <f t="shared" ref="E28:E35" si="2">ROUND(($E$19+$E$25)*B28,2)</f>
        <v>0</v>
      </c>
      <c r="F28" s="138">
        <f t="shared" ref="F28:F35" si="3">ROUND(($F$19+$F$25)*B28,2)</f>
        <v>0</v>
      </c>
    </row>
    <row r="29" spans="1:6" ht="15.75" customHeight="1" x14ac:dyDescent="0.2">
      <c r="A29" s="131" t="s">
        <v>446</v>
      </c>
      <c r="B29" s="120">
        <v>2.5000000000000001E-2</v>
      </c>
      <c r="C29" s="137">
        <f t="shared" si="0"/>
        <v>0</v>
      </c>
      <c r="D29" s="137">
        <f t="shared" si="1"/>
        <v>0</v>
      </c>
      <c r="E29" s="137">
        <f t="shared" si="2"/>
        <v>0</v>
      </c>
      <c r="F29" s="138">
        <f t="shared" si="3"/>
        <v>0</v>
      </c>
    </row>
    <row r="30" spans="1:6" ht="15.75" customHeight="1" x14ac:dyDescent="0.2">
      <c r="A30" s="131" t="s">
        <v>447</v>
      </c>
      <c r="B30" s="120">
        <v>0.03</v>
      </c>
      <c r="C30" s="137">
        <f t="shared" si="0"/>
        <v>0</v>
      </c>
      <c r="D30" s="137">
        <f t="shared" si="1"/>
        <v>0</v>
      </c>
      <c r="E30" s="137">
        <f t="shared" si="2"/>
        <v>0</v>
      </c>
      <c r="F30" s="138">
        <f t="shared" si="3"/>
        <v>0</v>
      </c>
    </row>
    <row r="31" spans="1:6" ht="15.75" customHeight="1" x14ac:dyDescent="0.2">
      <c r="A31" s="131" t="s">
        <v>448</v>
      </c>
      <c r="B31" s="120">
        <v>1.4999999999999999E-2</v>
      </c>
      <c r="C31" s="137">
        <f t="shared" si="0"/>
        <v>0</v>
      </c>
      <c r="D31" s="137">
        <f t="shared" si="1"/>
        <v>0</v>
      </c>
      <c r="E31" s="137">
        <f t="shared" si="2"/>
        <v>0</v>
      </c>
      <c r="F31" s="138">
        <f t="shared" si="3"/>
        <v>0</v>
      </c>
    </row>
    <row r="32" spans="1:6" ht="15.75" customHeight="1" x14ac:dyDescent="0.2">
      <c r="A32" s="131" t="s">
        <v>449</v>
      </c>
      <c r="B32" s="120">
        <v>0.01</v>
      </c>
      <c r="C32" s="137">
        <f t="shared" si="0"/>
        <v>0</v>
      </c>
      <c r="D32" s="137">
        <f t="shared" si="1"/>
        <v>0</v>
      </c>
      <c r="E32" s="137">
        <f t="shared" si="2"/>
        <v>0</v>
      </c>
      <c r="F32" s="138">
        <f t="shared" si="3"/>
        <v>0</v>
      </c>
    </row>
    <row r="33" spans="1:6" ht="15.75" customHeight="1" x14ac:dyDescent="0.2">
      <c r="A33" s="131" t="s">
        <v>450</v>
      </c>
      <c r="B33" s="120">
        <v>6.0000000000000001E-3</v>
      </c>
      <c r="C33" s="137">
        <f t="shared" si="0"/>
        <v>0</v>
      </c>
      <c r="D33" s="137">
        <f t="shared" si="1"/>
        <v>0</v>
      </c>
      <c r="E33" s="137">
        <f t="shared" si="2"/>
        <v>0</v>
      </c>
      <c r="F33" s="138">
        <f t="shared" si="3"/>
        <v>0</v>
      </c>
    </row>
    <row r="34" spans="1:6" ht="15.75" customHeight="1" x14ac:dyDescent="0.2">
      <c r="A34" s="131" t="s">
        <v>451</v>
      </c>
      <c r="B34" s="120">
        <v>2E-3</v>
      </c>
      <c r="C34" s="137">
        <f t="shared" si="0"/>
        <v>0</v>
      </c>
      <c r="D34" s="137">
        <f t="shared" si="1"/>
        <v>0</v>
      </c>
      <c r="E34" s="137">
        <f t="shared" si="2"/>
        <v>0</v>
      </c>
      <c r="F34" s="138">
        <f t="shared" si="3"/>
        <v>0</v>
      </c>
    </row>
    <row r="35" spans="1:6" ht="15.75" customHeight="1" x14ac:dyDescent="0.2">
      <c r="A35" s="131" t="s">
        <v>452</v>
      </c>
      <c r="B35" s="120">
        <v>0.08</v>
      </c>
      <c r="C35" s="137">
        <f t="shared" si="0"/>
        <v>0</v>
      </c>
      <c r="D35" s="137">
        <f t="shared" si="1"/>
        <v>0</v>
      </c>
      <c r="E35" s="137">
        <f t="shared" si="2"/>
        <v>0</v>
      </c>
      <c r="F35" s="138">
        <f t="shared" si="3"/>
        <v>0</v>
      </c>
    </row>
    <row r="36" spans="1:6" ht="15.75" customHeight="1" x14ac:dyDescent="0.2">
      <c r="A36" s="123" t="s">
        <v>438</v>
      </c>
      <c r="B36" s="132">
        <f>SUM(B28:B35)</f>
        <v>0.36800000000000005</v>
      </c>
      <c r="C36" s="133">
        <f>SUM(C27:C35)</f>
        <v>0</v>
      </c>
      <c r="D36" s="133">
        <f>SUM(D27:D35)</f>
        <v>0</v>
      </c>
      <c r="E36" s="318">
        <f>SUM(E28:E35)</f>
        <v>0</v>
      </c>
      <c r="F36" s="134">
        <f>SUM(F27:F35)</f>
        <v>0</v>
      </c>
    </row>
    <row r="37" spans="1:6" ht="15.75" customHeight="1" x14ac:dyDescent="0.2">
      <c r="A37" s="128" t="s">
        <v>453</v>
      </c>
      <c r="B37" s="129" t="s">
        <v>454</v>
      </c>
      <c r="C37" s="129" t="s">
        <v>431</v>
      </c>
      <c r="D37" s="129" t="s">
        <v>431</v>
      </c>
      <c r="E37" s="129" t="s">
        <v>431</v>
      </c>
      <c r="F37" s="130" t="s">
        <v>431</v>
      </c>
    </row>
    <row r="38" spans="1:6" ht="15.75" customHeight="1" x14ac:dyDescent="0.2">
      <c r="A38" s="131" t="s">
        <v>455</v>
      </c>
      <c r="B38" s="139">
        <f>MC!D85</f>
        <v>0</v>
      </c>
      <c r="C38" s="118">
        <f>ROUND(((2*22*$B$38)-0.06*C$13),2)</f>
        <v>0</v>
      </c>
      <c r="D38" s="118">
        <f>ROUND(((2*22*$B$38)-0.06*D$13),2)</f>
        <v>0</v>
      </c>
      <c r="E38" s="118">
        <f>ROUND(((2*22*$B$38)-0.06*E$13),2)</f>
        <v>0</v>
      </c>
      <c r="F38" s="118">
        <f>ROUND(((2*22*$B$38)-0.06*F$13),2)</f>
        <v>0</v>
      </c>
    </row>
    <row r="39" spans="1:6" ht="15.75" customHeight="1" x14ac:dyDescent="0.2">
      <c r="A39" s="131" t="s">
        <v>456</v>
      </c>
      <c r="B39" s="140"/>
      <c r="C39" s="137">
        <f>MC!E16</f>
        <v>0</v>
      </c>
      <c r="D39" s="137">
        <f>MC!E17</f>
        <v>0</v>
      </c>
      <c r="E39" s="137">
        <f>MC!E16</f>
        <v>0</v>
      </c>
      <c r="F39" s="137">
        <f>MC!E16</f>
        <v>0</v>
      </c>
    </row>
    <row r="40" spans="1:6" ht="15.75" customHeight="1" x14ac:dyDescent="0.2">
      <c r="A40" s="131" t="s">
        <v>457</v>
      </c>
      <c r="B40" s="120">
        <f>MC!C21</f>
        <v>0</v>
      </c>
      <c r="C40" s="137"/>
      <c r="D40" s="137"/>
      <c r="E40" s="137">
        <f>MC!E21</f>
        <v>0</v>
      </c>
      <c r="F40" s="137"/>
    </row>
    <row r="41" spans="1:6" ht="15.75" customHeight="1" x14ac:dyDescent="0.2">
      <c r="A41" s="131" t="s">
        <v>458</v>
      </c>
      <c r="B41" s="141">
        <f>MC!E23</f>
        <v>0</v>
      </c>
      <c r="C41" s="137">
        <f>B41</f>
        <v>0</v>
      </c>
      <c r="D41" s="137">
        <f>B41</f>
        <v>0</v>
      </c>
      <c r="E41" s="321">
        <f>B41</f>
        <v>0</v>
      </c>
      <c r="F41" s="138">
        <f>B41</f>
        <v>0</v>
      </c>
    </row>
    <row r="42" spans="1:6" ht="15.75" customHeight="1" x14ac:dyDescent="0.2">
      <c r="A42" s="131" t="s">
        <v>459</v>
      </c>
      <c r="B42" s="141">
        <f>MC!E24</f>
        <v>0</v>
      </c>
      <c r="C42" s="137">
        <f>B42</f>
        <v>0</v>
      </c>
      <c r="D42" s="137">
        <f>B42</f>
        <v>0</v>
      </c>
      <c r="E42" s="321">
        <f>B42</f>
        <v>0</v>
      </c>
      <c r="F42" s="138">
        <f>B42</f>
        <v>0</v>
      </c>
    </row>
    <row r="43" spans="1:6" ht="15.75" customHeight="1" x14ac:dyDescent="0.2">
      <c r="A43" s="131" t="s">
        <v>460</v>
      </c>
      <c r="B43" s="120"/>
      <c r="C43" s="137"/>
      <c r="D43" s="137"/>
      <c r="E43" s="321"/>
      <c r="F43" s="138"/>
    </row>
    <row r="44" spans="1:6" ht="15.75" customHeight="1" x14ac:dyDescent="0.2">
      <c r="A44" s="123" t="s">
        <v>438</v>
      </c>
      <c r="B44" s="124"/>
      <c r="C44" s="133">
        <f>SUM(C38:C43)</f>
        <v>0</v>
      </c>
      <c r="D44" s="133">
        <f>SUM(D38:D43)</f>
        <v>0</v>
      </c>
      <c r="E44" s="318">
        <f>SUM(E38:E43)</f>
        <v>0</v>
      </c>
      <c r="F44" s="134">
        <f>SUM(F38:F43)</f>
        <v>0</v>
      </c>
    </row>
    <row r="45" spans="1:6" x14ac:dyDescent="0.2">
      <c r="A45" s="113" t="s">
        <v>461</v>
      </c>
      <c r="B45" s="114" t="s">
        <v>430</v>
      </c>
      <c r="C45" s="114" t="s">
        <v>431</v>
      </c>
      <c r="D45" s="114" t="s">
        <v>431</v>
      </c>
      <c r="E45" s="114" t="s">
        <v>431</v>
      </c>
      <c r="F45" s="115" t="s">
        <v>431</v>
      </c>
    </row>
    <row r="46" spans="1:6" ht="15.75" customHeight="1" x14ac:dyDescent="0.2">
      <c r="A46" s="131" t="s">
        <v>440</v>
      </c>
      <c r="B46" s="142">
        <f>B25</f>
        <v>0.1111111111111111</v>
      </c>
      <c r="C46" s="143">
        <f>C25</f>
        <v>0</v>
      </c>
      <c r="D46" s="143">
        <f>D25</f>
        <v>0</v>
      </c>
      <c r="E46" s="143">
        <f>E25</f>
        <v>0</v>
      </c>
      <c r="F46" s="144">
        <f>F25</f>
        <v>0</v>
      </c>
    </row>
    <row r="47" spans="1:6" ht="15.75" customHeight="1" x14ac:dyDescent="0.2">
      <c r="A47" s="131" t="s">
        <v>462</v>
      </c>
      <c r="B47" s="142">
        <f>B36</f>
        <v>0.36800000000000005</v>
      </c>
      <c r="C47" s="143">
        <f>C36</f>
        <v>0</v>
      </c>
      <c r="D47" s="143">
        <f>D36</f>
        <v>0</v>
      </c>
      <c r="E47" s="143">
        <f>E36</f>
        <v>0</v>
      </c>
      <c r="F47" s="144">
        <f>F36</f>
        <v>0</v>
      </c>
    </row>
    <row r="48" spans="1:6" ht="15.75" customHeight="1" x14ac:dyDescent="0.2">
      <c r="A48" s="131" t="s">
        <v>453</v>
      </c>
      <c r="B48" s="142"/>
      <c r="C48" s="143">
        <f>C44</f>
        <v>0</v>
      </c>
      <c r="D48" s="143">
        <f>D44</f>
        <v>0</v>
      </c>
      <c r="E48" s="143">
        <f>E44</f>
        <v>0</v>
      </c>
      <c r="F48" s="144">
        <f>F44</f>
        <v>0</v>
      </c>
    </row>
    <row r="49" spans="1:6" ht="15.75" customHeight="1" x14ac:dyDescent="0.2">
      <c r="A49" s="123" t="s">
        <v>438</v>
      </c>
      <c r="B49" s="124"/>
      <c r="C49" s="133">
        <f>SUM(C46:C48)</f>
        <v>0</v>
      </c>
      <c r="D49" s="133">
        <f>SUM(D46:D48)</f>
        <v>0</v>
      </c>
      <c r="E49" s="318">
        <f>SUM(E46:E48)</f>
        <v>0</v>
      </c>
      <c r="F49" s="134">
        <f>SUM(F46:F48)</f>
        <v>0</v>
      </c>
    </row>
    <row r="50" spans="1:6" ht="14.25" customHeight="1" x14ac:dyDescent="0.2">
      <c r="A50" s="917"/>
      <c r="B50" s="917"/>
      <c r="C50" s="126"/>
      <c r="D50" s="127"/>
      <c r="E50" s="127"/>
      <c r="F50" s="127"/>
    </row>
    <row r="51" spans="1:6" s="145" customFormat="1" ht="12.75" customHeight="1" x14ac:dyDescent="0.2">
      <c r="A51" s="922" t="s">
        <v>463</v>
      </c>
      <c r="B51" s="922"/>
      <c r="C51" s="922"/>
      <c r="D51" s="922"/>
      <c r="E51" s="922"/>
      <c r="F51" s="922"/>
    </row>
    <row r="52" spans="1:6" ht="15.75" customHeight="1" x14ac:dyDescent="0.2">
      <c r="A52" s="113" t="s">
        <v>464</v>
      </c>
      <c r="B52" s="114" t="s">
        <v>430</v>
      </c>
      <c r="C52" s="114" t="s">
        <v>431</v>
      </c>
      <c r="D52" s="114" t="s">
        <v>431</v>
      </c>
      <c r="E52" s="114" t="s">
        <v>431</v>
      </c>
      <c r="F52" s="115" t="s">
        <v>431</v>
      </c>
    </row>
    <row r="53" spans="1:6" ht="15.75" customHeight="1" x14ac:dyDescent="0.2">
      <c r="A53" s="128" t="s">
        <v>465</v>
      </c>
      <c r="B53" s="146"/>
      <c r="C53" s="146"/>
      <c r="D53" s="146"/>
      <c r="E53" s="322"/>
      <c r="F53" s="147"/>
    </row>
    <row r="54" spans="1:6" ht="15.75" customHeight="1" x14ac:dyDescent="0.2">
      <c r="A54" s="131" t="s">
        <v>466</v>
      </c>
      <c r="B54" s="142">
        <f>1/12*0.05</f>
        <v>4.1666666666666666E-3</v>
      </c>
      <c r="C54" s="148">
        <f>C19*$B54</f>
        <v>0</v>
      </c>
      <c r="D54" s="148">
        <f t="shared" ref="D54:F54" si="4">D19*$B54</f>
        <v>0</v>
      </c>
      <c r="E54" s="148">
        <f t="shared" si="4"/>
        <v>0</v>
      </c>
      <c r="F54" s="148">
        <f t="shared" si="4"/>
        <v>0</v>
      </c>
    </row>
    <row r="55" spans="1:6" x14ac:dyDescent="0.2">
      <c r="A55" s="131" t="s">
        <v>467</v>
      </c>
      <c r="B55" s="142">
        <f>B35*B54</f>
        <v>3.3333333333333332E-4</v>
      </c>
      <c r="C55" s="148">
        <f>$B$55*C19</f>
        <v>0</v>
      </c>
      <c r="D55" s="148">
        <f t="shared" ref="D55:F55" si="5">$B$55*D19</f>
        <v>0</v>
      </c>
      <c r="E55" s="148">
        <f t="shared" si="5"/>
        <v>0</v>
      </c>
      <c r="F55" s="148">
        <f t="shared" si="5"/>
        <v>0</v>
      </c>
    </row>
    <row r="56" spans="1:6" x14ac:dyDescent="0.2">
      <c r="A56" s="131" t="s">
        <v>468</v>
      </c>
      <c r="B56" s="142">
        <v>0</v>
      </c>
      <c r="C56" s="148">
        <f>C35*$B56</f>
        <v>0</v>
      </c>
      <c r="D56" s="148">
        <f t="shared" ref="D56:F56" si="6">D35*$B56</f>
        <v>0</v>
      </c>
      <c r="E56" s="148">
        <f t="shared" si="6"/>
        <v>0</v>
      </c>
      <c r="F56" s="148">
        <f t="shared" si="6"/>
        <v>0</v>
      </c>
    </row>
    <row r="57" spans="1:6" x14ac:dyDescent="0.2">
      <c r="A57" s="131" t="s">
        <v>469</v>
      </c>
      <c r="B57" s="142">
        <f>1/12*1/30*7</f>
        <v>1.9444444444444441E-2</v>
      </c>
      <c r="C57" s="143">
        <f>C19*$B57</f>
        <v>0</v>
      </c>
      <c r="D57" s="143">
        <f t="shared" ref="D57:F57" si="7">D19*$B57</f>
        <v>0</v>
      </c>
      <c r="E57" s="143">
        <f t="shared" si="7"/>
        <v>0</v>
      </c>
      <c r="F57" s="143">
        <f t="shared" si="7"/>
        <v>0</v>
      </c>
    </row>
    <row r="58" spans="1:6" x14ac:dyDescent="0.2">
      <c r="A58" s="131" t="s">
        <v>470</v>
      </c>
      <c r="B58" s="142">
        <f>B36*B57</f>
        <v>7.1555555555555556E-3</v>
      </c>
      <c r="C58" s="143">
        <f>$B58*C19</f>
        <v>0</v>
      </c>
      <c r="D58" s="143">
        <f t="shared" ref="D58:F58" si="8">$B58*D19</f>
        <v>0</v>
      </c>
      <c r="E58" s="143">
        <f t="shared" si="8"/>
        <v>0</v>
      </c>
      <c r="F58" s="143">
        <f t="shared" si="8"/>
        <v>0</v>
      </c>
    </row>
    <row r="59" spans="1:6" x14ac:dyDescent="0.2">
      <c r="A59" s="131" t="s">
        <v>471</v>
      </c>
      <c r="B59" s="142">
        <f>B35*40/100*90/100*(1+1/12+1/12+1/3*1/12)</f>
        <v>3.4399999999999993E-2</v>
      </c>
      <c r="C59" s="143">
        <f>C19*$B59</f>
        <v>0</v>
      </c>
      <c r="D59" s="143">
        <f t="shared" ref="D59:F59" si="9">D19*$B59</f>
        <v>0</v>
      </c>
      <c r="E59" s="143">
        <f t="shared" si="9"/>
        <v>0</v>
      </c>
      <c r="F59" s="143">
        <f t="shared" si="9"/>
        <v>0</v>
      </c>
    </row>
    <row r="60" spans="1:6" ht="14.25" customHeight="1" x14ac:dyDescent="0.2">
      <c r="A60" s="123" t="s">
        <v>438</v>
      </c>
      <c r="B60" s="132">
        <f>SUM(B54:B59)</f>
        <v>6.5499999999999989E-2</v>
      </c>
      <c r="C60" s="149">
        <f>SUM(C54:C59)</f>
        <v>0</v>
      </c>
      <c r="D60" s="149">
        <f>SUM(D54:D59)</f>
        <v>0</v>
      </c>
      <c r="E60" s="323">
        <f>SUM(E54:E59)</f>
        <v>0</v>
      </c>
      <c r="F60" s="150">
        <f>SUM(F54:F59)</f>
        <v>0</v>
      </c>
    </row>
    <row r="61" spans="1:6" ht="14.25" customHeight="1" x14ac:dyDescent="0.2">
      <c r="A61" s="917"/>
      <c r="B61" s="917"/>
      <c r="C61" s="499"/>
      <c r="D61" s="499"/>
      <c r="E61" s="500"/>
      <c r="F61" s="501"/>
    </row>
    <row r="62" spans="1:6" ht="15.75" customHeight="1" x14ac:dyDescent="0.2">
      <c r="A62" s="922" t="s">
        <v>472</v>
      </c>
      <c r="B62" s="922"/>
      <c r="C62" s="922"/>
      <c r="D62" s="922"/>
      <c r="E62" s="922"/>
      <c r="F62" s="922"/>
    </row>
    <row r="63" spans="1:6" ht="14.25" customHeight="1" x14ac:dyDescent="0.2">
      <c r="A63" s="128" t="s">
        <v>39</v>
      </c>
      <c r="B63" s="129"/>
      <c r="C63" s="129"/>
      <c r="D63" s="129"/>
      <c r="E63" s="324"/>
      <c r="F63" s="130"/>
    </row>
    <row r="64" spans="1:6" ht="14.25" customHeight="1" x14ac:dyDescent="0.2">
      <c r="A64" s="131" t="s">
        <v>40</v>
      </c>
      <c r="B64" s="120">
        <f>1/12</f>
        <v>8.3333333333333329E-2</v>
      </c>
      <c r="C64" s="137">
        <f>B64*($C$19+$C$49+$C$60)</f>
        <v>0</v>
      </c>
      <c r="D64" s="137">
        <f>B64*($D$19+$D$49+$D$60)</f>
        <v>0</v>
      </c>
      <c r="E64" s="321">
        <f>B64*($E$19+$E$49+$E$60)</f>
        <v>0</v>
      </c>
      <c r="F64" s="138">
        <f>B64*($F$19+$F$49+$F$60)</f>
        <v>0</v>
      </c>
    </row>
    <row r="65" spans="1:6" x14ac:dyDescent="0.2">
      <c r="A65" s="131" t="s">
        <v>473</v>
      </c>
      <c r="B65" s="120">
        <f>MC!E51/30/12</f>
        <v>1.3538888888888885E-2</v>
      </c>
      <c r="C65" s="137">
        <f>B65*($C$19+$C$49+$C$60)</f>
        <v>0</v>
      </c>
      <c r="D65" s="137">
        <f>B65*($D$19+$D$49+$D$60)</f>
        <v>0</v>
      </c>
      <c r="E65" s="321">
        <f>B65*($E$19+$E$49+$E$60)</f>
        <v>0</v>
      </c>
      <c r="F65" s="138">
        <f>B65*($F$19+$F$49+$F$60)</f>
        <v>0</v>
      </c>
    </row>
    <row r="66" spans="1:6" x14ac:dyDescent="0.2">
      <c r="A66" s="131" t="s">
        <v>474</v>
      </c>
      <c r="B66" s="151">
        <f>(5/30)/12*MC!F53*MC!C54</f>
        <v>1.0764583333333333E-4</v>
      </c>
      <c r="C66" s="137">
        <f>B66*($C$19+$C$49+$C$60)</f>
        <v>0</v>
      </c>
      <c r="D66" s="137">
        <f>B66*($D$19+$D$49+$D$60)</f>
        <v>0</v>
      </c>
      <c r="E66" s="321">
        <f>B66*($E$19+$E$49+$E$60)</f>
        <v>0</v>
      </c>
      <c r="F66" s="138">
        <f>B66*($F$19+$F$49+$F$60)</f>
        <v>0</v>
      </c>
    </row>
    <row r="67" spans="1:6" ht="14.25" customHeight="1" x14ac:dyDescent="0.2">
      <c r="A67" s="131" t="s">
        <v>475</v>
      </c>
      <c r="B67" s="151">
        <f>MC!C56/30/12</f>
        <v>2.6830555555555553E-3</v>
      </c>
      <c r="C67" s="137">
        <f>B67*($C$19+$C$49+$C$60)</f>
        <v>0</v>
      </c>
      <c r="D67" s="137">
        <f>B67*($D$19+$D$49+$D$60)</f>
        <v>0</v>
      </c>
      <c r="E67" s="321">
        <f>B67*($E$19+$E$49+$E$60)</f>
        <v>0</v>
      </c>
      <c r="F67" s="138">
        <f>B67*($F$19+$F$49+$F$60)</f>
        <v>0</v>
      </c>
    </row>
    <row r="68" spans="1:6" ht="14.25" customHeight="1" x14ac:dyDescent="0.2">
      <c r="A68" s="131" t="s">
        <v>476</v>
      </c>
      <c r="B68" s="120"/>
      <c r="C68" s="137"/>
      <c r="D68" s="137"/>
      <c r="E68" s="321">
        <f>B68*($E$19+$E$49+$E$60)</f>
        <v>0</v>
      </c>
      <c r="F68" s="138"/>
    </row>
    <row r="69" spans="1:6" ht="14.25" customHeight="1" x14ac:dyDescent="0.2">
      <c r="A69" s="152" t="s">
        <v>477</v>
      </c>
      <c r="B69" s="153">
        <f>SUM(B64:B68)</f>
        <v>9.9662923611111107E-2</v>
      </c>
      <c r="C69" s="154">
        <f>SUM(C64:C68)</f>
        <v>0</v>
      </c>
      <c r="D69" s="154">
        <f>SUM(D64:D68)</f>
        <v>0</v>
      </c>
      <c r="E69" s="325">
        <f>SUM(E64:E68)</f>
        <v>0</v>
      </c>
      <c r="F69" s="155">
        <f>SUM(F64:F68)</f>
        <v>0</v>
      </c>
    </row>
    <row r="70" spans="1:6" ht="14.25" customHeight="1" x14ac:dyDescent="0.2">
      <c r="A70" s="128" t="s">
        <v>478</v>
      </c>
      <c r="B70" s="129"/>
      <c r="C70" s="129"/>
      <c r="D70" s="129"/>
      <c r="E70" s="324"/>
      <c r="F70" s="130"/>
    </row>
    <row r="71" spans="1:6" ht="14.25" customHeight="1" x14ac:dyDescent="0.2">
      <c r="A71" s="131" t="s">
        <v>479</v>
      </c>
      <c r="B71" s="120"/>
      <c r="C71" s="137"/>
      <c r="D71" s="137"/>
      <c r="E71" s="321"/>
      <c r="F71" s="138"/>
    </row>
    <row r="72" spans="1:6" ht="14.25" customHeight="1" x14ac:dyDescent="0.2">
      <c r="A72" s="152" t="s">
        <v>477</v>
      </c>
      <c r="B72" s="153"/>
      <c r="C72" s="154">
        <f>C71</f>
        <v>0</v>
      </c>
      <c r="D72" s="154"/>
      <c r="E72" s="325"/>
      <c r="F72" s="155"/>
    </row>
    <row r="73" spans="1:6" ht="14.25" customHeight="1" x14ac:dyDescent="0.2">
      <c r="A73" s="128" t="s">
        <v>61</v>
      </c>
      <c r="B73" s="129"/>
      <c r="C73" s="129"/>
      <c r="D73" s="129"/>
      <c r="E73" s="324"/>
      <c r="F73" s="130"/>
    </row>
    <row r="74" spans="1:6" ht="14.25" customHeight="1" x14ac:dyDescent="0.2">
      <c r="A74" s="131" t="s">
        <v>62</v>
      </c>
      <c r="B74" s="120">
        <f>120/30*MC!C59*MC!C60</f>
        <v>6.18624E-3</v>
      </c>
      <c r="C74" s="137">
        <f>(((C19*2)+ (C19*1/3))+(C36)+(C44-C38-C39))*$B$74</f>
        <v>0</v>
      </c>
      <c r="D74" s="137">
        <f>(((D19*2)+ (D19*1/3))+(D36)+(D44-D38-D39))*$B$74</f>
        <v>0</v>
      </c>
      <c r="E74" s="137">
        <f>(((E19*2)+ (E19*1/3))+(E36)+(E44-E38-E39))*$B$74</f>
        <v>0</v>
      </c>
      <c r="F74" s="138">
        <f>(((F19*2)+ (F19*1/3))+(F36)+(F44-F38-F39))*$B$74</f>
        <v>0</v>
      </c>
    </row>
    <row r="75" spans="1:6" ht="15.75" customHeight="1" x14ac:dyDescent="0.2">
      <c r="A75" s="152" t="s">
        <v>438</v>
      </c>
      <c r="B75" s="153"/>
      <c r="C75" s="154"/>
      <c r="D75" s="154"/>
      <c r="E75" s="325"/>
      <c r="F75" s="155"/>
    </row>
    <row r="76" spans="1:6" x14ac:dyDescent="0.2">
      <c r="A76" s="113" t="s">
        <v>480</v>
      </c>
      <c r="B76" s="114"/>
      <c r="C76" s="114"/>
      <c r="D76" s="114"/>
      <c r="E76" s="316"/>
      <c r="F76" s="115"/>
    </row>
    <row r="77" spans="1:6" x14ac:dyDescent="0.2">
      <c r="A77" s="131" t="s">
        <v>39</v>
      </c>
      <c r="B77" s="142">
        <f>B69</f>
        <v>9.9662923611111107E-2</v>
      </c>
      <c r="C77" s="143">
        <f>C69</f>
        <v>0</v>
      </c>
      <c r="D77" s="143">
        <f>D69</f>
        <v>0</v>
      </c>
      <c r="E77" s="143">
        <f>E69</f>
        <v>0</v>
      </c>
      <c r="F77" s="144">
        <f>F69</f>
        <v>0</v>
      </c>
    </row>
    <row r="78" spans="1:6" ht="15.75" customHeight="1" x14ac:dyDescent="0.2">
      <c r="A78" s="131" t="s">
        <v>478</v>
      </c>
      <c r="B78" s="142">
        <f>B72</f>
        <v>0</v>
      </c>
      <c r="C78" s="143">
        <f>C72</f>
        <v>0</v>
      </c>
      <c r="D78" s="143">
        <f>D72</f>
        <v>0</v>
      </c>
      <c r="E78" s="143">
        <f>E72</f>
        <v>0</v>
      </c>
      <c r="F78" s="144">
        <f>F72</f>
        <v>0</v>
      </c>
    </row>
    <row r="79" spans="1:6" ht="15.75" customHeight="1" x14ac:dyDescent="0.2">
      <c r="A79" s="131" t="s">
        <v>61</v>
      </c>
      <c r="B79" s="142">
        <f>B74</f>
        <v>6.18624E-3</v>
      </c>
      <c r="C79" s="143">
        <f>C74</f>
        <v>0</v>
      </c>
      <c r="D79" s="143">
        <f>D74</f>
        <v>0</v>
      </c>
      <c r="E79" s="143">
        <f>E74</f>
        <v>0</v>
      </c>
      <c r="F79" s="144">
        <f>F74</f>
        <v>0</v>
      </c>
    </row>
    <row r="80" spans="1:6" ht="15.75" customHeight="1" x14ac:dyDescent="0.2">
      <c r="A80" s="123" t="s">
        <v>438</v>
      </c>
      <c r="B80" s="124"/>
      <c r="C80" s="133">
        <f>SUM(C77:C79)</f>
        <v>0</v>
      </c>
      <c r="D80" s="133">
        <f>SUM(D77:D79)</f>
        <v>0</v>
      </c>
      <c r="E80" s="318">
        <f>SUM(E77:E79)</f>
        <v>0</v>
      </c>
      <c r="F80" s="134">
        <f>SUM(F77:F79)</f>
        <v>0</v>
      </c>
    </row>
    <row r="81" spans="1:6" ht="15.75" customHeight="1" x14ac:dyDescent="0.2">
      <c r="A81" s="125"/>
      <c r="B81" s="126"/>
      <c r="C81" s="126"/>
      <c r="D81" s="126"/>
      <c r="E81" s="319"/>
      <c r="F81" s="127"/>
    </row>
    <row r="82" spans="1:6" ht="15.75" customHeight="1" x14ac:dyDescent="0.2">
      <c r="A82" s="326" t="s">
        <v>481</v>
      </c>
      <c r="B82" s="327"/>
      <c r="C82" s="327"/>
      <c r="D82" s="327"/>
      <c r="E82" s="327"/>
      <c r="F82" s="328"/>
    </row>
    <row r="83" spans="1:6" ht="15.75" customHeight="1" x14ac:dyDescent="0.2">
      <c r="A83" s="113" t="s">
        <v>482</v>
      </c>
      <c r="B83" s="114" t="s">
        <v>454</v>
      </c>
      <c r="C83" s="114" t="s">
        <v>431</v>
      </c>
      <c r="D83" s="114" t="s">
        <v>431</v>
      </c>
      <c r="E83" s="114" t="s">
        <v>431</v>
      </c>
      <c r="F83" s="115" t="s">
        <v>431</v>
      </c>
    </row>
    <row r="84" spans="1:6" ht="15.75" customHeight="1" x14ac:dyDescent="0.2">
      <c r="A84" s="131" t="s">
        <v>483</v>
      </c>
      <c r="B84" s="157">
        <f>Insumos!G117</f>
        <v>0</v>
      </c>
      <c r="C84" s="118">
        <f>B84</f>
        <v>0</v>
      </c>
      <c r="D84" s="118">
        <f>B84</f>
        <v>0</v>
      </c>
      <c r="E84" s="317">
        <f>B84</f>
        <v>0</v>
      </c>
      <c r="F84" s="119">
        <f>Insumos!G118</f>
        <v>0</v>
      </c>
    </row>
    <row r="85" spans="1:6" x14ac:dyDescent="0.2">
      <c r="A85" s="156" t="s">
        <v>484</v>
      </c>
      <c r="B85" s="157">
        <f>Insumos!G59</f>
        <v>0</v>
      </c>
      <c r="C85" s="118">
        <f>B85</f>
        <v>0</v>
      </c>
      <c r="D85" s="118">
        <f>B85</f>
        <v>0</v>
      </c>
      <c r="E85" s="317"/>
      <c r="F85" s="119"/>
    </row>
    <row r="86" spans="1:6" x14ac:dyDescent="0.2">
      <c r="A86" s="156" t="s">
        <v>485</v>
      </c>
      <c r="B86" s="158">
        <f>Insumos!H99</f>
        <v>0</v>
      </c>
      <c r="C86" s="118">
        <f>B86</f>
        <v>0</v>
      </c>
      <c r="D86" s="118">
        <f>B86</f>
        <v>0</v>
      </c>
      <c r="E86" s="317"/>
      <c r="F86" s="119"/>
    </row>
    <row r="87" spans="1:6" ht="15.75" customHeight="1" x14ac:dyDescent="0.2">
      <c r="A87" s="156" t="s">
        <v>486</v>
      </c>
      <c r="B87" s="157"/>
      <c r="C87" s="118">
        <f>Insumos!I129</f>
        <v>0</v>
      </c>
      <c r="D87" s="118">
        <f>Insumos!H129</f>
        <v>0</v>
      </c>
      <c r="E87" s="317"/>
      <c r="F87" s="119"/>
    </row>
    <row r="88" spans="1:6" ht="15.75" customHeight="1" x14ac:dyDescent="0.2">
      <c r="A88" s="156" t="s">
        <v>487</v>
      </c>
      <c r="B88" s="120">
        <v>0.12</v>
      </c>
      <c r="C88" s="118"/>
      <c r="D88" s="118"/>
      <c r="E88" s="317">
        <f>B88*(E123+E124+E84)</f>
        <v>0</v>
      </c>
      <c r="F88" s="119"/>
    </row>
    <row r="89" spans="1:6" ht="15.75" customHeight="1" x14ac:dyDescent="0.2">
      <c r="A89" s="156" t="s">
        <v>488</v>
      </c>
      <c r="B89" s="157">
        <f>Insumos!H146</f>
        <v>0</v>
      </c>
      <c r="C89" s="118"/>
      <c r="D89" s="118"/>
      <c r="E89" s="317"/>
      <c r="F89" s="119">
        <f>B89</f>
        <v>0</v>
      </c>
    </row>
    <row r="90" spans="1:6" ht="15.75" customHeight="1" x14ac:dyDescent="0.2">
      <c r="A90" s="156" t="s">
        <v>489</v>
      </c>
      <c r="B90" s="157"/>
      <c r="C90" s="118"/>
      <c r="D90" s="118"/>
      <c r="E90" s="317"/>
      <c r="F90" s="119">
        <f>B90</f>
        <v>0</v>
      </c>
    </row>
    <row r="91" spans="1:6" ht="15.75" customHeight="1" x14ac:dyDescent="0.2">
      <c r="A91" s="152" t="s">
        <v>438</v>
      </c>
      <c r="B91" s="159"/>
      <c r="C91" s="154">
        <f>SUM(C84:C90)</f>
        <v>0</v>
      </c>
      <c r="D91" s="154">
        <f t="shared" ref="D91:F91" si="10">SUM(D84:D90)</f>
        <v>0</v>
      </c>
      <c r="E91" s="154">
        <f t="shared" si="10"/>
        <v>0</v>
      </c>
      <c r="F91" s="154">
        <f t="shared" si="10"/>
        <v>0</v>
      </c>
    </row>
    <row r="92" spans="1:6" ht="15.75" customHeight="1" x14ac:dyDescent="0.2">
      <c r="A92" s="917"/>
      <c r="B92" s="917"/>
      <c r="C92" s="160"/>
      <c r="D92" s="160"/>
      <c r="E92" s="329"/>
      <c r="F92" s="161"/>
    </row>
    <row r="93" spans="1:6" ht="15.75" customHeight="1" x14ac:dyDescent="0.2">
      <c r="A93" s="326" t="s">
        <v>490</v>
      </c>
      <c r="B93" s="327"/>
      <c r="C93" s="327"/>
      <c r="D93" s="327"/>
      <c r="E93" s="327"/>
      <c r="F93" s="328"/>
    </row>
    <row r="94" spans="1:6" ht="15.75" customHeight="1" x14ac:dyDescent="0.2">
      <c r="A94" s="113" t="s">
        <v>491</v>
      </c>
      <c r="B94" s="114" t="s">
        <v>430</v>
      </c>
      <c r="C94" s="114" t="s">
        <v>431</v>
      </c>
      <c r="D94" s="114" t="s">
        <v>431</v>
      </c>
      <c r="E94" s="114" t="s">
        <v>431</v>
      </c>
      <c r="F94" s="115"/>
    </row>
    <row r="95" spans="1:6" ht="15.75" customHeight="1" x14ac:dyDescent="0.2">
      <c r="A95" s="116" t="s">
        <v>67</v>
      </c>
      <c r="B95" s="120">
        <f>MC!C63</f>
        <v>0</v>
      </c>
      <c r="C95" s="137">
        <f>($C$19+$C$49+$C$60+$C$80+$C$91)*$B$95</f>
        <v>0</v>
      </c>
      <c r="D95" s="137">
        <f>($D$19+$D$49+$D$60+$D$80+$D$91)*$B$95</f>
        <v>0</v>
      </c>
      <c r="E95" s="321">
        <f>($E$19+$E$49+$E$60+$E$80+$E$91)*$B$95</f>
        <v>0</v>
      </c>
      <c r="F95" s="138">
        <f>($F$19+$F$49+$F$60+$F$80+$F$91)*$B$95</f>
        <v>0</v>
      </c>
    </row>
    <row r="96" spans="1:6" x14ac:dyDescent="0.2">
      <c r="A96" s="116" t="s">
        <v>68</v>
      </c>
      <c r="B96" s="120">
        <f>MC!C64</f>
        <v>0</v>
      </c>
      <c r="C96" s="137">
        <f>($C$19+$C$49+$C$60+$C$80+$C$91+C95)*B96</f>
        <v>0</v>
      </c>
      <c r="D96" s="137">
        <f>($D$19+$D$49+$D$60+$D$80+$D$91+$D$95)*$B$96</f>
        <v>0</v>
      </c>
      <c r="E96" s="137">
        <f>($E$19+$E$49+$E$60+$E$80+$E$91+$E$95)*$B$96</f>
        <v>0</v>
      </c>
      <c r="F96" s="138">
        <f>($F$19+$F$49+$F$60+$F$80+$F$91+F95)*$B$96</f>
        <v>0</v>
      </c>
    </row>
    <row r="97" spans="1:7" x14ac:dyDescent="0.2">
      <c r="A97" s="330" t="s">
        <v>492</v>
      </c>
      <c r="B97" s="331">
        <f>B98+B99</f>
        <v>0.1125</v>
      </c>
      <c r="C97" s="332">
        <f>((C19+C49+C60+C80+C91+C95+C96)/(1-($B$97)))*$B$97</f>
        <v>0</v>
      </c>
      <c r="D97" s="332">
        <f>((D19+D49+D60+D80+D91+D95+D96)/(1-($B$97)))*$B$97</f>
        <v>0</v>
      </c>
      <c r="E97" s="332">
        <f>((E19+E49+E60+E80+E91+E95+E96)/(1-($B$97)))*$B$97</f>
        <v>0</v>
      </c>
      <c r="F97" s="332">
        <f>((F19+F49+F60+F80+F91+F95+F96)/(1-($B$97)))*$B$97</f>
        <v>0</v>
      </c>
    </row>
    <row r="98" spans="1:7" x14ac:dyDescent="0.2">
      <c r="A98" s="116" t="s">
        <v>493</v>
      </c>
      <c r="B98" s="120">
        <f>0.0165+0.076</f>
        <v>9.2499999999999999E-2</v>
      </c>
      <c r="C98" s="333">
        <f>((C$19+C$49+C$60+C$80+C$91+C$95+C$96)/(1-($B$97)))*$B$98</f>
        <v>0</v>
      </c>
      <c r="D98" s="333">
        <f t="shared" ref="D98:F98" si="11">((D$19+D$49+D$60+D$80+D$91+D$95+D$96)/(1-($B$97)))*$B$98</f>
        <v>0</v>
      </c>
      <c r="E98" s="333">
        <f t="shared" si="11"/>
        <v>0</v>
      </c>
      <c r="F98" s="333">
        <f t="shared" si="11"/>
        <v>0</v>
      </c>
    </row>
    <row r="99" spans="1:7" x14ac:dyDescent="0.2">
      <c r="A99" s="116" t="s">
        <v>494</v>
      </c>
      <c r="B99" s="120">
        <v>0.02</v>
      </c>
      <c r="C99" s="334">
        <f>((C$19+C$49+C$60+C$80+C$91+C$95+C$96)/(1-($B$97)))*$B$99</f>
        <v>0</v>
      </c>
      <c r="D99" s="334">
        <f t="shared" ref="D99:F99" si="12">((D$19+D$49+D$60+D$80+D$91+D$95+D$96)/(1-($B$97)))*$B$99</f>
        <v>0</v>
      </c>
      <c r="E99" s="334">
        <f t="shared" si="12"/>
        <v>0</v>
      </c>
      <c r="F99" s="334">
        <f t="shared" si="12"/>
        <v>0</v>
      </c>
    </row>
    <row r="100" spans="1:7" x14ac:dyDescent="0.2">
      <c r="A100" s="330" t="s">
        <v>495</v>
      </c>
      <c r="B100" s="331">
        <f>B101+B102</f>
        <v>0.11749999999999999</v>
      </c>
      <c r="C100" s="332">
        <f>((C19+C49+C60+C80+C91+C95+C96)/(1-($B$100)))*$B$100</f>
        <v>0</v>
      </c>
      <c r="D100" s="332">
        <f t="shared" ref="D100:F100" si="13">((D19+D49+D60+D80+D91+D95+D96)/(1-($B$100)))*$B$100</f>
        <v>0</v>
      </c>
      <c r="E100" s="332">
        <f t="shared" si="13"/>
        <v>0</v>
      </c>
      <c r="F100" s="332">
        <f t="shared" si="13"/>
        <v>0</v>
      </c>
    </row>
    <row r="101" spans="1:7" x14ac:dyDescent="0.2">
      <c r="A101" s="116" t="s">
        <v>493</v>
      </c>
      <c r="B101" s="120">
        <f>0.0165+0.076</f>
        <v>9.2499999999999999E-2</v>
      </c>
      <c r="C101" s="333">
        <f>((C19+C49+C60+C80+C91+C95+C96)/(1-($B$100)))*$B$101</f>
        <v>0</v>
      </c>
      <c r="D101" s="333">
        <f t="shared" ref="D101:F101" si="14">((D19+D49+D60+D80+D91+D95+D96)/(1-($B$100)))*$B$101</f>
        <v>0</v>
      </c>
      <c r="E101" s="333">
        <f t="shared" si="14"/>
        <v>0</v>
      </c>
      <c r="F101" s="333">
        <f t="shared" si="14"/>
        <v>0</v>
      </c>
    </row>
    <row r="102" spans="1:7" x14ac:dyDescent="0.2">
      <c r="A102" s="116" t="s">
        <v>494</v>
      </c>
      <c r="B102" s="120">
        <v>2.5000000000000001E-2</v>
      </c>
      <c r="C102" s="334">
        <f>((C$19+C$49+C$60+C$80+C$91+C$95+C$96)/(1-($B$100)))*$B$102</f>
        <v>0</v>
      </c>
      <c r="D102" s="334">
        <f t="shared" ref="D102:F102" si="15">((D$19+D$49+D$60+D$80+D$91+D$95+D$96)/(1-($B$100)))*$B$102</f>
        <v>0</v>
      </c>
      <c r="E102" s="334">
        <f t="shared" si="15"/>
        <v>0</v>
      </c>
      <c r="F102" s="334">
        <f t="shared" si="15"/>
        <v>0</v>
      </c>
    </row>
    <row r="103" spans="1:7" x14ac:dyDescent="0.2">
      <c r="A103" s="330" t="s">
        <v>496</v>
      </c>
      <c r="B103" s="331">
        <f>B104+B105</f>
        <v>0.1225</v>
      </c>
      <c r="C103" s="332">
        <f>((C19+C49+C60+C80+C91+C95+C96)/(1-($B$103)))*$B$103</f>
        <v>0</v>
      </c>
      <c r="D103" s="332">
        <f t="shared" ref="D103:F103" si="16">((D19+D49+D60+D80+D91+D95+D96)/(1-($B$103)))*$B$103</f>
        <v>0</v>
      </c>
      <c r="E103" s="332">
        <f t="shared" si="16"/>
        <v>0</v>
      </c>
      <c r="F103" s="332">
        <f t="shared" si="16"/>
        <v>0</v>
      </c>
    </row>
    <row r="104" spans="1:7" x14ac:dyDescent="0.2">
      <c r="A104" s="116" t="s">
        <v>493</v>
      </c>
      <c r="B104" s="120">
        <f>0.0165+0.076</f>
        <v>9.2499999999999999E-2</v>
      </c>
      <c r="C104" s="333">
        <f>((C19+C49+C60+C80+C91+C95+C96)/(1-($B$103)))*$B$104</f>
        <v>0</v>
      </c>
      <c r="D104" s="333">
        <f t="shared" ref="D104:F104" si="17">((D19+D49+D60+D80+D91+D95+D96)/(1-($B$103)))*$B$104</f>
        <v>0</v>
      </c>
      <c r="E104" s="333">
        <f t="shared" si="17"/>
        <v>0</v>
      </c>
      <c r="F104" s="333">
        <f t="shared" si="17"/>
        <v>0</v>
      </c>
    </row>
    <row r="105" spans="1:7" x14ac:dyDescent="0.2">
      <c r="A105" s="116" t="s">
        <v>494</v>
      </c>
      <c r="B105" s="120">
        <v>0.03</v>
      </c>
      <c r="C105" s="334">
        <f>((C19+C49+C60+C80+C91+C95+C96)/(1-($B$103)))*$B$105</f>
        <v>0</v>
      </c>
      <c r="D105" s="334">
        <f t="shared" ref="D105:F105" si="18">((D19+D49+D60+D80+D91+D95+D96)/(1-($B$103)))*$B$105</f>
        <v>0</v>
      </c>
      <c r="E105" s="334">
        <f t="shared" si="18"/>
        <v>0</v>
      </c>
      <c r="F105" s="334">
        <f t="shared" si="18"/>
        <v>0</v>
      </c>
      <c r="G105" s="335"/>
    </row>
    <row r="106" spans="1:7" x14ac:dyDescent="0.2">
      <c r="A106" s="330" t="s">
        <v>497</v>
      </c>
      <c r="B106" s="331">
        <f>B107+B108</f>
        <v>0.13250000000000001</v>
      </c>
      <c r="C106" s="332">
        <f>((C19+C49+C60+C80+C91+C95+C96)/(1-($B$106)))*$B$106</f>
        <v>0</v>
      </c>
      <c r="D106" s="332">
        <f t="shared" ref="D106:F106" si="19">((D19+D49+D60+D80+D91+D95+D96)/(1-($B$106)))*$B$106</f>
        <v>0</v>
      </c>
      <c r="E106" s="332">
        <f t="shared" si="19"/>
        <v>0</v>
      </c>
      <c r="F106" s="332">
        <f t="shared" si="19"/>
        <v>0</v>
      </c>
    </row>
    <row r="107" spans="1:7" x14ac:dyDescent="0.2">
      <c r="A107" s="116" t="s">
        <v>493</v>
      </c>
      <c r="B107" s="120">
        <f>0.0165+0.076</f>
        <v>9.2499999999999999E-2</v>
      </c>
      <c r="C107" s="333">
        <f>((C19+C49+C60+C80+C91+C95+C96)/(1-($B$106)))*$B$107</f>
        <v>0</v>
      </c>
      <c r="D107" s="333">
        <f t="shared" ref="D107:F107" si="20">((D19+D49+D60+D80+D91+D95+D96)/(1-($B$106)))*$B$107</f>
        <v>0</v>
      </c>
      <c r="E107" s="333">
        <f t="shared" si="20"/>
        <v>0</v>
      </c>
      <c r="F107" s="333">
        <f t="shared" si="20"/>
        <v>0</v>
      </c>
    </row>
    <row r="108" spans="1:7" x14ac:dyDescent="0.2">
      <c r="A108" s="116" t="s">
        <v>494</v>
      </c>
      <c r="B108" s="120">
        <v>0.04</v>
      </c>
      <c r="C108" s="334">
        <f>((C19+C49+C60+C80+C91+C95+C96)/(1-($B$106)))*$B$108</f>
        <v>0</v>
      </c>
      <c r="D108" s="334">
        <f t="shared" ref="D108:F108" si="21">((D19+D49+D60+D80+D91+D95+D96)/(1-($B$106)))*$B$108</f>
        <v>0</v>
      </c>
      <c r="E108" s="334">
        <f t="shared" si="21"/>
        <v>0</v>
      </c>
      <c r="F108" s="334">
        <f t="shared" si="21"/>
        <v>0</v>
      </c>
    </row>
    <row r="109" spans="1:7" x14ac:dyDescent="0.2">
      <c r="A109" s="330" t="s">
        <v>498</v>
      </c>
      <c r="B109" s="331">
        <f>B110+B111</f>
        <v>0.14250000000000002</v>
      </c>
      <c r="C109" s="332">
        <f>((C19+C49+C60+C80+C91+C95+C96)/(1-($B$109)))*$B$109</f>
        <v>0</v>
      </c>
      <c r="D109" s="332">
        <f t="shared" ref="D109:F109" si="22">((D19+D49+D60+D80+D91+D95+D96)/(1-($B$109)))*$B$109</f>
        <v>0</v>
      </c>
      <c r="E109" s="332">
        <f t="shared" si="22"/>
        <v>0</v>
      </c>
      <c r="F109" s="332">
        <f t="shared" si="22"/>
        <v>0</v>
      </c>
    </row>
    <row r="110" spans="1:7" x14ac:dyDescent="0.2">
      <c r="A110" s="116" t="s">
        <v>493</v>
      </c>
      <c r="B110" s="120">
        <f>0.0165+0.076</f>
        <v>9.2499999999999999E-2</v>
      </c>
      <c r="C110" s="333">
        <f>((C19+C49+C60+C80+C91+C95+C96)/(1-($B$109)))*$B$110</f>
        <v>0</v>
      </c>
      <c r="D110" s="333">
        <f t="shared" ref="D110:F110" si="23">((D19+D49+D60+D80+D91+D95+D96)/(1-($B$109)))*$B$110</f>
        <v>0</v>
      </c>
      <c r="E110" s="333">
        <f t="shared" si="23"/>
        <v>0</v>
      </c>
      <c r="F110" s="333">
        <f t="shared" si="23"/>
        <v>0</v>
      </c>
    </row>
    <row r="111" spans="1:7" x14ac:dyDescent="0.2">
      <c r="A111" s="116" t="s">
        <v>494</v>
      </c>
      <c r="B111" s="336">
        <v>0.05</v>
      </c>
      <c r="C111" s="334">
        <f>((C19+C49+C60+C80+C91+C95+C96)/(1-($B$109)))*$B$111</f>
        <v>0</v>
      </c>
      <c r="D111" s="334">
        <f t="shared" ref="D111:F111" si="24">((D19+D49+D60+D80+D91+D95+D96)/(1-($B$109)))*$B$111</f>
        <v>0</v>
      </c>
      <c r="E111" s="334">
        <f t="shared" si="24"/>
        <v>0</v>
      </c>
      <c r="F111" s="334">
        <f t="shared" si="24"/>
        <v>0</v>
      </c>
    </row>
    <row r="112" spans="1:7" x14ac:dyDescent="0.2">
      <c r="A112" s="918" t="s">
        <v>499</v>
      </c>
      <c r="B112" s="337">
        <v>0.02</v>
      </c>
      <c r="C112" s="338">
        <f>C95+C96+C97</f>
        <v>0</v>
      </c>
      <c r="D112" s="338">
        <f>D95+D96+D97</f>
        <v>0</v>
      </c>
      <c r="E112" s="338">
        <f>E95+E96+E97</f>
        <v>0</v>
      </c>
      <c r="F112" s="338">
        <f>F95+F96+F97</f>
        <v>0</v>
      </c>
    </row>
    <row r="113" spans="1:7" x14ac:dyDescent="0.2">
      <c r="A113" s="918"/>
      <c r="B113" s="339">
        <v>2.5000000000000001E-2</v>
      </c>
      <c r="C113" s="340">
        <f>C95+C96+C100</f>
        <v>0</v>
      </c>
      <c r="D113" s="340">
        <f>D95+D96+D100</f>
        <v>0</v>
      </c>
      <c r="E113" s="340">
        <f>E95+E96+E100</f>
        <v>0</v>
      </c>
      <c r="F113" s="340">
        <f>F95+F96+F100</f>
        <v>0</v>
      </c>
    </row>
    <row r="114" spans="1:7" ht="15.75" customHeight="1" x14ac:dyDescent="0.2">
      <c r="A114" s="918"/>
      <c r="B114" s="339">
        <v>0.03</v>
      </c>
      <c r="C114" s="340">
        <f>C95+C96+C103</f>
        <v>0</v>
      </c>
      <c r="D114" s="340">
        <f>D95+D96+D103</f>
        <v>0</v>
      </c>
      <c r="E114" s="340">
        <f>E95+E96+E103</f>
        <v>0</v>
      </c>
      <c r="F114" s="340">
        <f>F95+F96+F103</f>
        <v>0</v>
      </c>
      <c r="G114" s="335"/>
    </row>
    <row r="115" spans="1:7" ht="15.75" customHeight="1" x14ac:dyDescent="0.2">
      <c r="A115" s="918"/>
      <c r="B115" s="339">
        <v>0.04</v>
      </c>
      <c r="C115" s="340">
        <f>C95+C96+C106</f>
        <v>0</v>
      </c>
      <c r="D115" s="340">
        <f>D95+D96+D106</f>
        <v>0</v>
      </c>
      <c r="E115" s="340">
        <f>E95+E96+E106</f>
        <v>0</v>
      </c>
      <c r="F115" s="340">
        <f>F95+F96+F106</f>
        <v>0</v>
      </c>
    </row>
    <row r="116" spans="1:7" ht="15.75" customHeight="1" x14ac:dyDescent="0.2">
      <c r="A116" s="918"/>
      <c r="B116" s="341">
        <v>0.05</v>
      </c>
      <c r="C116" s="342">
        <f>C95+C96+C109</f>
        <v>0</v>
      </c>
      <c r="D116" s="342">
        <f>D95+D96+D109</f>
        <v>0</v>
      </c>
      <c r="E116" s="342">
        <f>E95+E96+E109</f>
        <v>0</v>
      </c>
      <c r="F116" s="342">
        <f>F95+F96+F109</f>
        <v>0</v>
      </c>
    </row>
    <row r="117" spans="1:7" ht="15.75" customHeight="1" x14ac:dyDescent="0.2">
      <c r="A117" s="116" t="s">
        <v>500</v>
      </c>
      <c r="B117" s="343"/>
      <c r="C117" s="344"/>
      <c r="D117" s="344"/>
      <c r="E117" s="345"/>
      <c r="F117" s="346"/>
    </row>
    <row r="118" spans="1:7" ht="24.75" customHeight="1" x14ac:dyDescent="0.2">
      <c r="A118" s="166"/>
      <c r="B118" s="347"/>
      <c r="C118" s="348"/>
      <c r="D118" s="348"/>
      <c r="E118" s="349"/>
      <c r="F118" s="350"/>
    </row>
    <row r="119" spans="1:7" ht="15.75" customHeight="1" x14ac:dyDescent="0.2">
      <c r="A119" s="919"/>
      <c r="B119" s="919"/>
      <c r="C119" s="919"/>
      <c r="D119" s="919"/>
      <c r="E119" s="919"/>
      <c r="F119" s="919"/>
    </row>
    <row r="120" spans="1:7" ht="15.75" customHeight="1" x14ac:dyDescent="0.2">
      <c r="A120" s="920"/>
      <c r="B120" s="920"/>
      <c r="C120" s="920"/>
      <c r="D120" s="920"/>
      <c r="E120" s="920"/>
      <c r="F120" s="920"/>
    </row>
    <row r="121" spans="1:7" ht="54.75" customHeight="1" x14ac:dyDescent="0.2">
      <c r="A121" s="921" t="s">
        <v>501</v>
      </c>
      <c r="B121" s="921"/>
      <c r="C121" s="351" t="str">
        <f>C10</f>
        <v xml:space="preserve">Servente 40h </v>
      </c>
      <c r="D121" s="351" t="str">
        <f>D10</f>
        <v>Servente 30h</v>
      </c>
      <c r="E121" s="352" t="str">
        <f>E10</f>
        <v>Servente 44h limpeza de esquadrias com risco</v>
      </c>
      <c r="F121" s="353" t="str">
        <f>F10</f>
        <v>Encarregada 40h</v>
      </c>
    </row>
    <row r="122" spans="1:7" ht="15.75" customHeight="1" x14ac:dyDescent="0.2">
      <c r="A122" s="915" t="s">
        <v>502</v>
      </c>
      <c r="B122" s="915"/>
      <c r="C122" s="354" t="s">
        <v>431</v>
      </c>
      <c r="D122" s="354" t="s">
        <v>431</v>
      </c>
      <c r="E122" s="354" t="s">
        <v>431</v>
      </c>
      <c r="F122" s="355" t="s">
        <v>431</v>
      </c>
    </row>
    <row r="123" spans="1:7" ht="14.25" customHeight="1" x14ac:dyDescent="0.2">
      <c r="A123" s="916" t="s">
        <v>503</v>
      </c>
      <c r="B123" s="916"/>
      <c r="C123" s="356">
        <f>C19</f>
        <v>0</v>
      </c>
      <c r="D123" s="356">
        <f>D19</f>
        <v>0</v>
      </c>
      <c r="E123" s="356">
        <f>E19</f>
        <v>0</v>
      </c>
      <c r="F123" s="357">
        <f>F19</f>
        <v>0</v>
      </c>
    </row>
    <row r="124" spans="1:7" ht="14.25" customHeight="1" x14ac:dyDescent="0.2">
      <c r="A124" s="911" t="s">
        <v>504</v>
      </c>
      <c r="B124" s="911"/>
      <c r="C124" s="162">
        <f>C49</f>
        <v>0</v>
      </c>
      <c r="D124" s="162">
        <f>D49</f>
        <v>0</v>
      </c>
      <c r="E124" s="162">
        <f>E49</f>
        <v>0</v>
      </c>
      <c r="F124" s="163">
        <f>F49</f>
        <v>0</v>
      </c>
    </row>
    <row r="125" spans="1:7" ht="14.25" customHeight="1" x14ac:dyDescent="0.2">
      <c r="A125" s="911" t="s">
        <v>505</v>
      </c>
      <c r="B125" s="911"/>
      <c r="C125" s="162">
        <f>C60</f>
        <v>0</v>
      </c>
      <c r="D125" s="162">
        <f>D60</f>
        <v>0</v>
      </c>
      <c r="E125" s="162">
        <f>E60</f>
        <v>0</v>
      </c>
      <c r="F125" s="163">
        <f>F60</f>
        <v>0</v>
      </c>
    </row>
    <row r="126" spans="1:7" ht="14.25" customHeight="1" x14ac:dyDescent="0.2">
      <c r="A126" s="911" t="s">
        <v>506</v>
      </c>
      <c r="B126" s="911"/>
      <c r="C126" s="162">
        <f>C80</f>
        <v>0</v>
      </c>
      <c r="D126" s="162">
        <f>D80</f>
        <v>0</v>
      </c>
      <c r="E126" s="162">
        <f>E80</f>
        <v>0</v>
      </c>
      <c r="F126" s="163">
        <f>F69</f>
        <v>0</v>
      </c>
    </row>
    <row r="127" spans="1:7" ht="15.75" customHeight="1" x14ac:dyDescent="0.2">
      <c r="A127" s="911" t="s">
        <v>507</v>
      </c>
      <c r="B127" s="911"/>
      <c r="C127" s="162">
        <f>C91</f>
        <v>0</v>
      </c>
      <c r="D127" s="162">
        <f>D91</f>
        <v>0</v>
      </c>
      <c r="E127" s="162">
        <f>E91</f>
        <v>0</v>
      </c>
      <c r="F127" s="163">
        <f>F91</f>
        <v>0</v>
      </c>
    </row>
    <row r="128" spans="1:7" ht="15.75" customHeight="1" x14ac:dyDescent="0.2">
      <c r="A128" s="914" t="s">
        <v>508</v>
      </c>
      <c r="B128" s="914"/>
      <c r="C128" s="164">
        <f>SUM(C123:C127)</f>
        <v>0</v>
      </c>
      <c r="D128" s="164">
        <f>SUM(D123:D127)</f>
        <v>0</v>
      </c>
      <c r="E128" s="358">
        <f>SUM(E123:E127)</f>
        <v>0</v>
      </c>
      <c r="F128" s="165">
        <f>SUM(F123:F127)</f>
        <v>0</v>
      </c>
    </row>
    <row r="129" spans="1:12" ht="15.75" customHeight="1" x14ac:dyDescent="0.2">
      <c r="A129" s="912" t="s">
        <v>509</v>
      </c>
      <c r="B129" s="912"/>
      <c r="C129" s="359">
        <f t="shared" ref="C129:F133" si="25">C112</f>
        <v>0</v>
      </c>
      <c r="D129" s="359">
        <f t="shared" si="25"/>
        <v>0</v>
      </c>
      <c r="E129" s="359">
        <f t="shared" si="25"/>
        <v>0</v>
      </c>
      <c r="F129" s="360">
        <f t="shared" si="25"/>
        <v>0</v>
      </c>
    </row>
    <row r="130" spans="1:12" ht="15.75" customHeight="1" x14ac:dyDescent="0.2">
      <c r="A130" s="911" t="s">
        <v>510</v>
      </c>
      <c r="B130" s="911"/>
      <c r="C130" s="361">
        <f t="shared" si="25"/>
        <v>0</v>
      </c>
      <c r="D130" s="361">
        <f t="shared" si="25"/>
        <v>0</v>
      </c>
      <c r="E130" s="361">
        <f t="shared" si="25"/>
        <v>0</v>
      </c>
      <c r="F130" s="362">
        <f t="shared" si="25"/>
        <v>0</v>
      </c>
    </row>
    <row r="131" spans="1:12" ht="15.75" customHeight="1" x14ac:dyDescent="0.2">
      <c r="A131" s="911" t="s">
        <v>511</v>
      </c>
      <c r="B131" s="911"/>
      <c r="C131" s="361">
        <f t="shared" si="25"/>
        <v>0</v>
      </c>
      <c r="D131" s="361">
        <f t="shared" si="25"/>
        <v>0</v>
      </c>
      <c r="E131" s="361">
        <f t="shared" si="25"/>
        <v>0</v>
      </c>
      <c r="F131" s="362">
        <f t="shared" si="25"/>
        <v>0</v>
      </c>
    </row>
    <row r="132" spans="1:12" ht="15.75" customHeight="1" x14ac:dyDescent="0.2">
      <c r="A132" s="911" t="s">
        <v>512</v>
      </c>
      <c r="B132" s="911"/>
      <c r="C132" s="361">
        <f t="shared" si="25"/>
        <v>0</v>
      </c>
      <c r="D132" s="361">
        <f t="shared" si="25"/>
        <v>0</v>
      </c>
      <c r="E132" s="361">
        <f t="shared" si="25"/>
        <v>0</v>
      </c>
      <c r="F132" s="362">
        <f t="shared" si="25"/>
        <v>0</v>
      </c>
    </row>
    <row r="133" spans="1:12" ht="15.75" customHeight="1" x14ac:dyDescent="0.2">
      <c r="A133" s="912" t="s">
        <v>513</v>
      </c>
      <c r="B133" s="912"/>
      <c r="C133" s="361">
        <f t="shared" si="25"/>
        <v>0</v>
      </c>
      <c r="D133" s="361">
        <f t="shared" si="25"/>
        <v>0</v>
      </c>
      <c r="E133" s="361">
        <f t="shared" si="25"/>
        <v>0</v>
      </c>
      <c r="F133" s="362">
        <f t="shared" si="25"/>
        <v>0</v>
      </c>
    </row>
    <row r="134" spans="1:12" ht="15.75" customHeight="1" x14ac:dyDescent="0.2">
      <c r="A134" s="363" t="s">
        <v>514</v>
      </c>
      <c r="B134" s="364"/>
      <c r="C134" s="365">
        <f>C128+C129</f>
        <v>0</v>
      </c>
      <c r="D134" s="365">
        <f>D128+D129</f>
        <v>0</v>
      </c>
      <c r="E134" s="365">
        <f>E128+E129</f>
        <v>0</v>
      </c>
      <c r="F134" s="366">
        <f>F128+F129</f>
        <v>0</v>
      </c>
    </row>
    <row r="135" spans="1:12" ht="15.75" customHeight="1" x14ac:dyDescent="0.2">
      <c r="A135" s="367" t="s">
        <v>515</v>
      </c>
      <c r="B135" s="368"/>
      <c r="C135" s="369">
        <f>C128+C130</f>
        <v>0</v>
      </c>
      <c r="D135" s="369">
        <f>D128+D130</f>
        <v>0</v>
      </c>
      <c r="E135" s="369">
        <f>E128+E130</f>
        <v>0</v>
      </c>
      <c r="F135" s="370">
        <f>F128+F130</f>
        <v>0</v>
      </c>
    </row>
    <row r="136" spans="1:12" ht="15.75" customHeight="1" x14ac:dyDescent="0.2">
      <c r="A136" s="367" t="s">
        <v>516</v>
      </c>
      <c r="B136" s="368"/>
      <c r="C136" s="369">
        <f>C128+C131</f>
        <v>0</v>
      </c>
      <c r="D136" s="369">
        <f>D128+D131</f>
        <v>0</v>
      </c>
      <c r="E136" s="369">
        <f>E128+E131</f>
        <v>0</v>
      </c>
      <c r="F136" s="370">
        <f>F128+F131</f>
        <v>0</v>
      </c>
    </row>
    <row r="137" spans="1:12" ht="15.75" customHeight="1" x14ac:dyDescent="0.2">
      <c r="A137" s="367" t="s">
        <v>517</v>
      </c>
      <c r="B137" s="368"/>
      <c r="C137" s="369">
        <f>C128+C132</f>
        <v>0</v>
      </c>
      <c r="D137" s="369">
        <f>D128+D132</f>
        <v>0</v>
      </c>
      <c r="E137" s="369">
        <f>E128+E132</f>
        <v>0</v>
      </c>
      <c r="F137" s="370">
        <f>F128+F132</f>
        <v>0</v>
      </c>
    </row>
    <row r="138" spans="1:12" ht="15.75" customHeight="1" x14ac:dyDescent="0.2">
      <c r="A138" s="367" t="s">
        <v>518</v>
      </c>
      <c r="B138" s="368"/>
      <c r="C138" s="369">
        <f>C128+C133</f>
        <v>0</v>
      </c>
      <c r="D138" s="369">
        <f>D128+D133</f>
        <v>0</v>
      </c>
      <c r="E138" s="369">
        <f>E128+E133</f>
        <v>0</v>
      </c>
      <c r="F138" s="370">
        <f>F128+F133</f>
        <v>0</v>
      </c>
    </row>
    <row r="139" spans="1:12" ht="15.75" customHeight="1" x14ac:dyDescent="0.2">
      <c r="A139" s="371" t="s">
        <v>519</v>
      </c>
      <c r="B139" s="372"/>
      <c r="C139" s="373">
        <f>C134/200</f>
        <v>0</v>
      </c>
      <c r="D139" s="373"/>
      <c r="E139" s="374"/>
      <c r="F139" s="375"/>
    </row>
    <row r="140" spans="1:12" ht="15.75" customHeight="1" x14ac:dyDescent="0.2">
      <c r="A140" s="376" t="s">
        <v>520</v>
      </c>
      <c r="B140" s="377"/>
      <c r="C140" s="378">
        <f>C135/200</f>
        <v>0</v>
      </c>
      <c r="D140" s="378"/>
      <c r="E140" s="379"/>
      <c r="F140" s="380"/>
    </row>
    <row r="141" spans="1:12" ht="15.75" customHeight="1" x14ac:dyDescent="0.2">
      <c r="A141" s="376" t="s">
        <v>521</v>
      </c>
      <c r="B141" s="377"/>
      <c r="C141" s="378">
        <f>C136/200</f>
        <v>0</v>
      </c>
      <c r="D141" s="378"/>
      <c r="E141" s="379"/>
      <c r="F141" s="380"/>
    </row>
    <row r="142" spans="1:12" ht="15.75" customHeight="1" x14ac:dyDescent="0.2">
      <c r="A142" s="376" t="s">
        <v>522</v>
      </c>
      <c r="B142" s="377"/>
      <c r="C142" s="378">
        <f>C137/200</f>
        <v>0</v>
      </c>
      <c r="D142" s="378"/>
      <c r="E142" s="379"/>
      <c r="F142" s="380"/>
    </row>
    <row r="143" spans="1:12" ht="15.75" customHeight="1" x14ac:dyDescent="0.2">
      <c r="A143" s="381" t="s">
        <v>523</v>
      </c>
      <c r="B143" s="382"/>
      <c r="C143" s="383">
        <f>C138/200</f>
        <v>0</v>
      </c>
      <c r="D143" s="383"/>
      <c r="E143" s="384"/>
      <c r="F143" s="385"/>
    </row>
    <row r="144" spans="1:12" x14ac:dyDescent="0.2">
      <c r="A144" s="386"/>
      <c r="B144"/>
      <c r="C144"/>
      <c r="D144"/>
      <c r="E144"/>
      <c r="F144"/>
      <c r="G144"/>
      <c r="H144"/>
      <c r="I144"/>
      <c r="J144"/>
      <c r="K144"/>
      <c r="L144"/>
    </row>
    <row r="145" spans="1:15" ht="14.25" customHeight="1" x14ac:dyDescent="0.2">
      <c r="A145" s="913" t="s">
        <v>524</v>
      </c>
      <c r="B145" s="913"/>
      <c r="C145" s="913" t="s">
        <v>525</v>
      </c>
      <c r="D145" s="913"/>
      <c r="E145" s="909" t="s">
        <v>526</v>
      </c>
      <c r="F145" s="910"/>
      <c r="G145" s="908" t="s">
        <v>527</v>
      </c>
      <c r="H145" s="908"/>
      <c r="I145" s="908" t="s">
        <v>528</v>
      </c>
      <c r="J145" s="908"/>
      <c r="K145" s="908" t="s">
        <v>529</v>
      </c>
      <c r="L145" s="908"/>
    </row>
    <row r="146" spans="1:15" ht="38.25" x14ac:dyDescent="0.2">
      <c r="A146" s="438" t="s">
        <v>530</v>
      </c>
      <c r="B146" s="439" t="s">
        <v>531</v>
      </c>
      <c r="C146" s="439" t="s">
        <v>532</v>
      </c>
      <c r="D146" s="439" t="s">
        <v>533</v>
      </c>
      <c r="E146" s="439" t="s">
        <v>532</v>
      </c>
      <c r="F146" s="439" t="s">
        <v>533</v>
      </c>
      <c r="G146" s="439" t="s">
        <v>532</v>
      </c>
      <c r="H146" s="439" t="s">
        <v>533</v>
      </c>
      <c r="I146" s="439" t="s">
        <v>532</v>
      </c>
      <c r="J146" s="439" t="s">
        <v>533</v>
      </c>
      <c r="K146" s="439" t="s">
        <v>532</v>
      </c>
      <c r="L146" s="439" t="s">
        <v>533</v>
      </c>
    </row>
    <row r="147" spans="1:15" x14ac:dyDescent="0.2">
      <c r="A147" s="440" t="s">
        <v>534</v>
      </c>
      <c r="B147" s="441">
        <f>1/'Prod. GEXCTB'!C21</f>
        <v>1.25E-3</v>
      </c>
      <c r="C147" s="442">
        <f>C134</f>
        <v>0</v>
      </c>
      <c r="D147" s="442">
        <f>B147*C147</f>
        <v>0</v>
      </c>
      <c r="E147" s="442">
        <f>C135</f>
        <v>0</v>
      </c>
      <c r="F147" s="442">
        <f>B147*E147</f>
        <v>0</v>
      </c>
      <c r="G147" s="442">
        <f>C136</f>
        <v>0</v>
      </c>
      <c r="H147" s="442">
        <f>B147*G147</f>
        <v>0</v>
      </c>
      <c r="I147" s="442">
        <f>C137</f>
        <v>0</v>
      </c>
      <c r="J147" s="442">
        <f>B147*I147</f>
        <v>0</v>
      </c>
      <c r="K147" s="442">
        <f>C138</f>
        <v>0</v>
      </c>
      <c r="L147" s="442">
        <f>B147*K147</f>
        <v>0</v>
      </c>
    </row>
    <row r="148" spans="1:15" x14ac:dyDescent="0.2">
      <c r="A148" s="443" t="s">
        <v>535</v>
      </c>
      <c r="B148" s="441">
        <f>B147/'Prod. GEXCTB'!O21</f>
        <v>2.7173913043478262E-5</v>
      </c>
      <c r="C148" s="442">
        <f>F135</f>
        <v>0</v>
      </c>
      <c r="D148" s="442">
        <f>C148*B148</f>
        <v>0</v>
      </c>
      <c r="E148" s="442">
        <f>F135</f>
        <v>0</v>
      </c>
      <c r="F148" s="442">
        <f>B148*E148</f>
        <v>0</v>
      </c>
      <c r="G148" s="442">
        <f>F135</f>
        <v>0</v>
      </c>
      <c r="H148" s="442">
        <f>B148*G148</f>
        <v>0</v>
      </c>
      <c r="I148" s="442">
        <f>F135</f>
        <v>0</v>
      </c>
      <c r="J148" s="442">
        <f>B148*I148</f>
        <v>0</v>
      </c>
      <c r="K148" s="442">
        <f>F135</f>
        <v>0</v>
      </c>
      <c r="L148" s="442">
        <f>B148*K148</f>
        <v>0</v>
      </c>
      <c r="M148" s="897"/>
      <c r="N148" s="898"/>
      <c r="O148" s="630"/>
    </row>
    <row r="149" spans="1:15" x14ac:dyDescent="0.2">
      <c r="A149" s="444" t="s">
        <v>536</v>
      </c>
      <c r="B149" s="445"/>
      <c r="C149" s="446"/>
      <c r="D149" s="446">
        <f>SUM(D147:D148)</f>
        <v>0</v>
      </c>
      <c r="E149" s="446"/>
      <c r="F149" s="446">
        <f>SUM(F147:F148)</f>
        <v>0</v>
      </c>
      <c r="G149" s="446"/>
      <c r="H149" s="446">
        <f>SUM(H147:H148)</f>
        <v>0</v>
      </c>
      <c r="I149" s="446"/>
      <c r="J149" s="446">
        <f>SUM(J147:J148)</f>
        <v>0</v>
      </c>
      <c r="K149" s="446"/>
      <c r="L149" s="446">
        <f>SUM(L147:L148)</f>
        <v>0</v>
      </c>
      <c r="M149" s="628"/>
      <c r="N149" s="629"/>
    </row>
    <row r="150" spans="1:15" x14ac:dyDescent="0.2">
      <c r="A150" s="387"/>
      <c r="B150" s="388"/>
      <c r="C150" s="388"/>
      <c r="D150" s="389"/>
      <c r="E150" s="389"/>
      <c r="F150"/>
      <c r="G150"/>
      <c r="H150"/>
      <c r="I150"/>
      <c r="J150"/>
      <c r="K150"/>
      <c r="L150"/>
    </row>
    <row r="151" spans="1:15" ht="14.25" customHeight="1" x14ac:dyDescent="0.2">
      <c r="A151" s="905" t="s">
        <v>537</v>
      </c>
      <c r="B151" s="905"/>
      <c r="C151" s="905" t="s">
        <v>525</v>
      </c>
      <c r="D151" s="905"/>
      <c r="E151" s="906" t="s">
        <v>526</v>
      </c>
      <c r="F151" s="907"/>
      <c r="G151" s="905" t="s">
        <v>527</v>
      </c>
      <c r="H151" s="905"/>
      <c r="I151" s="905" t="s">
        <v>528</v>
      </c>
      <c r="J151" s="905"/>
      <c r="K151" s="905" t="s">
        <v>529</v>
      </c>
      <c r="L151" s="905"/>
    </row>
    <row r="152" spans="1:15" ht="38.25" x14ac:dyDescent="0.2">
      <c r="A152" s="438" t="s">
        <v>530</v>
      </c>
      <c r="B152" s="439" t="s">
        <v>538</v>
      </c>
      <c r="C152" s="439" t="s">
        <v>532</v>
      </c>
      <c r="D152" s="439" t="s">
        <v>533</v>
      </c>
      <c r="E152" s="439" t="s">
        <v>532</v>
      </c>
      <c r="F152" s="439" t="s">
        <v>533</v>
      </c>
      <c r="G152" s="439" t="s">
        <v>532</v>
      </c>
      <c r="H152" s="439" t="s">
        <v>533</v>
      </c>
      <c r="I152" s="439" t="s">
        <v>532</v>
      </c>
      <c r="J152" s="439" t="s">
        <v>533</v>
      </c>
      <c r="K152" s="439" t="s">
        <v>532</v>
      </c>
      <c r="L152" s="439" t="s">
        <v>533</v>
      </c>
    </row>
    <row r="153" spans="1:15" x14ac:dyDescent="0.2">
      <c r="A153" s="440" t="s">
        <v>534</v>
      </c>
      <c r="B153" s="447">
        <f>1/'Prod. GEXCTB'!D21</f>
        <v>4.7619047619047619E-4</v>
      </c>
      <c r="C153" s="448">
        <f>C134</f>
        <v>0</v>
      </c>
      <c r="D153" s="442">
        <f>B153*C153</f>
        <v>0</v>
      </c>
      <c r="E153" s="442">
        <f>C135</f>
        <v>0</v>
      </c>
      <c r="F153" s="442">
        <f>B153*E153</f>
        <v>0</v>
      </c>
      <c r="G153" s="442">
        <f>C136</f>
        <v>0</v>
      </c>
      <c r="H153" s="442">
        <f>B153*G153</f>
        <v>0</v>
      </c>
      <c r="I153" s="442">
        <f>C137</f>
        <v>0</v>
      </c>
      <c r="J153" s="442">
        <f>B153*I153</f>
        <v>0</v>
      </c>
      <c r="K153" s="442">
        <f>C138</f>
        <v>0</v>
      </c>
      <c r="L153" s="442">
        <f>B153*K153</f>
        <v>0</v>
      </c>
    </row>
    <row r="154" spans="1:15" x14ac:dyDescent="0.2">
      <c r="A154" s="443" t="s">
        <v>535</v>
      </c>
      <c r="B154" s="441">
        <f>B153/'Prod. GEXCTB'!O21</f>
        <v>1.0351966873706003E-5</v>
      </c>
      <c r="C154" s="442">
        <f>F135</f>
        <v>0</v>
      </c>
      <c r="D154" s="442">
        <f>B154*C154</f>
        <v>0</v>
      </c>
      <c r="E154" s="442">
        <f>F135</f>
        <v>0</v>
      </c>
      <c r="F154" s="442">
        <f>B154*E154</f>
        <v>0</v>
      </c>
      <c r="G154" s="442">
        <f>F135</f>
        <v>0</v>
      </c>
      <c r="H154" s="442">
        <f>B154*G154</f>
        <v>0</v>
      </c>
      <c r="I154" s="442">
        <f>F135</f>
        <v>0</v>
      </c>
      <c r="J154" s="442">
        <f>B154*I154</f>
        <v>0</v>
      </c>
      <c r="K154" s="442">
        <f>F135</f>
        <v>0</v>
      </c>
      <c r="L154" s="442">
        <f>B154*K154</f>
        <v>0</v>
      </c>
    </row>
    <row r="155" spans="1:15" x14ac:dyDescent="0.2">
      <c r="A155" s="444" t="s">
        <v>539</v>
      </c>
      <c r="B155" s="445"/>
      <c r="C155" s="446"/>
      <c r="D155" s="446">
        <f>SUM(D153:D154)</f>
        <v>0</v>
      </c>
      <c r="E155" s="446"/>
      <c r="F155" s="446">
        <f>SUM(F153:F154)</f>
        <v>0</v>
      </c>
      <c r="G155" s="446"/>
      <c r="H155" s="446">
        <f>SUM(H153:H154)</f>
        <v>0</v>
      </c>
      <c r="I155" s="446"/>
      <c r="J155" s="446">
        <f>SUM(J153:J154)</f>
        <v>0</v>
      </c>
      <c r="K155" s="446"/>
      <c r="L155" s="446">
        <f>SUM(L153:L154)</f>
        <v>0</v>
      </c>
    </row>
    <row r="156" spans="1:15" x14ac:dyDescent="0.2">
      <c r="A156" s="387"/>
      <c r="B156" s="390"/>
      <c r="C156" s="390"/>
      <c r="D156" s="390"/>
      <c r="E156" s="390"/>
      <c r="F156"/>
      <c r="G156"/>
      <c r="H156"/>
      <c r="I156"/>
      <c r="J156"/>
      <c r="K156"/>
      <c r="L156"/>
    </row>
    <row r="157" spans="1:15" ht="14.25" customHeight="1" x14ac:dyDescent="0.2">
      <c r="A157" s="905" t="s">
        <v>540</v>
      </c>
      <c r="B157" s="905"/>
      <c r="C157" s="905" t="s">
        <v>525</v>
      </c>
      <c r="D157" s="905"/>
      <c r="E157" s="906" t="s">
        <v>526</v>
      </c>
      <c r="F157" s="907"/>
      <c r="G157" s="905" t="s">
        <v>527</v>
      </c>
      <c r="H157" s="905"/>
      <c r="I157" s="905" t="s">
        <v>528</v>
      </c>
      <c r="J157" s="905"/>
      <c r="K157" s="905" t="s">
        <v>529</v>
      </c>
      <c r="L157" s="905"/>
    </row>
    <row r="158" spans="1:15" ht="38.25" x14ac:dyDescent="0.2">
      <c r="A158" s="438" t="s">
        <v>530</v>
      </c>
      <c r="B158" s="439" t="s">
        <v>538</v>
      </c>
      <c r="C158" s="439" t="s">
        <v>532</v>
      </c>
      <c r="D158" s="439" t="s">
        <v>533</v>
      </c>
      <c r="E158" s="439" t="s">
        <v>532</v>
      </c>
      <c r="F158" s="439" t="s">
        <v>533</v>
      </c>
      <c r="G158" s="439" t="s">
        <v>532</v>
      </c>
      <c r="H158" s="439" t="s">
        <v>533</v>
      </c>
      <c r="I158" s="439" t="s">
        <v>532</v>
      </c>
      <c r="J158" s="439" t="s">
        <v>533</v>
      </c>
      <c r="K158" s="439" t="s">
        <v>532</v>
      </c>
      <c r="L158" s="439" t="s">
        <v>533</v>
      </c>
    </row>
    <row r="159" spans="1:15" x14ac:dyDescent="0.2">
      <c r="A159" s="440" t="s">
        <v>534</v>
      </c>
      <c r="B159" s="447">
        <f>1/'Prod. GEXCTB'!E21</f>
        <v>6.6666666666666664E-4</v>
      </c>
      <c r="C159" s="448">
        <f>C134</f>
        <v>0</v>
      </c>
      <c r="D159" s="442">
        <f>B159*C159</f>
        <v>0</v>
      </c>
      <c r="E159" s="442">
        <f>C135</f>
        <v>0</v>
      </c>
      <c r="F159" s="442">
        <f>B159*E159</f>
        <v>0</v>
      </c>
      <c r="G159" s="442">
        <f>C136</f>
        <v>0</v>
      </c>
      <c r="H159" s="442">
        <f>B159*G159</f>
        <v>0</v>
      </c>
      <c r="I159" s="442">
        <f>C137</f>
        <v>0</v>
      </c>
      <c r="J159" s="442">
        <f>B159*I159</f>
        <v>0</v>
      </c>
      <c r="K159" s="442">
        <f>C138</f>
        <v>0</v>
      </c>
      <c r="L159" s="442">
        <f>B159*K159</f>
        <v>0</v>
      </c>
    </row>
    <row r="160" spans="1:15" x14ac:dyDescent="0.2">
      <c r="A160" s="443" t="s">
        <v>535</v>
      </c>
      <c r="B160" s="441">
        <f>B159/'Prod. GEXCTB'!O21</f>
        <v>1.4492753623188405E-5</v>
      </c>
      <c r="C160" s="442">
        <f>F135</f>
        <v>0</v>
      </c>
      <c r="D160" s="442">
        <f>B160*C160</f>
        <v>0</v>
      </c>
      <c r="E160" s="442">
        <f>F135</f>
        <v>0</v>
      </c>
      <c r="F160" s="442">
        <f>B160*E160</f>
        <v>0</v>
      </c>
      <c r="G160" s="442">
        <f>F135</f>
        <v>0</v>
      </c>
      <c r="H160" s="442">
        <f>B160*G160</f>
        <v>0</v>
      </c>
      <c r="I160" s="442">
        <f>F135</f>
        <v>0</v>
      </c>
      <c r="J160" s="442">
        <f>B160*I160</f>
        <v>0</v>
      </c>
      <c r="K160" s="442">
        <f>F135</f>
        <v>0</v>
      </c>
      <c r="L160" s="442">
        <f>B160*K160</f>
        <v>0</v>
      </c>
    </row>
    <row r="161" spans="1:14" x14ac:dyDescent="0.2">
      <c r="A161" s="444" t="s">
        <v>539</v>
      </c>
      <c r="B161" s="445"/>
      <c r="C161" s="446"/>
      <c r="D161" s="446">
        <f>SUM(D159:D160)</f>
        <v>0</v>
      </c>
      <c r="E161" s="446"/>
      <c r="F161" s="446">
        <f>SUM(F159:F160)</f>
        <v>0</v>
      </c>
      <c r="G161" s="446"/>
      <c r="H161" s="446">
        <f>SUM(H159:H160)</f>
        <v>0</v>
      </c>
      <c r="I161" s="446"/>
      <c r="J161" s="446">
        <f>SUM(J159:J160)</f>
        <v>0</v>
      </c>
      <c r="K161" s="446"/>
      <c r="L161" s="446">
        <f>SUM(L159:L160)</f>
        <v>0</v>
      </c>
    </row>
    <row r="162" spans="1:14" x14ac:dyDescent="0.2">
      <c r="A162" s="387"/>
      <c r="B162" s="390"/>
      <c r="C162" s="390"/>
      <c r="D162" s="390"/>
      <c r="E162" s="390"/>
      <c r="F162"/>
      <c r="G162"/>
      <c r="H162"/>
      <c r="I162"/>
      <c r="J162"/>
      <c r="K162"/>
      <c r="L162"/>
    </row>
    <row r="163" spans="1:14" ht="14.25" customHeight="1" x14ac:dyDescent="0.2">
      <c r="A163" s="905" t="s">
        <v>541</v>
      </c>
      <c r="B163" s="905"/>
      <c r="C163" s="905" t="s">
        <v>525</v>
      </c>
      <c r="D163" s="905"/>
      <c r="E163" s="906" t="s">
        <v>526</v>
      </c>
      <c r="F163" s="907"/>
      <c r="G163" s="905" t="s">
        <v>527</v>
      </c>
      <c r="H163" s="905"/>
      <c r="I163" s="905" t="s">
        <v>528</v>
      </c>
      <c r="J163" s="905"/>
      <c r="K163" s="905" t="s">
        <v>529</v>
      </c>
      <c r="L163" s="905"/>
    </row>
    <row r="164" spans="1:14" ht="38.25" x14ac:dyDescent="0.2">
      <c r="A164" s="438" t="s">
        <v>530</v>
      </c>
      <c r="B164" s="439" t="s">
        <v>538</v>
      </c>
      <c r="C164" s="439" t="s">
        <v>532</v>
      </c>
      <c r="D164" s="439" t="s">
        <v>533</v>
      </c>
      <c r="E164" s="439" t="s">
        <v>532</v>
      </c>
      <c r="F164" s="439" t="s">
        <v>533</v>
      </c>
      <c r="G164" s="439" t="s">
        <v>532</v>
      </c>
      <c r="H164" s="439" t="s">
        <v>533</v>
      </c>
      <c r="I164" s="439" t="s">
        <v>532</v>
      </c>
      <c r="J164" s="439" t="s">
        <v>533</v>
      </c>
      <c r="K164" s="439" t="s">
        <v>532</v>
      </c>
      <c r="L164" s="439" t="s">
        <v>533</v>
      </c>
    </row>
    <row r="165" spans="1:14" x14ac:dyDescent="0.2">
      <c r="A165" s="440" t="s">
        <v>534</v>
      </c>
      <c r="B165" s="447">
        <f>1/'Prod. GEXCTB'!F21</f>
        <v>4.0000000000000001E-3</v>
      </c>
      <c r="C165" s="442">
        <f>C134</f>
        <v>0</v>
      </c>
      <c r="D165" s="442">
        <f>B165*C165</f>
        <v>0</v>
      </c>
      <c r="E165" s="442">
        <f>C135</f>
        <v>0</v>
      </c>
      <c r="F165" s="442">
        <f>B165*E165</f>
        <v>0</v>
      </c>
      <c r="G165" s="442">
        <f>C136</f>
        <v>0</v>
      </c>
      <c r="H165" s="442">
        <f>B165*G165</f>
        <v>0</v>
      </c>
      <c r="I165" s="442">
        <f>C137</f>
        <v>0</v>
      </c>
      <c r="J165" s="442">
        <f>B165*I165</f>
        <v>0</v>
      </c>
      <c r="K165" s="442">
        <f>C138</f>
        <v>0</v>
      </c>
      <c r="L165" s="442">
        <f>B165*K165</f>
        <v>0</v>
      </c>
    </row>
    <row r="166" spans="1:14" x14ac:dyDescent="0.2">
      <c r="A166" s="443" t="s">
        <v>535</v>
      </c>
      <c r="B166" s="441">
        <f>B165/'Prod. GEXCTB'!O21</f>
        <v>8.6956521739130441E-5</v>
      </c>
      <c r="C166" s="442">
        <f>F135</f>
        <v>0</v>
      </c>
      <c r="D166" s="442">
        <f>C166*B166</f>
        <v>0</v>
      </c>
      <c r="E166" s="442">
        <f>F135</f>
        <v>0</v>
      </c>
      <c r="F166" s="442">
        <f>B166*E166</f>
        <v>0</v>
      </c>
      <c r="G166" s="442">
        <f>F135</f>
        <v>0</v>
      </c>
      <c r="H166" s="442">
        <f>B166*G166</f>
        <v>0</v>
      </c>
      <c r="I166" s="442">
        <f>F135</f>
        <v>0</v>
      </c>
      <c r="J166" s="442">
        <f>B166*I166</f>
        <v>0</v>
      </c>
      <c r="K166" s="442">
        <f>F135</f>
        <v>0</v>
      </c>
      <c r="L166" s="442">
        <f>B166*K166</f>
        <v>0</v>
      </c>
    </row>
    <row r="167" spans="1:14" x14ac:dyDescent="0.2">
      <c r="A167" s="444" t="s">
        <v>539</v>
      </c>
      <c r="B167" s="445"/>
      <c r="C167" s="446"/>
      <c r="D167" s="446">
        <f>SUM(D165:D166)</f>
        <v>0</v>
      </c>
      <c r="E167" s="446"/>
      <c r="F167" s="446">
        <f>SUM(F165:F166)</f>
        <v>0</v>
      </c>
      <c r="G167" s="446"/>
      <c r="H167" s="446">
        <f>SUM(H165:H166)</f>
        <v>0</v>
      </c>
      <c r="I167" s="446"/>
      <c r="J167" s="446">
        <f>SUM(J165:J166)</f>
        <v>0</v>
      </c>
      <c r="K167" s="446"/>
      <c r="L167" s="446">
        <f>SUM(L165:L166)</f>
        <v>0</v>
      </c>
    </row>
    <row r="168" spans="1:14" x14ac:dyDescent="0.2">
      <c r="A168" s="387"/>
      <c r="B168" s="391"/>
      <c r="C168" s="391"/>
      <c r="D168" s="391"/>
      <c r="E168" s="391"/>
    </row>
    <row r="169" spans="1:14" ht="14.25" customHeight="1" x14ac:dyDescent="0.2">
      <c r="A169" s="899" t="s">
        <v>542</v>
      </c>
      <c r="B169" s="899"/>
      <c r="C169" s="899" t="s">
        <v>525</v>
      </c>
      <c r="D169" s="899"/>
      <c r="E169" s="903" t="s">
        <v>526</v>
      </c>
      <c r="F169" s="904"/>
      <c r="G169" s="899" t="s">
        <v>527</v>
      </c>
      <c r="H169" s="899"/>
      <c r="I169" s="899" t="s">
        <v>528</v>
      </c>
      <c r="J169" s="899"/>
      <c r="K169" s="899" t="s">
        <v>529</v>
      </c>
      <c r="L169" s="899"/>
    </row>
    <row r="170" spans="1:14" ht="38.25" x14ac:dyDescent="0.2">
      <c r="A170" s="438" t="s">
        <v>530</v>
      </c>
      <c r="B170" s="439" t="s">
        <v>538</v>
      </c>
      <c r="C170" s="439" t="s">
        <v>532</v>
      </c>
      <c r="D170" s="439" t="s">
        <v>533</v>
      </c>
      <c r="E170" s="439" t="s">
        <v>532</v>
      </c>
      <c r="F170" s="439" t="s">
        <v>533</v>
      </c>
      <c r="G170" s="439" t="s">
        <v>532</v>
      </c>
      <c r="H170" s="439" t="s">
        <v>533</v>
      </c>
      <c r="I170" s="439" t="s">
        <v>532</v>
      </c>
      <c r="J170" s="439" t="s">
        <v>533</v>
      </c>
      <c r="K170" s="439" t="s">
        <v>532</v>
      </c>
      <c r="L170" s="439" t="s">
        <v>533</v>
      </c>
    </row>
    <row r="171" spans="1:14" x14ac:dyDescent="0.2">
      <c r="A171" s="440" t="s">
        <v>543</v>
      </c>
      <c r="B171" s="447">
        <f>1/'Prod. GEXCTB'!G21</f>
        <v>3.7037037037037035E-4</v>
      </c>
      <c r="C171" s="442">
        <f>C134</f>
        <v>0</v>
      </c>
      <c r="D171" s="442">
        <f>B171*C171</f>
        <v>0</v>
      </c>
      <c r="E171" s="442">
        <f>C135</f>
        <v>0</v>
      </c>
      <c r="F171" s="442">
        <f>B171*E171</f>
        <v>0</v>
      </c>
      <c r="G171" s="442">
        <f>C136</f>
        <v>0</v>
      </c>
      <c r="H171" s="442">
        <f>B171*G171</f>
        <v>0</v>
      </c>
      <c r="I171" s="442">
        <f>C137</f>
        <v>0</v>
      </c>
      <c r="J171" s="442">
        <f>B171*I171</f>
        <v>0</v>
      </c>
      <c r="K171" s="442">
        <f>C138</f>
        <v>0</v>
      </c>
      <c r="L171" s="442">
        <f>B171*K171</f>
        <v>0</v>
      </c>
    </row>
    <row r="172" spans="1:14" x14ac:dyDescent="0.2">
      <c r="A172" s="443" t="s">
        <v>535</v>
      </c>
      <c r="B172" s="441">
        <f>B171/'Prod. GEXCTB'!O21</f>
        <v>8.0515297906602247E-6</v>
      </c>
      <c r="C172" s="442">
        <f>F135</f>
        <v>0</v>
      </c>
      <c r="D172" s="442">
        <f>B172*C172</f>
        <v>0</v>
      </c>
      <c r="E172" s="442">
        <f>F135</f>
        <v>0</v>
      </c>
      <c r="F172" s="442">
        <f>B172*E172</f>
        <v>0</v>
      </c>
      <c r="G172" s="442">
        <f>F135</f>
        <v>0</v>
      </c>
      <c r="H172" s="442">
        <f>B172*G172</f>
        <v>0</v>
      </c>
      <c r="I172" s="442">
        <f>F135</f>
        <v>0</v>
      </c>
      <c r="J172" s="442">
        <f>B172*I172</f>
        <v>0</v>
      </c>
      <c r="K172" s="442">
        <f>F135</f>
        <v>0</v>
      </c>
      <c r="L172" s="442">
        <f>B172*K172</f>
        <v>0</v>
      </c>
      <c r="M172" s="897"/>
      <c r="N172" s="898"/>
    </row>
    <row r="173" spans="1:14" x14ac:dyDescent="0.2">
      <c r="A173" s="449" t="s">
        <v>544</v>
      </c>
      <c r="B173" s="450"/>
      <c r="C173" s="451"/>
      <c r="D173" s="452">
        <f>SUM(D171:D172)</f>
        <v>0</v>
      </c>
      <c r="E173" s="451"/>
      <c r="F173" s="452">
        <f>SUM(F171:F172)</f>
        <v>0</v>
      </c>
      <c r="G173" s="451"/>
      <c r="H173" s="452">
        <f>SUM(H171:H172)</f>
        <v>0</v>
      </c>
      <c r="I173" s="451"/>
      <c r="J173" s="452">
        <f>SUM(J171:J172)</f>
        <v>0</v>
      </c>
      <c r="K173" s="451"/>
      <c r="L173" s="452">
        <f>SUM(L171:L172)</f>
        <v>0</v>
      </c>
      <c r="M173" s="628"/>
      <c r="N173" s="629"/>
    </row>
    <row r="174" spans="1:14" x14ac:dyDescent="0.2">
      <c r="A174" s="440" t="s">
        <v>545</v>
      </c>
      <c r="B174" s="447">
        <f>1/'Prod. GEXCTB'!H21</f>
        <v>1.0000000000000001E-5</v>
      </c>
      <c r="C174" s="442">
        <f>C134</f>
        <v>0</v>
      </c>
      <c r="D174" s="442">
        <f>B174*C174</f>
        <v>0</v>
      </c>
      <c r="E174" s="442">
        <f>C135</f>
        <v>0</v>
      </c>
      <c r="F174" s="442">
        <f>B174*E174</f>
        <v>0</v>
      </c>
      <c r="G174" s="442">
        <f>C136</f>
        <v>0</v>
      </c>
      <c r="H174" s="442">
        <f>B174*G174</f>
        <v>0</v>
      </c>
      <c r="I174" s="442">
        <f>C137</f>
        <v>0</v>
      </c>
      <c r="J174" s="442">
        <f>B174*I174</f>
        <v>0</v>
      </c>
      <c r="K174" s="442">
        <f>C138</f>
        <v>0</v>
      </c>
      <c r="L174" s="442">
        <f>B174*K174</f>
        <v>0</v>
      </c>
    </row>
    <row r="175" spans="1:14" x14ac:dyDescent="0.2">
      <c r="A175" s="443" t="s">
        <v>535</v>
      </c>
      <c r="B175" s="441">
        <f>B174/'Prod. GEXCTB'!O21</f>
        <v>2.1739130434782609E-7</v>
      </c>
      <c r="C175" s="442">
        <f>F135</f>
        <v>0</v>
      </c>
      <c r="D175" s="442">
        <f>B175*C175</f>
        <v>0</v>
      </c>
      <c r="E175" s="442">
        <f>F135</f>
        <v>0</v>
      </c>
      <c r="F175" s="442">
        <f>B175*E175</f>
        <v>0</v>
      </c>
      <c r="G175" s="442">
        <f>F135</f>
        <v>0</v>
      </c>
      <c r="H175" s="442">
        <f>B175*G175</f>
        <v>0</v>
      </c>
      <c r="I175" s="442">
        <f>F135</f>
        <v>0</v>
      </c>
      <c r="J175" s="442">
        <f>B175*I175</f>
        <v>0</v>
      </c>
      <c r="K175" s="442">
        <f>F135</f>
        <v>0</v>
      </c>
      <c r="L175" s="442">
        <f>B175*K175</f>
        <v>0</v>
      </c>
    </row>
    <row r="176" spans="1:14" x14ac:dyDescent="0.2">
      <c r="A176" s="449" t="s">
        <v>546</v>
      </c>
      <c r="B176" s="453"/>
      <c r="C176" s="451"/>
      <c r="D176" s="452">
        <f>SUM(D174:D175)</f>
        <v>0</v>
      </c>
      <c r="E176" s="451"/>
      <c r="F176" s="452">
        <f>SUM(F174:F175)</f>
        <v>0</v>
      </c>
      <c r="G176" s="451"/>
      <c r="H176" s="452">
        <f>SUM(H174:H175)</f>
        <v>0</v>
      </c>
      <c r="I176" s="451"/>
      <c r="J176" s="452">
        <f>SUM(J174:J175)</f>
        <v>0</v>
      </c>
      <c r="K176" s="451"/>
      <c r="L176" s="452">
        <f>SUM(L174:L175)</f>
        <v>0</v>
      </c>
    </row>
    <row r="177" spans="1:14" x14ac:dyDescent="0.2">
      <c r="A177" s="440" t="s">
        <v>547</v>
      </c>
      <c r="B177" s="447">
        <f>1/'Prod. GEXCTB'!I21</f>
        <v>1.1111111111111112E-4</v>
      </c>
      <c r="C177" s="442">
        <f>C134</f>
        <v>0</v>
      </c>
      <c r="D177" s="442">
        <f>B177*C177</f>
        <v>0</v>
      </c>
      <c r="E177" s="442">
        <f>C135</f>
        <v>0</v>
      </c>
      <c r="F177" s="442">
        <f>B177*E177</f>
        <v>0</v>
      </c>
      <c r="G177" s="442">
        <f>C136</f>
        <v>0</v>
      </c>
      <c r="H177" s="442">
        <f>B177*G177</f>
        <v>0</v>
      </c>
      <c r="I177" s="442">
        <f>C137</f>
        <v>0</v>
      </c>
      <c r="J177" s="442">
        <f>B177*I177</f>
        <v>0</v>
      </c>
      <c r="K177" s="442">
        <f>C138</f>
        <v>0</v>
      </c>
      <c r="L177" s="442">
        <f>B177*K177</f>
        <v>0</v>
      </c>
    </row>
    <row r="178" spans="1:14" x14ac:dyDescent="0.2">
      <c r="A178" s="443" t="s">
        <v>535</v>
      </c>
      <c r="B178" s="441">
        <f>B177/'Prod. GEXCTB'!O21</f>
        <v>2.4154589371980677E-6</v>
      </c>
      <c r="C178" s="442">
        <f>F135</f>
        <v>0</v>
      </c>
      <c r="D178" s="442">
        <f>B178*C178</f>
        <v>0</v>
      </c>
      <c r="E178" s="442">
        <f>F135</f>
        <v>0</v>
      </c>
      <c r="F178" s="442">
        <f>B178*E178</f>
        <v>0</v>
      </c>
      <c r="G178" s="442">
        <f>F135</f>
        <v>0</v>
      </c>
      <c r="H178" s="442">
        <f>B178*G178</f>
        <v>0</v>
      </c>
      <c r="I178" s="442">
        <f>F135</f>
        <v>0</v>
      </c>
      <c r="J178" s="442">
        <f>B178*I178</f>
        <v>0</v>
      </c>
      <c r="K178" s="442">
        <f>F135</f>
        <v>0</v>
      </c>
      <c r="L178" s="442">
        <f>B178*K178</f>
        <v>0</v>
      </c>
    </row>
    <row r="179" spans="1:14" x14ac:dyDescent="0.2">
      <c r="A179" s="449" t="s">
        <v>548</v>
      </c>
      <c r="B179" s="453"/>
      <c r="C179" s="451"/>
      <c r="D179" s="452">
        <f>SUM(D177:D178)</f>
        <v>0</v>
      </c>
      <c r="E179" s="451"/>
      <c r="F179" s="452">
        <f>SUM(F177:F178)</f>
        <v>0</v>
      </c>
      <c r="G179" s="451"/>
      <c r="H179" s="452">
        <f>SUM(H177:H178)</f>
        <v>0</v>
      </c>
      <c r="I179" s="451"/>
      <c r="J179" s="452">
        <f>SUM(J177:J178)</f>
        <v>0</v>
      </c>
      <c r="K179" s="451"/>
      <c r="L179" s="452">
        <f>SUM(L177:L178)</f>
        <v>0</v>
      </c>
    </row>
    <row r="180" spans="1:14" x14ac:dyDescent="0.2">
      <c r="A180" s="387"/>
      <c r="B180" s="390"/>
      <c r="C180" s="390"/>
      <c r="D180" s="390"/>
      <c r="E180" s="390"/>
    </row>
    <row r="181" spans="1:14" ht="14.25" customHeight="1" x14ac:dyDescent="0.2">
      <c r="A181" s="902" t="s">
        <v>549</v>
      </c>
      <c r="B181" s="902"/>
      <c r="C181" s="902" t="s">
        <v>525</v>
      </c>
      <c r="D181" s="902"/>
      <c r="E181" s="900" t="s">
        <v>526</v>
      </c>
      <c r="F181" s="901"/>
      <c r="G181" s="902" t="s">
        <v>527</v>
      </c>
      <c r="H181" s="902"/>
      <c r="I181" s="902" t="s">
        <v>528</v>
      </c>
      <c r="J181" s="902"/>
      <c r="K181" s="902" t="s">
        <v>529</v>
      </c>
      <c r="L181" s="902"/>
    </row>
    <row r="182" spans="1:14" ht="38.25" x14ac:dyDescent="0.2">
      <c r="A182" s="438" t="s">
        <v>530</v>
      </c>
      <c r="B182" s="439" t="s">
        <v>538</v>
      </c>
      <c r="C182" s="439" t="s">
        <v>532</v>
      </c>
      <c r="D182" s="439" t="s">
        <v>533</v>
      </c>
      <c r="E182" s="439" t="s">
        <v>532</v>
      </c>
      <c r="F182" s="439" t="s">
        <v>533</v>
      </c>
      <c r="G182" s="439" t="s">
        <v>532</v>
      </c>
      <c r="H182" s="439" t="s">
        <v>533</v>
      </c>
      <c r="I182" s="439" t="s">
        <v>532</v>
      </c>
      <c r="J182" s="439" t="s">
        <v>533</v>
      </c>
      <c r="K182" s="439" t="s">
        <v>532</v>
      </c>
      <c r="L182" s="439" t="s">
        <v>533</v>
      </c>
    </row>
    <row r="183" spans="1:14" x14ac:dyDescent="0.2">
      <c r="A183" s="454" t="s">
        <v>550</v>
      </c>
      <c r="B183" s="447">
        <f>(1/'Prod. GEXCTB'!J21)*(1/(30/7*44*6))*8</f>
        <v>4.4191919191919199E-5</v>
      </c>
      <c r="C183" s="720">
        <f>E134</f>
        <v>0</v>
      </c>
      <c r="D183" s="442">
        <f>B183*C183</f>
        <v>0</v>
      </c>
      <c r="E183" s="720">
        <f>E135</f>
        <v>0</v>
      </c>
      <c r="F183" s="442">
        <f>B183*E183</f>
        <v>0</v>
      </c>
      <c r="G183" s="720">
        <f>E136</f>
        <v>0</v>
      </c>
      <c r="H183" s="442">
        <f>B183*G183</f>
        <v>0</v>
      </c>
      <c r="I183" s="720">
        <f>E137</f>
        <v>0</v>
      </c>
      <c r="J183" s="442">
        <f>B183*I183</f>
        <v>0</v>
      </c>
      <c r="K183" s="720">
        <f>E138</f>
        <v>0</v>
      </c>
      <c r="L183" s="442">
        <f>B183*K183</f>
        <v>0</v>
      </c>
    </row>
    <row r="184" spans="1:14" x14ac:dyDescent="0.2">
      <c r="A184" s="443" t="s">
        <v>535</v>
      </c>
      <c r="B184" s="447">
        <f>B183/4</f>
        <v>1.10479797979798E-5</v>
      </c>
      <c r="C184" s="442">
        <f>F135</f>
        <v>0</v>
      </c>
      <c r="D184" s="442">
        <f>B184*C184</f>
        <v>0</v>
      </c>
      <c r="E184" s="442">
        <f>F135</f>
        <v>0</v>
      </c>
      <c r="F184" s="442">
        <f>B184*E184</f>
        <v>0</v>
      </c>
      <c r="G184" s="442">
        <f>F135</f>
        <v>0</v>
      </c>
      <c r="H184" s="442">
        <f>B184*G184</f>
        <v>0</v>
      </c>
      <c r="I184" s="442">
        <f>F135</f>
        <v>0</v>
      </c>
      <c r="J184" s="442">
        <f>B184*I184</f>
        <v>0</v>
      </c>
      <c r="K184" s="442">
        <f>F135</f>
        <v>0</v>
      </c>
      <c r="L184" s="442">
        <f>B184*K184</f>
        <v>0</v>
      </c>
      <c r="M184" s="897"/>
      <c r="N184" s="898"/>
    </row>
    <row r="185" spans="1:14" x14ac:dyDescent="0.2">
      <c r="A185" s="455" t="s">
        <v>551</v>
      </c>
      <c r="B185" s="456"/>
      <c r="C185" s="457"/>
      <c r="D185" s="458">
        <f>SUM(D183:D184)</f>
        <v>0</v>
      </c>
      <c r="E185" s="457"/>
      <c r="F185" s="458">
        <f>SUM(F183:F184)</f>
        <v>0</v>
      </c>
      <c r="G185" s="457"/>
      <c r="H185" s="458">
        <f>SUM(H183:H184)</f>
        <v>0</v>
      </c>
      <c r="I185" s="457"/>
      <c r="J185" s="458">
        <f>SUM(J183:J184)</f>
        <v>0</v>
      </c>
      <c r="K185" s="457"/>
      <c r="L185" s="458">
        <f>SUM(L183:L184)</f>
        <v>0</v>
      </c>
      <c r="M185" s="628"/>
      <c r="N185" s="629"/>
    </row>
    <row r="186" spans="1:14" x14ac:dyDescent="0.2">
      <c r="A186" s="454" t="s">
        <v>552</v>
      </c>
      <c r="B186" s="447">
        <f>1/'Prod. GEXCTB'!K21*16*(1/188.76)</f>
        <v>2.2306242401936183E-4</v>
      </c>
      <c r="C186" s="442">
        <f>C134</f>
        <v>0</v>
      </c>
      <c r="D186" s="442">
        <f>B186*C186</f>
        <v>0</v>
      </c>
      <c r="E186" s="442">
        <f>C135</f>
        <v>0</v>
      </c>
      <c r="F186" s="442">
        <f>B186*E186</f>
        <v>0</v>
      </c>
      <c r="G186" s="442">
        <f>C136</f>
        <v>0</v>
      </c>
      <c r="H186" s="442">
        <f>B186*G186</f>
        <v>0</v>
      </c>
      <c r="I186" s="442">
        <f>C137</f>
        <v>0</v>
      </c>
      <c r="J186" s="442">
        <f>B186*I186</f>
        <v>0</v>
      </c>
      <c r="K186" s="442">
        <f>C138</f>
        <v>0</v>
      </c>
      <c r="L186" s="442">
        <f>B186*K186</f>
        <v>0</v>
      </c>
    </row>
    <row r="187" spans="1:14" x14ac:dyDescent="0.2">
      <c r="A187" s="443" t="s">
        <v>535</v>
      </c>
      <c r="B187" s="447">
        <f>1/('Prod. GEXCTB'!O21*'Prod. GEXCTB'!K21)*16*(1/188.76)</f>
        <v>4.8491831308556927E-6</v>
      </c>
      <c r="C187" s="442">
        <f>F135</f>
        <v>0</v>
      </c>
      <c r="D187" s="442">
        <f>B187*C187</f>
        <v>0</v>
      </c>
      <c r="E187" s="442">
        <f>F135</f>
        <v>0</v>
      </c>
      <c r="F187" s="442">
        <f>B187*E187</f>
        <v>0</v>
      </c>
      <c r="G187" s="442">
        <f>F135</f>
        <v>0</v>
      </c>
      <c r="H187" s="442">
        <f>B187*G187</f>
        <v>0</v>
      </c>
      <c r="I187" s="442">
        <f>F135</f>
        <v>0</v>
      </c>
      <c r="J187" s="442">
        <f>B187*I187</f>
        <v>0</v>
      </c>
      <c r="K187" s="442">
        <f>F135</f>
        <v>0</v>
      </c>
      <c r="L187" s="442">
        <f>B187*K187</f>
        <v>0</v>
      </c>
      <c r="M187" s="897"/>
      <c r="N187" s="898"/>
    </row>
    <row r="188" spans="1:14" x14ac:dyDescent="0.2">
      <c r="A188" s="455" t="s">
        <v>553</v>
      </c>
      <c r="B188" s="456"/>
      <c r="C188" s="457"/>
      <c r="D188" s="458">
        <f>SUM(D186:D187)</f>
        <v>0</v>
      </c>
      <c r="E188" s="457"/>
      <c r="F188" s="458">
        <f>SUM(F186:F187)</f>
        <v>0</v>
      </c>
      <c r="G188" s="457"/>
      <c r="H188" s="458">
        <f>SUM(H186:H187)</f>
        <v>0</v>
      </c>
      <c r="I188" s="457"/>
      <c r="J188" s="458">
        <f>SUM(J186:J187)</f>
        <v>0</v>
      </c>
      <c r="K188" s="457"/>
      <c r="L188" s="458">
        <f>SUM(L186:L187)</f>
        <v>0</v>
      </c>
      <c r="M188" s="628"/>
      <c r="N188" s="629"/>
    </row>
    <row r="189" spans="1:14" x14ac:dyDescent="0.2">
      <c r="A189" s="440" t="s">
        <v>554</v>
      </c>
      <c r="B189" s="447">
        <f>1/'Prod. GEXCTB'!L21*16*(1/188.76)</f>
        <v>2.2306242401936183E-4</v>
      </c>
      <c r="C189" s="442">
        <f>C134</f>
        <v>0</v>
      </c>
      <c r="D189" s="442">
        <f>B189*C189</f>
        <v>0</v>
      </c>
      <c r="E189" s="442">
        <f>C135</f>
        <v>0</v>
      </c>
      <c r="F189" s="442">
        <f>B189*E189</f>
        <v>0</v>
      </c>
      <c r="G189" s="442">
        <f>C136</f>
        <v>0</v>
      </c>
      <c r="H189" s="442">
        <f>B189*G189</f>
        <v>0</v>
      </c>
      <c r="I189" s="442">
        <f>C137</f>
        <v>0</v>
      </c>
      <c r="J189" s="442">
        <f>B189*I189</f>
        <v>0</v>
      </c>
      <c r="K189" s="442">
        <f>C138</f>
        <v>0</v>
      </c>
      <c r="L189" s="442">
        <f>B189*K189</f>
        <v>0</v>
      </c>
    </row>
    <row r="190" spans="1:14" x14ac:dyDescent="0.2">
      <c r="A190" s="443" t="s">
        <v>535</v>
      </c>
      <c r="B190" s="447">
        <f>1/('Prod. GEXCTB'!O21*'Prod. GEXCTB'!L21)*16*(1/188.76)</f>
        <v>4.8491831308556927E-6</v>
      </c>
      <c r="C190" s="442">
        <f>F135</f>
        <v>0</v>
      </c>
      <c r="D190" s="442">
        <f>B190*C190</f>
        <v>0</v>
      </c>
      <c r="E190" s="442">
        <f>F135</f>
        <v>0</v>
      </c>
      <c r="F190" s="442">
        <f>B190*E190</f>
        <v>0</v>
      </c>
      <c r="G190" s="442">
        <f>F135</f>
        <v>0</v>
      </c>
      <c r="H190" s="442">
        <f>B190*G190</f>
        <v>0</v>
      </c>
      <c r="I190" s="442">
        <f>F135</f>
        <v>0</v>
      </c>
      <c r="J190" s="442">
        <f>B190*I190</f>
        <v>0</v>
      </c>
      <c r="K190" s="442">
        <f>F135</f>
        <v>0</v>
      </c>
      <c r="L190" s="442">
        <f>B190*K190</f>
        <v>0</v>
      </c>
      <c r="M190" s="897"/>
      <c r="N190" s="898"/>
    </row>
    <row r="191" spans="1:14" x14ac:dyDescent="0.2">
      <c r="A191" s="455" t="s">
        <v>555</v>
      </c>
      <c r="B191" s="456"/>
      <c r="C191" s="457"/>
      <c r="D191" s="458">
        <f>SUM(D189:D190)</f>
        <v>0</v>
      </c>
      <c r="E191" s="457"/>
      <c r="F191" s="458">
        <f>SUM(F189:F190)</f>
        <v>0</v>
      </c>
      <c r="G191" s="457"/>
      <c r="H191" s="458">
        <f>SUM(H189:H190)</f>
        <v>0</v>
      </c>
      <c r="I191" s="457"/>
      <c r="J191" s="458">
        <f>SUM(J189:J190)</f>
        <v>0</v>
      </c>
      <c r="K191" s="457"/>
      <c r="L191" s="458">
        <f>SUM(L189:L190)</f>
        <v>0</v>
      </c>
      <c r="M191" s="628"/>
      <c r="N191" s="629"/>
    </row>
    <row r="192" spans="1:14" x14ac:dyDescent="0.2">
      <c r="A192" s="386"/>
    </row>
  </sheetData>
  <mergeCells count="68">
    <mergeCell ref="A1:F1"/>
    <mergeCell ref="A2:F2"/>
    <mergeCell ref="A3:F3"/>
    <mergeCell ref="A9:F9"/>
    <mergeCell ref="A20:B20"/>
    <mergeCell ref="A21:F21"/>
    <mergeCell ref="A50:B50"/>
    <mergeCell ref="A51:F51"/>
    <mergeCell ref="A61:B61"/>
    <mergeCell ref="A62:F62"/>
    <mergeCell ref="A92:B92"/>
    <mergeCell ref="A112:A116"/>
    <mergeCell ref="A119:F119"/>
    <mergeCell ref="A120:F120"/>
    <mergeCell ref="A121:B121"/>
    <mergeCell ref="A122:B122"/>
    <mergeCell ref="A123:B123"/>
    <mergeCell ref="A124:B124"/>
    <mergeCell ref="A125:B125"/>
    <mergeCell ref="A126:B126"/>
    <mergeCell ref="A132:B132"/>
    <mergeCell ref="A133:B133"/>
    <mergeCell ref="A145:B145"/>
    <mergeCell ref="C145:D145"/>
    <mergeCell ref="A127:B127"/>
    <mergeCell ref="A128:B128"/>
    <mergeCell ref="A129:B129"/>
    <mergeCell ref="A130:B130"/>
    <mergeCell ref="A131:B131"/>
    <mergeCell ref="G145:H145"/>
    <mergeCell ref="I145:J145"/>
    <mergeCell ref="K145:L145"/>
    <mergeCell ref="A151:B151"/>
    <mergeCell ref="C151:D151"/>
    <mergeCell ref="E151:F151"/>
    <mergeCell ref="G151:H151"/>
    <mergeCell ref="I151:J151"/>
    <mergeCell ref="K151:L151"/>
    <mergeCell ref="E145:F145"/>
    <mergeCell ref="K157:L157"/>
    <mergeCell ref="A163:B163"/>
    <mergeCell ref="C163:D163"/>
    <mergeCell ref="E163:F163"/>
    <mergeCell ref="G163:H163"/>
    <mergeCell ref="I163:J163"/>
    <mergeCell ref="K163:L163"/>
    <mergeCell ref="A157:B157"/>
    <mergeCell ref="C157:D157"/>
    <mergeCell ref="E157:F157"/>
    <mergeCell ref="G157:H157"/>
    <mergeCell ref="I157:J157"/>
    <mergeCell ref="I169:J169"/>
    <mergeCell ref="K169:L169"/>
    <mergeCell ref="A169:B169"/>
    <mergeCell ref="C169:D169"/>
    <mergeCell ref="E181:F181"/>
    <mergeCell ref="G181:H181"/>
    <mergeCell ref="I181:J181"/>
    <mergeCell ref="K181:L181"/>
    <mergeCell ref="A181:B181"/>
    <mergeCell ref="C181:D181"/>
    <mergeCell ref="E169:F169"/>
    <mergeCell ref="G169:H169"/>
    <mergeCell ref="M187:N187"/>
    <mergeCell ref="M184:N184"/>
    <mergeCell ref="M190:N190"/>
    <mergeCell ref="M148:N148"/>
    <mergeCell ref="M172:N172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E144"/>
  <sheetViews>
    <sheetView topLeftCell="A23" zoomScale="80" zoomScaleNormal="80" workbookViewId="0">
      <selection activeCell="B39" sqref="B39"/>
    </sheetView>
  </sheetViews>
  <sheetFormatPr defaultRowHeight="14.25" x14ac:dyDescent="0.2"/>
  <cols>
    <col min="1" max="1" width="55.5" style="104" customWidth="1"/>
    <col min="2" max="2" width="17" style="104" customWidth="1"/>
    <col min="3" max="3" width="15.25" style="104" customWidth="1"/>
    <col min="4" max="4" width="16.25" style="104" customWidth="1"/>
    <col min="5" max="1019" width="9" style="104"/>
  </cols>
  <sheetData>
    <row r="1" spans="1:4" ht="15.75" x14ac:dyDescent="0.2">
      <c r="A1" s="940" t="s">
        <v>412</v>
      </c>
      <c r="B1" s="941"/>
      <c r="C1" s="941"/>
      <c r="D1" s="942"/>
    </row>
    <row r="2" spans="1:4" ht="15.75" x14ac:dyDescent="0.2">
      <c r="A2" s="943" t="s">
        <v>413</v>
      </c>
      <c r="B2" s="924"/>
      <c r="C2" s="924"/>
      <c r="D2" s="944"/>
    </row>
    <row r="3" spans="1:4" ht="15.75" customHeight="1" x14ac:dyDescent="0.2">
      <c r="A3" s="943" t="s">
        <v>414</v>
      </c>
      <c r="B3" s="924"/>
      <c r="C3" s="924"/>
      <c r="D3" s="944"/>
    </row>
    <row r="4" spans="1:4" ht="15.75" x14ac:dyDescent="0.2">
      <c r="A4" s="541"/>
      <c r="B4" s="106"/>
      <c r="C4" s="107" t="s">
        <v>415</v>
      </c>
      <c r="D4" s="542" t="s">
        <v>416</v>
      </c>
    </row>
    <row r="5" spans="1:4" x14ac:dyDescent="0.2">
      <c r="A5" s="543"/>
      <c r="B5" s="109" t="s">
        <v>419</v>
      </c>
      <c r="C5" s="110">
        <f>MC!D11</f>
        <v>0</v>
      </c>
      <c r="D5" s="544">
        <f>MC!E11</f>
        <v>0</v>
      </c>
    </row>
    <row r="6" spans="1:4" x14ac:dyDescent="0.2">
      <c r="A6" s="543"/>
      <c r="B6" s="109" t="s">
        <v>420</v>
      </c>
      <c r="C6" s="111">
        <f>MC!D8</f>
        <v>0</v>
      </c>
      <c r="D6" s="545">
        <f>MC!D8</f>
        <v>0</v>
      </c>
    </row>
    <row r="7" spans="1:4" x14ac:dyDescent="0.2">
      <c r="A7" s="543"/>
      <c r="B7" s="109" t="s">
        <v>421</v>
      </c>
      <c r="C7" s="111">
        <f>MC!C8</f>
        <v>0</v>
      </c>
      <c r="D7" s="545">
        <f>MC!C8</f>
        <v>0</v>
      </c>
    </row>
    <row r="8" spans="1:4" x14ac:dyDescent="0.2">
      <c r="A8" s="543"/>
      <c r="B8" s="109" t="s">
        <v>422</v>
      </c>
      <c r="C8" s="112">
        <f>MC!E8</f>
        <v>0</v>
      </c>
      <c r="D8" s="546">
        <f>MC!E8</f>
        <v>0</v>
      </c>
    </row>
    <row r="9" spans="1:4" x14ac:dyDescent="0.2">
      <c r="A9" s="945"/>
      <c r="B9" s="925"/>
      <c r="C9" s="925"/>
      <c r="D9" s="946"/>
    </row>
    <row r="10" spans="1:4" ht="66.75" customHeight="1" x14ac:dyDescent="0.2">
      <c r="A10" s="547" t="s">
        <v>423</v>
      </c>
      <c r="B10" s="315" t="s">
        <v>424</v>
      </c>
      <c r="C10" s="315" t="s">
        <v>556</v>
      </c>
      <c r="D10" s="548" t="s">
        <v>557</v>
      </c>
    </row>
    <row r="11" spans="1:4" ht="14.25" customHeight="1" x14ac:dyDescent="0.2">
      <c r="A11" s="549" t="s">
        <v>428</v>
      </c>
      <c r="B11" s="498"/>
      <c r="C11" s="498"/>
      <c r="D11" s="550"/>
    </row>
    <row r="12" spans="1:4" ht="14.25" customHeight="1" x14ac:dyDescent="0.2">
      <c r="A12" s="551" t="s">
        <v>429</v>
      </c>
      <c r="B12" s="114" t="s">
        <v>430</v>
      </c>
      <c r="C12" s="114" t="s">
        <v>431</v>
      </c>
      <c r="D12" s="552" t="s">
        <v>431</v>
      </c>
    </row>
    <row r="13" spans="1:4" ht="14.25" customHeight="1" x14ac:dyDescent="0.2">
      <c r="A13" s="553" t="s">
        <v>432</v>
      </c>
      <c r="B13" s="117"/>
      <c r="C13" s="118">
        <f>C5</f>
        <v>0</v>
      </c>
      <c r="D13" s="554">
        <f>D5</f>
        <v>0</v>
      </c>
    </row>
    <row r="14" spans="1:4" ht="14.25" customHeight="1" x14ac:dyDescent="0.2">
      <c r="A14" s="553" t="s">
        <v>433</v>
      </c>
      <c r="B14" s="120">
        <v>0</v>
      </c>
      <c r="C14" s="118">
        <f>C13*$B$14</f>
        <v>0</v>
      </c>
      <c r="D14" s="554">
        <f>D13*$B$14</f>
        <v>0</v>
      </c>
    </row>
    <row r="15" spans="1:4" ht="14.25" customHeight="1" x14ac:dyDescent="0.2">
      <c r="A15" s="553" t="s">
        <v>434</v>
      </c>
      <c r="B15" s="121"/>
      <c r="C15" s="118"/>
      <c r="D15" s="554"/>
    </row>
    <row r="16" spans="1:4" ht="14.25" customHeight="1" x14ac:dyDescent="0.2">
      <c r="A16" s="553" t="s">
        <v>435</v>
      </c>
      <c r="B16" s="121"/>
      <c r="C16" s="118"/>
      <c r="D16" s="554"/>
    </row>
    <row r="17" spans="1:4" ht="14.25" customHeight="1" x14ac:dyDescent="0.2">
      <c r="A17" s="553" t="s">
        <v>436</v>
      </c>
      <c r="B17" s="121"/>
      <c r="C17" s="118"/>
      <c r="D17" s="554"/>
    </row>
    <row r="18" spans="1:4" ht="14.25" customHeight="1" x14ac:dyDescent="0.2">
      <c r="A18" s="553" t="s">
        <v>437</v>
      </c>
      <c r="B18" s="122"/>
      <c r="C18" s="118"/>
      <c r="D18" s="554"/>
    </row>
    <row r="19" spans="1:4" ht="14.25" customHeight="1" x14ac:dyDescent="0.2">
      <c r="A19" s="555" t="s">
        <v>438</v>
      </c>
      <c r="B19" s="124"/>
      <c r="C19" s="133">
        <f>SUM(C13:C18)</f>
        <v>0</v>
      </c>
      <c r="D19" s="556">
        <f>SUM(D13:D18)</f>
        <v>0</v>
      </c>
    </row>
    <row r="20" spans="1:4" ht="14.25" customHeight="1" x14ac:dyDescent="0.2">
      <c r="A20" s="929"/>
      <c r="B20" s="917"/>
      <c r="C20" s="126"/>
      <c r="D20" s="558"/>
    </row>
    <row r="21" spans="1:4" ht="14.25" customHeight="1" x14ac:dyDescent="0.2">
      <c r="A21" s="930" t="s">
        <v>439</v>
      </c>
      <c r="B21" s="922"/>
      <c r="C21" s="922"/>
      <c r="D21" s="931"/>
    </row>
    <row r="22" spans="1:4" ht="14.25" customHeight="1" x14ac:dyDescent="0.2">
      <c r="A22" s="559" t="s">
        <v>440</v>
      </c>
      <c r="B22" s="129" t="s">
        <v>430</v>
      </c>
      <c r="C22" s="129" t="s">
        <v>431</v>
      </c>
      <c r="D22" s="560" t="s">
        <v>431</v>
      </c>
    </row>
    <row r="23" spans="1:4" ht="14.25" customHeight="1" x14ac:dyDescent="0.2">
      <c r="A23" s="561" t="s">
        <v>441</v>
      </c>
      <c r="B23" s="120">
        <f>1/12</f>
        <v>8.3333333333333329E-2</v>
      </c>
      <c r="C23" s="118">
        <f>ROUND($B23*C$19,2)</f>
        <v>0</v>
      </c>
      <c r="D23" s="554">
        <f>ROUND($B23*D$19,2)</f>
        <v>0</v>
      </c>
    </row>
    <row r="24" spans="1:4" ht="14.25" customHeight="1" x14ac:dyDescent="0.2">
      <c r="A24" s="561" t="s">
        <v>442</v>
      </c>
      <c r="B24" s="120">
        <f>1/3*1/12</f>
        <v>2.7777777777777776E-2</v>
      </c>
      <c r="C24" s="118">
        <f>C$19*$B$24</f>
        <v>0</v>
      </c>
      <c r="D24" s="554">
        <f>D$19*$B$24</f>
        <v>0</v>
      </c>
    </row>
    <row r="25" spans="1:4" ht="14.25" customHeight="1" x14ac:dyDescent="0.2">
      <c r="A25" s="555" t="s">
        <v>438</v>
      </c>
      <c r="B25" s="132">
        <f>SUM(B23:B24)</f>
        <v>0.1111111111111111</v>
      </c>
      <c r="C25" s="133">
        <f>SUM(C23:C24)</f>
        <v>0</v>
      </c>
      <c r="D25" s="556">
        <f>SUM(D23:D24)</f>
        <v>0</v>
      </c>
    </row>
    <row r="26" spans="1:4" ht="14.25" customHeight="1" x14ac:dyDescent="0.2">
      <c r="A26" s="559" t="s">
        <v>443</v>
      </c>
      <c r="B26" s="129" t="s">
        <v>430</v>
      </c>
      <c r="C26" s="129" t="s">
        <v>431</v>
      </c>
      <c r="D26" s="560" t="s">
        <v>431</v>
      </c>
    </row>
    <row r="27" spans="1:4" ht="14.25" customHeight="1" x14ac:dyDescent="0.2">
      <c r="A27" s="559" t="s">
        <v>444</v>
      </c>
      <c r="B27" s="135"/>
      <c r="C27" s="135"/>
      <c r="D27" s="562"/>
    </row>
    <row r="28" spans="1:4" ht="14.25" customHeight="1" x14ac:dyDescent="0.2">
      <c r="A28" s="561" t="s">
        <v>445</v>
      </c>
      <c r="B28" s="120">
        <v>0.2</v>
      </c>
      <c r="C28" s="137">
        <f t="shared" ref="C28:C35" si="0">ROUND(($C$19+$C$25)*B28,2)</f>
        <v>0</v>
      </c>
      <c r="D28" s="563">
        <f t="shared" ref="D28:D35" si="1">ROUND(($D$19+$D$25)*B28,2)</f>
        <v>0</v>
      </c>
    </row>
    <row r="29" spans="1:4" ht="14.25" customHeight="1" x14ac:dyDescent="0.2">
      <c r="A29" s="561" t="s">
        <v>446</v>
      </c>
      <c r="B29" s="120">
        <v>2.5000000000000001E-2</v>
      </c>
      <c r="C29" s="137">
        <f t="shared" si="0"/>
        <v>0</v>
      </c>
      <c r="D29" s="563">
        <f t="shared" si="1"/>
        <v>0</v>
      </c>
    </row>
    <row r="30" spans="1:4" ht="14.25" customHeight="1" x14ac:dyDescent="0.2">
      <c r="A30" s="561" t="s">
        <v>447</v>
      </c>
      <c r="B30" s="120">
        <v>0.03</v>
      </c>
      <c r="C30" s="137">
        <f t="shared" si="0"/>
        <v>0</v>
      </c>
      <c r="D30" s="563">
        <f t="shared" si="1"/>
        <v>0</v>
      </c>
    </row>
    <row r="31" spans="1:4" ht="14.25" customHeight="1" x14ac:dyDescent="0.2">
      <c r="A31" s="561" t="s">
        <v>448</v>
      </c>
      <c r="B31" s="120">
        <v>1.4999999999999999E-2</v>
      </c>
      <c r="C31" s="137">
        <f t="shared" si="0"/>
        <v>0</v>
      </c>
      <c r="D31" s="563">
        <f t="shared" si="1"/>
        <v>0</v>
      </c>
    </row>
    <row r="32" spans="1:4" ht="14.25" customHeight="1" x14ac:dyDescent="0.2">
      <c r="A32" s="561" t="s">
        <v>449</v>
      </c>
      <c r="B32" s="120">
        <v>0.01</v>
      </c>
      <c r="C32" s="137">
        <f t="shared" si="0"/>
        <v>0</v>
      </c>
      <c r="D32" s="563">
        <f t="shared" si="1"/>
        <v>0</v>
      </c>
    </row>
    <row r="33" spans="1:4" ht="14.25" customHeight="1" x14ac:dyDescent="0.2">
      <c r="A33" s="561" t="s">
        <v>450</v>
      </c>
      <c r="B33" s="120">
        <v>6.0000000000000001E-3</v>
      </c>
      <c r="C33" s="137">
        <f t="shared" si="0"/>
        <v>0</v>
      </c>
      <c r="D33" s="563">
        <f t="shared" si="1"/>
        <v>0</v>
      </c>
    </row>
    <row r="34" spans="1:4" ht="14.25" customHeight="1" x14ac:dyDescent="0.2">
      <c r="A34" s="561" t="s">
        <v>451</v>
      </c>
      <c r="B34" s="120">
        <v>2E-3</v>
      </c>
      <c r="C34" s="137">
        <f t="shared" si="0"/>
        <v>0</v>
      </c>
      <c r="D34" s="563">
        <f t="shared" si="1"/>
        <v>0</v>
      </c>
    </row>
    <row r="35" spans="1:4" ht="14.25" customHeight="1" x14ac:dyDescent="0.2">
      <c r="A35" s="561" t="s">
        <v>452</v>
      </c>
      <c r="B35" s="120">
        <v>0.08</v>
      </c>
      <c r="C35" s="137">
        <f t="shared" si="0"/>
        <v>0</v>
      </c>
      <c r="D35" s="563">
        <f t="shared" si="1"/>
        <v>0</v>
      </c>
    </row>
    <row r="36" spans="1:4" ht="14.25" customHeight="1" x14ac:dyDescent="0.2">
      <c r="A36" s="555" t="s">
        <v>438</v>
      </c>
      <c r="B36" s="132">
        <f>SUM(B28:B35)</f>
        <v>0.36800000000000005</v>
      </c>
      <c r="C36" s="133">
        <f>SUM(C27:C35)</f>
        <v>0</v>
      </c>
      <c r="D36" s="556">
        <f>SUM(D27:D35)</f>
        <v>0</v>
      </c>
    </row>
    <row r="37" spans="1:4" ht="14.25" customHeight="1" x14ac:dyDescent="0.2">
      <c r="A37" s="559" t="s">
        <v>453</v>
      </c>
      <c r="B37" s="129" t="s">
        <v>454</v>
      </c>
      <c r="C37" s="129" t="s">
        <v>431</v>
      </c>
      <c r="D37" s="560" t="s">
        <v>431</v>
      </c>
    </row>
    <row r="38" spans="1:4" ht="14.25" customHeight="1" x14ac:dyDescent="0.2">
      <c r="A38" s="561" t="s">
        <v>455</v>
      </c>
      <c r="B38" s="139">
        <f>MC!D85</f>
        <v>0</v>
      </c>
      <c r="C38" s="118">
        <f>ROUND(((2*22*$B$38)-0.06*C$13),2)</f>
        <v>0</v>
      </c>
      <c r="D38" s="554">
        <f>ROUND(((2*22*$B$38)-0.06*D$13),2)</f>
        <v>0</v>
      </c>
    </row>
    <row r="39" spans="1:4" ht="14.25" customHeight="1" x14ac:dyDescent="0.2">
      <c r="A39" s="561" t="s">
        <v>456</v>
      </c>
      <c r="B39" s="140"/>
      <c r="C39" s="137">
        <f>MC!E16</f>
        <v>0</v>
      </c>
      <c r="D39" s="563">
        <f>MC!E17</f>
        <v>0</v>
      </c>
    </row>
    <row r="40" spans="1:4" ht="14.25" customHeight="1" x14ac:dyDescent="0.2">
      <c r="A40" s="561" t="s">
        <v>457</v>
      </c>
      <c r="B40" s="120">
        <f>MC!C21</f>
        <v>0</v>
      </c>
      <c r="C40" s="137"/>
      <c r="D40" s="563"/>
    </row>
    <row r="41" spans="1:4" ht="14.25" customHeight="1" x14ac:dyDescent="0.2">
      <c r="A41" s="561" t="s">
        <v>458</v>
      </c>
      <c r="B41" s="141">
        <f>MC!E23</f>
        <v>0</v>
      </c>
      <c r="C41" s="137">
        <f>B41</f>
        <v>0</v>
      </c>
      <c r="D41" s="563">
        <f>B41</f>
        <v>0</v>
      </c>
    </row>
    <row r="42" spans="1:4" ht="14.25" customHeight="1" x14ac:dyDescent="0.2">
      <c r="A42" s="561" t="s">
        <v>459</v>
      </c>
      <c r="B42" s="141">
        <f>MC!E24</f>
        <v>0</v>
      </c>
      <c r="C42" s="137">
        <f>B42</f>
        <v>0</v>
      </c>
      <c r="D42" s="563">
        <f>B42</f>
        <v>0</v>
      </c>
    </row>
    <row r="43" spans="1:4" ht="14.25" customHeight="1" x14ac:dyDescent="0.2">
      <c r="A43" s="561" t="s">
        <v>460</v>
      </c>
      <c r="B43" s="120"/>
      <c r="C43" s="137"/>
      <c r="D43" s="563"/>
    </row>
    <row r="44" spans="1:4" ht="14.25" customHeight="1" x14ac:dyDescent="0.2">
      <c r="A44" s="555" t="s">
        <v>438</v>
      </c>
      <c r="B44" s="124"/>
      <c r="C44" s="133">
        <f>SUM(C38:C43)</f>
        <v>0</v>
      </c>
      <c r="D44" s="556">
        <f>SUM(D38:D43)</f>
        <v>0</v>
      </c>
    </row>
    <row r="45" spans="1:4" ht="14.25" customHeight="1" x14ac:dyDescent="0.2">
      <c r="A45" s="551" t="s">
        <v>461</v>
      </c>
      <c r="B45" s="114" t="s">
        <v>430</v>
      </c>
      <c r="C45" s="114" t="s">
        <v>431</v>
      </c>
      <c r="D45" s="552" t="s">
        <v>431</v>
      </c>
    </row>
    <row r="46" spans="1:4" ht="14.25" customHeight="1" x14ac:dyDescent="0.2">
      <c r="A46" s="561" t="s">
        <v>440</v>
      </c>
      <c r="B46" s="142">
        <f>B25</f>
        <v>0.1111111111111111</v>
      </c>
      <c r="C46" s="143">
        <f>C25</f>
        <v>0</v>
      </c>
      <c r="D46" s="564">
        <f>D25</f>
        <v>0</v>
      </c>
    </row>
    <row r="47" spans="1:4" ht="14.25" customHeight="1" x14ac:dyDescent="0.2">
      <c r="A47" s="561" t="s">
        <v>462</v>
      </c>
      <c r="B47" s="142">
        <f>B36</f>
        <v>0.36800000000000005</v>
      </c>
      <c r="C47" s="143">
        <f>C36</f>
        <v>0</v>
      </c>
      <c r="D47" s="564">
        <f>D36</f>
        <v>0</v>
      </c>
    </row>
    <row r="48" spans="1:4" ht="14.25" customHeight="1" x14ac:dyDescent="0.2">
      <c r="A48" s="561" t="s">
        <v>453</v>
      </c>
      <c r="B48" s="142"/>
      <c r="C48" s="143">
        <f>C44</f>
        <v>0</v>
      </c>
      <c r="D48" s="564">
        <f>D44</f>
        <v>0</v>
      </c>
    </row>
    <row r="49" spans="1:4" ht="14.25" customHeight="1" x14ac:dyDescent="0.2">
      <c r="A49" s="555" t="s">
        <v>438</v>
      </c>
      <c r="B49" s="124"/>
      <c r="C49" s="133">
        <f>SUM(C46:C48)</f>
        <v>0</v>
      </c>
      <c r="D49" s="556">
        <f>SUM(D46:D48)</f>
        <v>0</v>
      </c>
    </row>
    <row r="50" spans="1:4" ht="14.25" customHeight="1" x14ac:dyDescent="0.2">
      <c r="A50" s="929"/>
      <c r="B50" s="917"/>
      <c r="C50" s="126"/>
      <c r="D50" s="558"/>
    </row>
    <row r="51" spans="1:4" s="145" customFormat="1" ht="14.25" customHeight="1" x14ac:dyDescent="0.2">
      <c r="A51" s="930" t="s">
        <v>463</v>
      </c>
      <c r="B51" s="922"/>
      <c r="C51" s="922"/>
      <c r="D51" s="931"/>
    </row>
    <row r="52" spans="1:4" ht="14.25" customHeight="1" x14ac:dyDescent="0.2">
      <c r="A52" s="551" t="s">
        <v>464</v>
      </c>
      <c r="B52" s="114" t="s">
        <v>430</v>
      </c>
      <c r="C52" s="114" t="s">
        <v>431</v>
      </c>
      <c r="D52" s="552" t="s">
        <v>431</v>
      </c>
    </row>
    <row r="53" spans="1:4" ht="14.25" customHeight="1" x14ac:dyDescent="0.2">
      <c r="A53" s="559" t="s">
        <v>465</v>
      </c>
      <c r="B53" s="146"/>
      <c r="C53" s="146"/>
      <c r="D53" s="565"/>
    </row>
    <row r="54" spans="1:4" ht="14.25" customHeight="1" x14ac:dyDescent="0.2">
      <c r="A54" s="561" t="s">
        <v>466</v>
      </c>
      <c r="B54" s="142">
        <f>1/12*0.05</f>
        <v>4.1666666666666666E-3</v>
      </c>
      <c r="C54" s="148">
        <f>C19*$B54</f>
        <v>0</v>
      </c>
      <c r="D54" s="566">
        <f t="shared" ref="D54" si="2">D19*$B54</f>
        <v>0</v>
      </c>
    </row>
    <row r="55" spans="1:4" ht="14.25" customHeight="1" x14ac:dyDescent="0.2">
      <c r="A55" s="561" t="s">
        <v>467</v>
      </c>
      <c r="B55" s="142">
        <f>B35*B54</f>
        <v>3.3333333333333332E-4</v>
      </c>
      <c r="C55" s="148">
        <f>$B$55*C19</f>
        <v>0</v>
      </c>
      <c r="D55" s="566">
        <f t="shared" ref="D55" si="3">$B$55*D19</f>
        <v>0</v>
      </c>
    </row>
    <row r="56" spans="1:4" ht="14.25" customHeight="1" x14ac:dyDescent="0.2">
      <c r="A56" s="561" t="s">
        <v>468</v>
      </c>
      <c r="B56" s="142">
        <v>0</v>
      </c>
      <c r="C56" s="148">
        <f>C35*$B56</f>
        <v>0</v>
      </c>
      <c r="D56" s="566">
        <f t="shared" ref="D56" si="4">D35*$B56</f>
        <v>0</v>
      </c>
    </row>
    <row r="57" spans="1:4" ht="14.25" customHeight="1" x14ac:dyDescent="0.2">
      <c r="A57" s="561" t="s">
        <v>469</v>
      </c>
      <c r="B57" s="142">
        <f>1/12*1/30*7</f>
        <v>1.9444444444444441E-2</v>
      </c>
      <c r="C57" s="143">
        <f>C19*$B57</f>
        <v>0</v>
      </c>
      <c r="D57" s="564">
        <f t="shared" ref="D57" si="5">D19*$B57</f>
        <v>0</v>
      </c>
    </row>
    <row r="58" spans="1:4" ht="14.25" customHeight="1" x14ac:dyDescent="0.2">
      <c r="A58" s="561" t="s">
        <v>470</v>
      </c>
      <c r="B58" s="142">
        <f>B36*B57</f>
        <v>7.1555555555555556E-3</v>
      </c>
      <c r="C58" s="143">
        <f>$B58*C19</f>
        <v>0</v>
      </c>
      <c r="D58" s="564">
        <f t="shared" ref="D58" si="6">$B58*D19</f>
        <v>0</v>
      </c>
    </row>
    <row r="59" spans="1:4" ht="14.25" customHeight="1" x14ac:dyDescent="0.2">
      <c r="A59" s="561" t="s">
        <v>471</v>
      </c>
      <c r="B59" s="142">
        <f>B35*40/100*90/100*(1+1/12+1/12+1/3*1/12)</f>
        <v>3.4399999999999993E-2</v>
      </c>
      <c r="C59" s="143">
        <f>C19*$B59</f>
        <v>0</v>
      </c>
      <c r="D59" s="564">
        <f t="shared" ref="D59" si="7">D19*$B59</f>
        <v>0</v>
      </c>
    </row>
    <row r="60" spans="1:4" ht="14.25" customHeight="1" x14ac:dyDescent="0.2">
      <c r="A60" s="555" t="s">
        <v>438</v>
      </c>
      <c r="B60" s="132">
        <f>SUM(B54:B59)</f>
        <v>6.5499999999999989E-2</v>
      </c>
      <c r="C60" s="149">
        <f>SUM(C54:C59)</f>
        <v>0</v>
      </c>
      <c r="D60" s="567">
        <f>SUM(D54:D59)</f>
        <v>0</v>
      </c>
    </row>
    <row r="61" spans="1:4" ht="14.25" customHeight="1" x14ac:dyDescent="0.2">
      <c r="A61" s="929"/>
      <c r="B61" s="917"/>
      <c r="C61" s="499"/>
      <c r="D61" s="568"/>
    </row>
    <row r="62" spans="1:4" ht="14.25" customHeight="1" x14ac:dyDescent="0.2">
      <c r="A62" s="930" t="s">
        <v>472</v>
      </c>
      <c r="B62" s="922"/>
      <c r="C62" s="922"/>
      <c r="D62" s="931"/>
    </row>
    <row r="63" spans="1:4" ht="14.25" customHeight="1" x14ac:dyDescent="0.2">
      <c r="A63" s="559" t="s">
        <v>39</v>
      </c>
      <c r="B63" s="129"/>
      <c r="C63" s="129"/>
      <c r="D63" s="560"/>
    </row>
    <row r="64" spans="1:4" ht="14.25" customHeight="1" x14ac:dyDescent="0.2">
      <c r="A64" s="561" t="s">
        <v>40</v>
      </c>
      <c r="B64" s="120">
        <f>1/12</f>
        <v>8.3333333333333329E-2</v>
      </c>
      <c r="C64" s="137">
        <f>B64*($C$19+$C$49+$C$60)</f>
        <v>0</v>
      </c>
      <c r="D64" s="563">
        <f>B64*($D$19+$D$49+$D$60)</f>
        <v>0</v>
      </c>
    </row>
    <row r="65" spans="1:4" ht="14.25" customHeight="1" x14ac:dyDescent="0.2">
      <c r="A65" s="561" t="s">
        <v>473</v>
      </c>
      <c r="B65" s="120">
        <f>MC!E51/30/12</f>
        <v>1.3538888888888885E-2</v>
      </c>
      <c r="C65" s="137">
        <f>B65*($C$19+$C$49+$C$60)</f>
        <v>0</v>
      </c>
      <c r="D65" s="563">
        <f>B65*($D$19+$D$49+$D$60)</f>
        <v>0</v>
      </c>
    </row>
    <row r="66" spans="1:4" ht="14.25" customHeight="1" x14ac:dyDescent="0.2">
      <c r="A66" s="561" t="s">
        <v>474</v>
      </c>
      <c r="B66" s="151">
        <f>(5/30)/12*MC!F53*MC!C54</f>
        <v>1.0764583333333333E-4</v>
      </c>
      <c r="C66" s="137">
        <f>B66*($C$19+$C$49+$C$60)</f>
        <v>0</v>
      </c>
      <c r="D66" s="563">
        <f>B66*($D$19+$D$49+$D$60)</f>
        <v>0</v>
      </c>
    </row>
    <row r="67" spans="1:4" ht="14.25" customHeight="1" x14ac:dyDescent="0.2">
      <c r="A67" s="561" t="s">
        <v>475</v>
      </c>
      <c r="B67" s="151">
        <f>MC!C56/30/12</f>
        <v>2.6830555555555553E-3</v>
      </c>
      <c r="C67" s="137">
        <f>B67*($C$19+$C$49+$C$60)</f>
        <v>0</v>
      </c>
      <c r="D67" s="563">
        <f>B67*($D$19+$D$49+$D$60)</f>
        <v>0</v>
      </c>
    </row>
    <row r="68" spans="1:4" ht="14.25" customHeight="1" x14ac:dyDescent="0.2">
      <c r="A68" s="561" t="s">
        <v>476</v>
      </c>
      <c r="B68" s="120"/>
      <c r="C68" s="137"/>
      <c r="D68" s="563"/>
    </row>
    <row r="69" spans="1:4" ht="14.25" customHeight="1" x14ac:dyDescent="0.2">
      <c r="A69" s="569" t="s">
        <v>477</v>
      </c>
      <c r="B69" s="153">
        <f>SUM(B64:B68)</f>
        <v>9.9662923611111107E-2</v>
      </c>
      <c r="C69" s="154">
        <f>SUM(C64:C68)</f>
        <v>0</v>
      </c>
      <c r="D69" s="570">
        <f>SUM(D64:D68)</f>
        <v>0</v>
      </c>
    </row>
    <row r="70" spans="1:4" ht="14.25" customHeight="1" x14ac:dyDescent="0.2">
      <c r="A70" s="559" t="s">
        <v>478</v>
      </c>
      <c r="B70" s="129"/>
      <c r="C70" s="129"/>
      <c r="D70" s="560"/>
    </row>
    <row r="71" spans="1:4" ht="14.25" customHeight="1" x14ac:dyDescent="0.2">
      <c r="A71" s="561" t="s">
        <v>479</v>
      </c>
      <c r="B71" s="120"/>
      <c r="C71" s="137"/>
      <c r="D71" s="563"/>
    </row>
    <row r="72" spans="1:4" ht="14.25" customHeight="1" x14ac:dyDescent="0.2">
      <c r="A72" s="569" t="s">
        <v>477</v>
      </c>
      <c r="B72" s="153"/>
      <c r="C72" s="154">
        <f>C71</f>
        <v>0</v>
      </c>
      <c r="D72" s="570"/>
    </row>
    <row r="73" spans="1:4" ht="14.25" customHeight="1" x14ac:dyDescent="0.2">
      <c r="A73" s="559" t="s">
        <v>61</v>
      </c>
      <c r="B73" s="129"/>
      <c r="C73" s="129"/>
      <c r="D73" s="560"/>
    </row>
    <row r="74" spans="1:4" ht="14.25" customHeight="1" x14ac:dyDescent="0.2">
      <c r="A74" s="561" t="s">
        <v>62</v>
      </c>
      <c r="B74" s="120">
        <f>120/30*MC!C59*MC!C60</f>
        <v>6.18624E-3</v>
      </c>
      <c r="C74" s="137">
        <f>(((C19*2)+ (C19*1/3))+(C36)+(C44-C38-C39))*$B$74</f>
        <v>0</v>
      </c>
      <c r="D74" s="563">
        <f>(((D19*2)+ (D19*1/3))+(D36)+(D44-D38-D39))*$B$74</f>
        <v>0</v>
      </c>
    </row>
    <row r="75" spans="1:4" ht="14.25" customHeight="1" x14ac:dyDescent="0.2">
      <c r="A75" s="569" t="s">
        <v>438</v>
      </c>
      <c r="B75" s="153"/>
      <c r="C75" s="154"/>
      <c r="D75" s="570"/>
    </row>
    <row r="76" spans="1:4" ht="14.25" customHeight="1" x14ac:dyDescent="0.2">
      <c r="A76" s="551" t="s">
        <v>480</v>
      </c>
      <c r="B76" s="114"/>
      <c r="C76" s="114"/>
      <c r="D76" s="552"/>
    </row>
    <row r="77" spans="1:4" ht="14.25" customHeight="1" x14ac:dyDescent="0.2">
      <c r="A77" s="561" t="s">
        <v>39</v>
      </c>
      <c r="B77" s="142">
        <f>B69</f>
        <v>9.9662923611111107E-2</v>
      </c>
      <c r="C77" s="143">
        <f>C69</f>
        <v>0</v>
      </c>
      <c r="D77" s="564">
        <f>D69</f>
        <v>0</v>
      </c>
    </row>
    <row r="78" spans="1:4" ht="14.25" customHeight="1" x14ac:dyDescent="0.2">
      <c r="A78" s="561" t="s">
        <v>478</v>
      </c>
      <c r="B78" s="142">
        <f>B72</f>
        <v>0</v>
      </c>
      <c r="C78" s="143">
        <f>C72</f>
        <v>0</v>
      </c>
      <c r="D78" s="564">
        <f>D72</f>
        <v>0</v>
      </c>
    </row>
    <row r="79" spans="1:4" ht="14.25" customHeight="1" x14ac:dyDescent="0.2">
      <c r="A79" s="561" t="s">
        <v>61</v>
      </c>
      <c r="B79" s="142">
        <f>B74</f>
        <v>6.18624E-3</v>
      </c>
      <c r="C79" s="143">
        <f>C74</f>
        <v>0</v>
      </c>
      <c r="D79" s="564">
        <f>D74</f>
        <v>0</v>
      </c>
    </row>
    <row r="80" spans="1:4" ht="14.25" customHeight="1" x14ac:dyDescent="0.2">
      <c r="A80" s="555" t="s">
        <v>438</v>
      </c>
      <c r="B80" s="124"/>
      <c r="C80" s="133">
        <f>SUM(C77:C79)</f>
        <v>0</v>
      </c>
      <c r="D80" s="556">
        <f>SUM(D77:D79)</f>
        <v>0</v>
      </c>
    </row>
    <row r="81" spans="1:4" ht="14.25" customHeight="1" x14ac:dyDescent="0.2">
      <c r="A81" s="557"/>
      <c r="B81" s="126"/>
      <c r="C81" s="126"/>
      <c r="D81" s="558"/>
    </row>
    <row r="82" spans="1:4" ht="14.25" customHeight="1" x14ac:dyDescent="0.2">
      <c r="A82" s="571" t="s">
        <v>481</v>
      </c>
      <c r="B82" s="327"/>
      <c r="C82" s="327"/>
      <c r="D82" s="572"/>
    </row>
    <row r="83" spans="1:4" ht="14.25" customHeight="1" x14ac:dyDescent="0.2">
      <c r="A83" s="551" t="s">
        <v>482</v>
      </c>
      <c r="B83" s="114" t="s">
        <v>454</v>
      </c>
      <c r="C83" s="114" t="s">
        <v>431</v>
      </c>
      <c r="D83" s="552" t="s">
        <v>431</v>
      </c>
    </row>
    <row r="84" spans="1:4" ht="14.25" customHeight="1" x14ac:dyDescent="0.2">
      <c r="A84" s="561" t="s">
        <v>483</v>
      </c>
      <c r="B84" s="604">
        <f>Insumos!G117</f>
        <v>0</v>
      </c>
      <c r="C84" s="118">
        <f>B84</f>
        <v>0</v>
      </c>
      <c r="D84" s="554">
        <f>B84</f>
        <v>0</v>
      </c>
    </row>
    <row r="85" spans="1:4" ht="14.25" customHeight="1" x14ac:dyDescent="0.2">
      <c r="A85" s="573" t="s">
        <v>484</v>
      </c>
      <c r="B85" s="604">
        <f>Insumos!G69</f>
        <v>0</v>
      </c>
      <c r="C85" s="118">
        <f>B85</f>
        <v>0</v>
      </c>
      <c r="D85" s="554">
        <f>B85</f>
        <v>0</v>
      </c>
    </row>
    <row r="86" spans="1:4" ht="14.25" customHeight="1" x14ac:dyDescent="0.2">
      <c r="A86" s="573" t="s">
        <v>485</v>
      </c>
      <c r="B86" s="605">
        <v>0</v>
      </c>
      <c r="C86" s="118"/>
      <c r="D86" s="554"/>
    </row>
    <row r="87" spans="1:4" ht="14.25" customHeight="1" x14ac:dyDescent="0.2">
      <c r="A87" s="573" t="s">
        <v>486</v>
      </c>
      <c r="B87" s="606"/>
      <c r="C87" s="118">
        <f>Insumos!I122</f>
        <v>0</v>
      </c>
      <c r="D87" s="554">
        <f>Insumos!H122</f>
        <v>0</v>
      </c>
    </row>
    <row r="88" spans="1:4" ht="14.25" customHeight="1" x14ac:dyDescent="0.2">
      <c r="A88" s="573" t="s">
        <v>487</v>
      </c>
      <c r="B88" s="607">
        <v>0</v>
      </c>
      <c r="C88" s="118"/>
      <c r="D88" s="554"/>
    </row>
    <row r="89" spans="1:4" ht="14.25" customHeight="1" x14ac:dyDescent="0.2">
      <c r="A89" s="573" t="s">
        <v>558</v>
      </c>
      <c r="B89" s="604">
        <v>0</v>
      </c>
      <c r="C89" s="118"/>
      <c r="D89" s="554"/>
    </row>
    <row r="90" spans="1:4" ht="14.25" customHeight="1" x14ac:dyDescent="0.2">
      <c r="A90" s="573" t="s">
        <v>489</v>
      </c>
      <c r="B90" s="604">
        <v>0</v>
      </c>
      <c r="C90" s="118"/>
      <c r="D90" s="554"/>
    </row>
    <row r="91" spans="1:4" ht="14.25" customHeight="1" x14ac:dyDescent="0.2">
      <c r="A91" s="569" t="s">
        <v>438</v>
      </c>
      <c r="B91" s="159"/>
      <c r="C91" s="154">
        <f>SUM(C84:C90)</f>
        <v>0</v>
      </c>
      <c r="D91" s="570">
        <f t="shared" ref="D91" si="8">SUM(D84:D90)</f>
        <v>0</v>
      </c>
    </row>
    <row r="92" spans="1:4" ht="14.25" customHeight="1" x14ac:dyDescent="0.2">
      <c r="A92" s="929"/>
      <c r="B92" s="917"/>
      <c r="C92" s="160"/>
      <c r="D92" s="574"/>
    </row>
    <row r="93" spans="1:4" ht="14.25" customHeight="1" x14ac:dyDescent="0.2">
      <c r="A93" s="571" t="s">
        <v>490</v>
      </c>
      <c r="B93" s="327"/>
      <c r="C93" s="327"/>
      <c r="D93" s="572"/>
    </row>
    <row r="94" spans="1:4" ht="14.25" customHeight="1" x14ac:dyDescent="0.2">
      <c r="A94" s="551" t="s">
        <v>491</v>
      </c>
      <c r="B94" s="114" t="s">
        <v>430</v>
      </c>
      <c r="C94" s="114" t="s">
        <v>431</v>
      </c>
      <c r="D94" s="552" t="s">
        <v>431</v>
      </c>
    </row>
    <row r="95" spans="1:4" ht="14.25" customHeight="1" x14ac:dyDescent="0.2">
      <c r="A95" s="553" t="s">
        <v>67</v>
      </c>
      <c r="B95" s="120">
        <v>0.03</v>
      </c>
      <c r="C95" s="137">
        <f>($C$19+$C$49+$C$60+$C$80+$C$91)*$B$95</f>
        <v>0</v>
      </c>
      <c r="D95" s="563">
        <f>($D$19+$D$49+$D$60+$D$80+$D$91)*$B$95</f>
        <v>0</v>
      </c>
    </row>
    <row r="96" spans="1:4" ht="14.25" customHeight="1" x14ac:dyDescent="0.2">
      <c r="A96" s="553" t="s">
        <v>68</v>
      </c>
      <c r="B96" s="120">
        <v>6.7900000000000002E-2</v>
      </c>
      <c r="C96" s="137">
        <f>($C$19+$C$49+$C$60+$C$80+$C$91+C95)*B96</f>
        <v>0</v>
      </c>
      <c r="D96" s="563">
        <f>($D$19+$D$49+$D$60+$D$80+$D$91+$D$95)*$B$96</f>
        <v>0</v>
      </c>
    </row>
    <row r="97" spans="1:5" ht="14.25" customHeight="1" x14ac:dyDescent="0.2">
      <c r="A97" s="575" t="s">
        <v>492</v>
      </c>
      <c r="B97" s="331">
        <f>B98+B99</f>
        <v>0.1125</v>
      </c>
      <c r="C97" s="332">
        <f>((C19+C49+C60+C80+C91+C95+C96)/(1-($B$97)))*$B$97</f>
        <v>0</v>
      </c>
      <c r="D97" s="576">
        <f>((D19+D49+D60+D80+D91+D95+D96)/(1-($B$97)))*$B$97</f>
        <v>0</v>
      </c>
    </row>
    <row r="98" spans="1:5" ht="14.25" customHeight="1" x14ac:dyDescent="0.2">
      <c r="A98" s="553" t="s">
        <v>493</v>
      </c>
      <c r="B98" s="120">
        <f>0.0165+0.076</f>
        <v>9.2499999999999999E-2</v>
      </c>
      <c r="C98" s="333">
        <f>((C$19+C$49+C$60+C$80+C$91+C$95+C$96)/(1-($B$97)))*$B$98</f>
        <v>0</v>
      </c>
      <c r="D98" s="577">
        <f t="shared" ref="D98" si="9">((D$19+D$49+D$60+D$80+D$91+D$95+D$96)/(1-($B$97)))*$B$98</f>
        <v>0</v>
      </c>
    </row>
    <row r="99" spans="1:5" ht="14.25" customHeight="1" x14ac:dyDescent="0.2">
      <c r="A99" s="553" t="s">
        <v>494</v>
      </c>
      <c r="B99" s="120">
        <v>0.02</v>
      </c>
      <c r="C99" s="334">
        <f>((C$19+C$49+C$60+C$80+C$91+C$95+C$96)/(1-($B$97)))*$B$99</f>
        <v>0</v>
      </c>
      <c r="D99" s="578">
        <f t="shared" ref="D99" si="10">((D$19+D$49+D$60+D$80+D$91+D$95+D$96)/(1-($B$97)))*$B$99</f>
        <v>0</v>
      </c>
    </row>
    <row r="100" spans="1:5" ht="14.25" customHeight="1" x14ac:dyDescent="0.2">
      <c r="A100" s="575" t="s">
        <v>495</v>
      </c>
      <c r="B100" s="331">
        <f>B101+B102</f>
        <v>0.11749999999999999</v>
      </c>
      <c r="C100" s="332">
        <f>((C19+C49+C60+C80+C91+C95+C96)/(1-($B$100)))*$B$100</f>
        <v>0</v>
      </c>
      <c r="D100" s="576">
        <f t="shared" ref="D100" si="11">((D19+D49+D60+D80+D91+D95+D96)/(1-($B$100)))*$B$100</f>
        <v>0</v>
      </c>
    </row>
    <row r="101" spans="1:5" ht="14.25" customHeight="1" x14ac:dyDescent="0.2">
      <c r="A101" s="553" t="s">
        <v>493</v>
      </c>
      <c r="B101" s="120">
        <f>0.0165+0.076</f>
        <v>9.2499999999999999E-2</v>
      </c>
      <c r="C101" s="333">
        <f>((C19+C49+C60+C80+C91+C95+C96)/(1-($B$100)))*$B$101</f>
        <v>0</v>
      </c>
      <c r="D101" s="577">
        <f t="shared" ref="D101" si="12">((D19+D49+D60+D80+D91+D95+D96)/(1-($B$100)))*$B$101</f>
        <v>0</v>
      </c>
    </row>
    <row r="102" spans="1:5" ht="14.25" customHeight="1" x14ac:dyDescent="0.2">
      <c r="A102" s="553" t="s">
        <v>494</v>
      </c>
      <c r="B102" s="120">
        <v>2.5000000000000001E-2</v>
      </c>
      <c r="C102" s="334">
        <f>((C$19+C$49+C$60+C$80+C$91+C$95+C$96)/(1-($B$100)))*$B$102</f>
        <v>0</v>
      </c>
      <c r="D102" s="578">
        <f t="shared" ref="D102" si="13">((D$19+D$49+D$60+D$80+D$91+D$95+D$96)/(1-($B$100)))*$B$102</f>
        <v>0</v>
      </c>
    </row>
    <row r="103" spans="1:5" ht="14.25" customHeight="1" x14ac:dyDescent="0.2">
      <c r="A103" s="575" t="s">
        <v>496</v>
      </c>
      <c r="B103" s="331">
        <f>B104+B105</f>
        <v>0.1225</v>
      </c>
      <c r="C103" s="332">
        <f>((C19+C49+C60+C80+C91+C95+C96)/(1-($B$103)))*$B$103</f>
        <v>0</v>
      </c>
      <c r="D103" s="576">
        <f t="shared" ref="D103" si="14">((D19+D49+D60+D80+D91+D95+D96)/(1-($B$103)))*$B$103</f>
        <v>0</v>
      </c>
    </row>
    <row r="104" spans="1:5" ht="14.25" customHeight="1" x14ac:dyDescent="0.2">
      <c r="A104" s="553" t="s">
        <v>493</v>
      </c>
      <c r="B104" s="120">
        <f>0.0165+0.076</f>
        <v>9.2499999999999999E-2</v>
      </c>
      <c r="C104" s="333">
        <f>((C19+C49+C60+C80+C91+C95+C96)/(1-($B$103)))*$B$104</f>
        <v>0</v>
      </c>
      <c r="D104" s="577">
        <f t="shared" ref="D104" si="15">((D19+D49+D60+D80+D91+D95+D96)/(1-($B$103)))*$B$104</f>
        <v>0</v>
      </c>
    </row>
    <row r="105" spans="1:5" ht="14.25" customHeight="1" x14ac:dyDescent="0.2">
      <c r="A105" s="553" t="s">
        <v>494</v>
      </c>
      <c r="B105" s="120">
        <v>0.03</v>
      </c>
      <c r="C105" s="334">
        <f>((C19+C49+C60+C80+C91+C95+C96)/(1-($B$103)))*$B$105</f>
        <v>0</v>
      </c>
      <c r="D105" s="578">
        <f t="shared" ref="D105" si="16">((D19+D49+D60+D80+D91+D95+D96)/(1-($B$103)))*$B$105</f>
        <v>0</v>
      </c>
      <c r="E105" s="335"/>
    </row>
    <row r="106" spans="1:5" ht="14.25" customHeight="1" x14ac:dyDescent="0.2">
      <c r="A106" s="575" t="s">
        <v>497</v>
      </c>
      <c r="B106" s="331">
        <f>B107+B108</f>
        <v>0.13250000000000001</v>
      </c>
      <c r="C106" s="332">
        <f>((C19+C49+C60+C80+C91+C95+C96)/(1-($B$106)))*$B$106</f>
        <v>0</v>
      </c>
      <c r="D106" s="576">
        <f t="shared" ref="D106" si="17">((D19+D49+D60+D80+D91+D95+D96)/(1-($B$106)))*$B$106</f>
        <v>0</v>
      </c>
    </row>
    <row r="107" spans="1:5" ht="14.25" customHeight="1" x14ac:dyDescent="0.2">
      <c r="A107" s="553" t="s">
        <v>493</v>
      </c>
      <c r="B107" s="120">
        <f>0.0165+0.076</f>
        <v>9.2499999999999999E-2</v>
      </c>
      <c r="C107" s="333">
        <f>((C19+C49+C60+C80+C91+C95+C96)/(1-($B$106)))*$B$107</f>
        <v>0</v>
      </c>
      <c r="D107" s="577">
        <f t="shared" ref="D107" si="18">((D19+D49+D60+D80+D91+D95+D96)/(1-($B$106)))*$B$107</f>
        <v>0</v>
      </c>
    </row>
    <row r="108" spans="1:5" ht="14.25" customHeight="1" x14ac:dyDescent="0.2">
      <c r="A108" s="553" t="s">
        <v>494</v>
      </c>
      <c r="B108" s="120">
        <v>0.04</v>
      </c>
      <c r="C108" s="334">
        <f>((C19+C49+C60+C80+C91+C95+C96)/(1-($B$106)))*$B$108</f>
        <v>0</v>
      </c>
      <c r="D108" s="578">
        <f t="shared" ref="D108" si="19">((D19+D49+D60+D80+D91+D95+D96)/(1-($B$106)))*$B$108</f>
        <v>0</v>
      </c>
    </row>
    <row r="109" spans="1:5" ht="14.25" customHeight="1" x14ac:dyDescent="0.2">
      <c r="A109" s="575" t="s">
        <v>498</v>
      </c>
      <c r="B109" s="331">
        <f>B110+B111</f>
        <v>0.14250000000000002</v>
      </c>
      <c r="C109" s="332">
        <f>((C19+C49+C60+C80+C91+C95+C96)/(1-($B$109)))*$B$109</f>
        <v>0</v>
      </c>
      <c r="D109" s="576">
        <f t="shared" ref="D109" si="20">((D19+D49+D60+D80+D91+D95+D96)/(1-($B$109)))*$B$109</f>
        <v>0</v>
      </c>
    </row>
    <row r="110" spans="1:5" ht="14.25" customHeight="1" x14ac:dyDescent="0.2">
      <c r="A110" s="553" t="s">
        <v>493</v>
      </c>
      <c r="B110" s="120">
        <f>0.0165+0.076</f>
        <v>9.2499999999999999E-2</v>
      </c>
      <c r="C110" s="333">
        <f>((C19+C49+C60+C80+C91+C95+C96)/(1-($B$109)))*$B$110</f>
        <v>0</v>
      </c>
      <c r="D110" s="577">
        <f t="shared" ref="D110" si="21">((D19+D49+D60+D80+D91+D95+D96)/(1-($B$109)))*$B$110</f>
        <v>0</v>
      </c>
    </row>
    <row r="111" spans="1:5" ht="14.25" customHeight="1" x14ac:dyDescent="0.2">
      <c r="A111" s="553" t="s">
        <v>494</v>
      </c>
      <c r="B111" s="336">
        <v>0.05</v>
      </c>
      <c r="C111" s="334">
        <f>((C19+C49+C60+C80+C91+C95+C96)/(1-($B$109)))*$B$111</f>
        <v>0</v>
      </c>
      <c r="D111" s="578">
        <f t="shared" ref="D111" si="22">((D19+D49+D60+D80+D91+D95+D96)/(1-($B$109)))*$B$111</f>
        <v>0</v>
      </c>
    </row>
    <row r="112" spans="1:5" ht="14.25" customHeight="1" x14ac:dyDescent="0.2">
      <c r="A112" s="932" t="s">
        <v>499</v>
      </c>
      <c r="B112" s="337">
        <v>0.02</v>
      </c>
      <c r="C112" s="338">
        <f>C95+C96+C97</f>
        <v>0</v>
      </c>
      <c r="D112" s="579">
        <f>D95+D96+D97</f>
        <v>0</v>
      </c>
    </row>
    <row r="113" spans="1:5" ht="14.25" customHeight="1" x14ac:dyDescent="0.2">
      <c r="A113" s="932"/>
      <c r="B113" s="339">
        <v>2.5000000000000001E-2</v>
      </c>
      <c r="C113" s="340">
        <f>C95+C96+C100</f>
        <v>0</v>
      </c>
      <c r="D113" s="580">
        <f>D95+D96+D100</f>
        <v>0</v>
      </c>
    </row>
    <row r="114" spans="1:5" ht="14.25" customHeight="1" x14ac:dyDescent="0.2">
      <c r="A114" s="932"/>
      <c r="B114" s="339">
        <v>0.03</v>
      </c>
      <c r="C114" s="340">
        <f>C95+C96+C103</f>
        <v>0</v>
      </c>
      <c r="D114" s="580">
        <f>D95+D96+D103</f>
        <v>0</v>
      </c>
      <c r="E114" s="335"/>
    </row>
    <row r="115" spans="1:5" ht="14.25" customHeight="1" x14ac:dyDescent="0.2">
      <c r="A115" s="932"/>
      <c r="B115" s="339">
        <v>0.04</v>
      </c>
      <c r="C115" s="340">
        <f>C95+C96+C106</f>
        <v>0</v>
      </c>
      <c r="D115" s="580">
        <f>D95+D96+D106</f>
        <v>0</v>
      </c>
    </row>
    <row r="116" spans="1:5" ht="14.25" customHeight="1" x14ac:dyDescent="0.2">
      <c r="A116" s="932"/>
      <c r="B116" s="341">
        <v>0.05</v>
      </c>
      <c r="C116" s="342">
        <f>C95+C96+C109</f>
        <v>0</v>
      </c>
      <c r="D116" s="581">
        <f>D95+D96+D109</f>
        <v>0</v>
      </c>
    </row>
    <row r="117" spans="1:5" ht="14.25" customHeight="1" x14ac:dyDescent="0.2">
      <c r="A117" s="553" t="s">
        <v>500</v>
      </c>
      <c r="B117" s="343"/>
      <c r="C117" s="344"/>
      <c r="D117" s="582"/>
    </row>
    <row r="118" spans="1:5" ht="14.25" customHeight="1" x14ac:dyDescent="0.2">
      <c r="A118" s="583"/>
      <c r="B118" s="347"/>
      <c r="C118" s="348"/>
      <c r="D118" s="584"/>
    </row>
    <row r="119" spans="1:5" ht="7.5" customHeight="1" x14ac:dyDescent="0.2">
      <c r="A119" s="933"/>
      <c r="B119" s="919"/>
      <c r="C119" s="919"/>
      <c r="D119" s="934"/>
    </row>
    <row r="120" spans="1:5" ht="7.5" customHeight="1" x14ac:dyDescent="0.2">
      <c r="A120" s="935"/>
      <c r="B120" s="920"/>
      <c r="C120" s="920"/>
      <c r="D120" s="936"/>
    </row>
    <row r="121" spans="1:5" ht="54.75" customHeight="1" x14ac:dyDescent="0.2">
      <c r="A121" s="937" t="s">
        <v>501</v>
      </c>
      <c r="B121" s="921"/>
      <c r="C121" s="351" t="str">
        <f>C10</f>
        <v>Servente 40h COVID</v>
      </c>
      <c r="D121" s="585" t="str">
        <f>D10</f>
        <v>Servente 30h COVID</v>
      </c>
    </row>
    <row r="122" spans="1:5" ht="15.75" customHeight="1" x14ac:dyDescent="0.2">
      <c r="A122" s="938" t="s">
        <v>502</v>
      </c>
      <c r="B122" s="915"/>
      <c r="C122" s="354" t="s">
        <v>431</v>
      </c>
      <c r="D122" s="586" t="s">
        <v>431</v>
      </c>
    </row>
    <row r="123" spans="1:5" ht="14.25" customHeight="1" x14ac:dyDescent="0.2">
      <c r="A123" s="939" t="s">
        <v>503</v>
      </c>
      <c r="B123" s="916"/>
      <c r="C123" s="356">
        <f>C19</f>
        <v>0</v>
      </c>
      <c r="D123" s="587">
        <f>D19</f>
        <v>0</v>
      </c>
    </row>
    <row r="124" spans="1:5" ht="14.25" customHeight="1" x14ac:dyDescent="0.2">
      <c r="A124" s="926" t="s">
        <v>504</v>
      </c>
      <c r="B124" s="911"/>
      <c r="C124" s="162">
        <f>C49</f>
        <v>0</v>
      </c>
      <c r="D124" s="588">
        <f>D49</f>
        <v>0</v>
      </c>
    </row>
    <row r="125" spans="1:5" ht="14.25" customHeight="1" x14ac:dyDescent="0.2">
      <c r="A125" s="926" t="s">
        <v>505</v>
      </c>
      <c r="B125" s="911"/>
      <c r="C125" s="162">
        <f>C60</f>
        <v>0</v>
      </c>
      <c r="D125" s="588">
        <f>D60</f>
        <v>0</v>
      </c>
    </row>
    <row r="126" spans="1:5" ht="14.25" customHeight="1" x14ac:dyDescent="0.2">
      <c r="A126" s="926" t="s">
        <v>506</v>
      </c>
      <c r="B126" s="911"/>
      <c r="C126" s="162">
        <f>C80</f>
        <v>0</v>
      </c>
      <c r="D126" s="588">
        <f>D80</f>
        <v>0</v>
      </c>
    </row>
    <row r="127" spans="1:5" ht="15.75" customHeight="1" x14ac:dyDescent="0.2">
      <c r="A127" s="926" t="s">
        <v>507</v>
      </c>
      <c r="B127" s="911"/>
      <c r="C127" s="162">
        <f>C91</f>
        <v>0</v>
      </c>
      <c r="D127" s="588">
        <f>D91</f>
        <v>0</v>
      </c>
    </row>
    <row r="128" spans="1:5" ht="15.75" customHeight="1" x14ac:dyDescent="0.2">
      <c r="A128" s="928" t="s">
        <v>508</v>
      </c>
      <c r="B128" s="914"/>
      <c r="C128" s="164">
        <f>SUM(C123:C127)</f>
        <v>0</v>
      </c>
      <c r="D128" s="589">
        <f>SUM(D123:D127)</f>
        <v>0</v>
      </c>
    </row>
    <row r="129" spans="1:4" ht="15.75" customHeight="1" x14ac:dyDescent="0.2">
      <c r="A129" s="927" t="s">
        <v>509</v>
      </c>
      <c r="B129" s="912"/>
      <c r="C129" s="359">
        <f t="shared" ref="C129:D133" si="23">C112</f>
        <v>0</v>
      </c>
      <c r="D129" s="590">
        <f t="shared" si="23"/>
        <v>0</v>
      </c>
    </row>
    <row r="130" spans="1:4" ht="15.75" customHeight="1" x14ac:dyDescent="0.2">
      <c r="A130" s="926" t="s">
        <v>510</v>
      </c>
      <c r="B130" s="911"/>
      <c r="C130" s="361">
        <f t="shared" si="23"/>
        <v>0</v>
      </c>
      <c r="D130" s="591">
        <f t="shared" si="23"/>
        <v>0</v>
      </c>
    </row>
    <row r="131" spans="1:4" ht="15.75" customHeight="1" x14ac:dyDescent="0.2">
      <c r="A131" s="926" t="s">
        <v>511</v>
      </c>
      <c r="B131" s="911"/>
      <c r="C131" s="361">
        <f t="shared" si="23"/>
        <v>0</v>
      </c>
      <c r="D131" s="591">
        <f t="shared" si="23"/>
        <v>0</v>
      </c>
    </row>
    <row r="132" spans="1:4" ht="15.75" customHeight="1" x14ac:dyDescent="0.2">
      <c r="A132" s="926" t="s">
        <v>512</v>
      </c>
      <c r="B132" s="911"/>
      <c r="C132" s="361">
        <f t="shared" si="23"/>
        <v>0</v>
      </c>
      <c r="D132" s="591">
        <f t="shared" si="23"/>
        <v>0</v>
      </c>
    </row>
    <row r="133" spans="1:4" ht="15.75" customHeight="1" x14ac:dyDescent="0.2">
      <c r="A133" s="927" t="s">
        <v>513</v>
      </c>
      <c r="B133" s="912"/>
      <c r="C133" s="361">
        <f t="shared" si="23"/>
        <v>0</v>
      </c>
      <c r="D133" s="591">
        <f t="shared" si="23"/>
        <v>0</v>
      </c>
    </row>
    <row r="134" spans="1:4" ht="15.75" customHeight="1" x14ac:dyDescent="0.2">
      <c r="A134" s="592" t="s">
        <v>514</v>
      </c>
      <c r="B134" s="364"/>
      <c r="C134" s="365">
        <f>C128+C129</f>
        <v>0</v>
      </c>
      <c r="D134" s="593">
        <f>D128+D129</f>
        <v>0</v>
      </c>
    </row>
    <row r="135" spans="1:4" ht="15.75" customHeight="1" x14ac:dyDescent="0.2">
      <c r="A135" s="594" t="s">
        <v>515</v>
      </c>
      <c r="B135" s="368"/>
      <c r="C135" s="369">
        <f>C128+C130</f>
        <v>0</v>
      </c>
      <c r="D135" s="595">
        <f>D128+D130</f>
        <v>0</v>
      </c>
    </row>
    <row r="136" spans="1:4" ht="15.75" customHeight="1" x14ac:dyDescent="0.2">
      <c r="A136" s="594" t="s">
        <v>516</v>
      </c>
      <c r="B136" s="368"/>
      <c r="C136" s="369">
        <f>C128+C131</f>
        <v>0</v>
      </c>
      <c r="D136" s="595">
        <f>D128+D131</f>
        <v>0</v>
      </c>
    </row>
    <row r="137" spans="1:4" ht="15.75" customHeight="1" x14ac:dyDescent="0.2">
      <c r="A137" s="594" t="s">
        <v>517</v>
      </c>
      <c r="B137" s="368"/>
      <c r="C137" s="369">
        <f>C128+C132</f>
        <v>0</v>
      </c>
      <c r="D137" s="595">
        <f>D128+D132</f>
        <v>0</v>
      </c>
    </row>
    <row r="138" spans="1:4" ht="15.75" customHeight="1" x14ac:dyDescent="0.2">
      <c r="A138" s="594" t="s">
        <v>518</v>
      </c>
      <c r="B138" s="368"/>
      <c r="C138" s="369">
        <f>C128+C133</f>
        <v>0</v>
      </c>
      <c r="D138" s="595">
        <f>D128+D133</f>
        <v>0</v>
      </c>
    </row>
    <row r="139" spans="1:4" ht="15.75" customHeight="1" x14ac:dyDescent="0.2">
      <c r="A139" s="596" t="s">
        <v>519</v>
      </c>
      <c r="B139" s="372"/>
      <c r="C139" s="373">
        <f>C134/200</f>
        <v>0</v>
      </c>
      <c r="D139" s="597"/>
    </row>
    <row r="140" spans="1:4" ht="15.75" customHeight="1" x14ac:dyDescent="0.2">
      <c r="A140" s="598" t="s">
        <v>520</v>
      </c>
      <c r="B140" s="377"/>
      <c r="C140" s="378">
        <f>C135/200</f>
        <v>0</v>
      </c>
      <c r="D140" s="599"/>
    </row>
    <row r="141" spans="1:4" ht="15.75" customHeight="1" x14ac:dyDescent="0.2">
      <c r="A141" s="598" t="s">
        <v>521</v>
      </c>
      <c r="B141" s="377"/>
      <c r="C141" s="378">
        <f>C136/200</f>
        <v>0</v>
      </c>
      <c r="D141" s="599"/>
    </row>
    <row r="142" spans="1:4" ht="15.75" customHeight="1" x14ac:dyDescent="0.2">
      <c r="A142" s="598" t="s">
        <v>522</v>
      </c>
      <c r="B142" s="377"/>
      <c r="C142" s="378">
        <f>C137/200</f>
        <v>0</v>
      </c>
      <c r="D142" s="599"/>
    </row>
    <row r="143" spans="1:4" ht="15.75" customHeight="1" x14ac:dyDescent="0.2">
      <c r="A143" s="600" t="s">
        <v>523</v>
      </c>
      <c r="B143" s="601"/>
      <c r="C143" s="602">
        <f>C138/200</f>
        <v>0</v>
      </c>
      <c r="D143" s="603"/>
    </row>
    <row r="144" spans="1:4" x14ac:dyDescent="0.2">
      <c r="A144" s="386"/>
    </row>
  </sheetData>
  <mergeCells count="27">
    <mergeCell ref="A21:D21"/>
    <mergeCell ref="A1:D1"/>
    <mergeCell ref="A2:D2"/>
    <mergeCell ref="A3:D3"/>
    <mergeCell ref="A9:D9"/>
    <mergeCell ref="A20:B2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070"/>
  </sheetPr>
  <dimension ref="A1:AMB35"/>
  <sheetViews>
    <sheetView zoomScale="80" zoomScaleNormal="80" workbookViewId="0">
      <pane xSplit="1" topLeftCell="H1" activePane="topRight" state="frozen"/>
      <selection pane="topRight" activeCell="U2" sqref="U2:U22"/>
    </sheetView>
  </sheetViews>
  <sheetFormatPr defaultRowHeight="15" x14ac:dyDescent="0.25"/>
  <cols>
    <col min="1" max="1" width="16.625" style="229" customWidth="1"/>
    <col min="2" max="2" width="6" style="229" customWidth="1"/>
    <col min="3" max="9" width="9.25" style="229"/>
    <col min="10" max="11" width="11.5" style="229"/>
    <col min="12" max="17" width="9.25" style="229"/>
    <col min="18" max="20" width="9" style="229"/>
    <col min="21" max="21" width="9.25" style="229"/>
    <col min="22" max="1001" width="10.625" style="168"/>
    <col min="1002" max="1002" width="9" style="229"/>
    <col min="1003" max="1016" width="8.625" style="229"/>
  </cols>
  <sheetData>
    <row r="1" spans="1:1003" x14ac:dyDescent="0.25">
      <c r="A1" s="168"/>
      <c r="B1" s="168"/>
      <c r="C1" s="948" t="s">
        <v>312</v>
      </c>
      <c r="D1" s="948"/>
      <c r="E1" s="948"/>
      <c r="F1" s="948"/>
      <c r="G1" s="949" t="s">
        <v>313</v>
      </c>
      <c r="H1" s="949"/>
      <c r="I1" s="949"/>
      <c r="J1" s="950" t="s">
        <v>314</v>
      </c>
      <c r="K1" s="950"/>
      <c r="L1" s="950"/>
      <c r="M1" s="168"/>
      <c r="N1" s="168"/>
      <c r="O1" s="168"/>
      <c r="P1" s="168"/>
      <c r="Q1" s="168"/>
      <c r="R1" s="168"/>
      <c r="S1" s="168"/>
      <c r="T1" s="168"/>
      <c r="U1" s="168"/>
      <c r="ALN1"/>
      <c r="ALO1"/>
    </row>
    <row r="2" spans="1:1003" ht="55.5" customHeight="1" x14ac:dyDescent="0.25">
      <c r="A2" s="891" t="s">
        <v>321</v>
      </c>
      <c r="B2" s="952" t="s">
        <v>71</v>
      </c>
      <c r="C2" s="894" t="s">
        <v>323</v>
      </c>
      <c r="D2" s="863" t="s">
        <v>324</v>
      </c>
      <c r="E2" s="869" t="s">
        <v>325</v>
      </c>
      <c r="F2" s="894" t="s">
        <v>326</v>
      </c>
      <c r="G2" s="888" t="s">
        <v>327</v>
      </c>
      <c r="H2" s="864" t="s">
        <v>559</v>
      </c>
      <c r="I2" s="879" t="s">
        <v>329</v>
      </c>
      <c r="J2" s="880" t="s">
        <v>330</v>
      </c>
      <c r="K2" s="858" t="s">
        <v>331</v>
      </c>
      <c r="L2" s="951" t="s">
        <v>332</v>
      </c>
      <c r="M2" s="947" t="s">
        <v>383</v>
      </c>
      <c r="N2" s="883" t="s">
        <v>384</v>
      </c>
      <c r="O2" s="883"/>
      <c r="P2" s="884" t="s">
        <v>385</v>
      </c>
      <c r="Q2" s="884"/>
      <c r="R2" s="615" t="s">
        <v>386</v>
      </c>
      <c r="S2" s="616" t="s">
        <v>387</v>
      </c>
      <c r="T2" s="744" t="s">
        <v>388</v>
      </c>
      <c r="U2" s="248" t="s">
        <v>389</v>
      </c>
      <c r="ALN2" s="168"/>
      <c r="ALO2" s="168"/>
    </row>
    <row r="3" spans="1:1003" ht="18" customHeight="1" x14ac:dyDescent="0.25">
      <c r="A3" s="891"/>
      <c r="B3" s="953"/>
      <c r="C3" s="894"/>
      <c r="D3" s="863"/>
      <c r="E3" s="869"/>
      <c r="F3" s="894"/>
      <c r="G3" s="888"/>
      <c r="H3" s="864"/>
      <c r="I3" s="879"/>
      <c r="J3" s="880"/>
      <c r="K3" s="858"/>
      <c r="L3" s="951"/>
      <c r="M3" s="947"/>
      <c r="N3" s="393" t="s">
        <v>341</v>
      </c>
      <c r="O3" s="247" t="s">
        <v>390</v>
      </c>
      <c r="P3" s="175" t="s">
        <v>341</v>
      </c>
      <c r="Q3" s="394" t="s">
        <v>390</v>
      </c>
      <c r="R3" s="617" t="s">
        <v>391</v>
      </c>
      <c r="S3" s="643" t="s">
        <v>391</v>
      </c>
      <c r="T3" s="745" t="s">
        <v>392</v>
      </c>
      <c r="U3" s="248" t="s">
        <v>390</v>
      </c>
      <c r="ALN3" s="168"/>
      <c r="ALO3" s="168"/>
    </row>
    <row r="4" spans="1:1003" x14ac:dyDescent="0.25">
      <c r="A4" s="395" t="s">
        <v>77</v>
      </c>
      <c r="B4" s="724">
        <f>MC!I68</f>
        <v>0</v>
      </c>
      <c r="C4" s="727">
        <v>1747.93</v>
      </c>
      <c r="D4" s="217">
        <v>204.45</v>
      </c>
      <c r="E4" s="217">
        <v>153.06</v>
      </c>
      <c r="F4" s="217">
        <v>125.06</v>
      </c>
      <c r="G4" s="217">
        <v>1995</v>
      </c>
      <c r="H4" s="217">
        <f>1000</f>
        <v>1000</v>
      </c>
      <c r="I4" s="217">
        <v>480</v>
      </c>
      <c r="J4" s="396"/>
      <c r="K4" s="217">
        <v>250</v>
      </c>
      <c r="L4" s="218">
        <v>460</v>
      </c>
      <c r="M4" s="254">
        <f t="shared" ref="M4:M21" si="0">C4/$C$23+D4/$D$23+E4/$E$23+F4/$F$23+G4/$G$23+H4/$H$23+I4/$I$23+K4/$K$23*16*1/188.76+L4/$L$23*16*1/188.76</f>
        <v>3.1503104826699082</v>
      </c>
      <c r="N4" s="397"/>
      <c r="O4" s="397">
        <v>2</v>
      </c>
      <c r="P4" s="398"/>
      <c r="Q4" s="399"/>
      <c r="R4" s="631">
        <v>6</v>
      </c>
      <c r="S4" s="642">
        <v>6</v>
      </c>
      <c r="T4" s="746">
        <v>22</v>
      </c>
      <c r="U4" s="747">
        <v>1</v>
      </c>
    </row>
    <row r="5" spans="1:1003" x14ac:dyDescent="0.25">
      <c r="A5" s="400" t="s">
        <v>78</v>
      </c>
      <c r="B5" s="724">
        <f>MC!I69</f>
        <v>0</v>
      </c>
      <c r="C5" s="728">
        <v>51.01</v>
      </c>
      <c r="D5" s="192">
        <f>312.22+284.05+306.14</f>
        <v>902.41</v>
      </c>
      <c r="E5" s="192">
        <f>36.86+11.34+34.19+25.1+5.7+14.64+7.63</f>
        <v>135.46</v>
      </c>
      <c r="F5" s="192">
        <f>3.18+3.36+4.84+4.84</f>
        <v>16.22</v>
      </c>
      <c r="G5" s="192">
        <v>52.5</v>
      </c>
      <c r="H5" s="192"/>
      <c r="I5" s="192">
        <v>16</v>
      </c>
      <c r="J5" s="401">
        <v>57.5</v>
      </c>
      <c r="K5" s="192">
        <f>115/2</f>
        <v>57.5</v>
      </c>
      <c r="L5" s="219">
        <v>115</v>
      </c>
      <c r="M5" s="254">
        <f t="shared" si="0"/>
        <v>0.61141055097162278</v>
      </c>
      <c r="N5" s="402">
        <v>1</v>
      </c>
      <c r="O5" s="402"/>
      <c r="P5" s="403"/>
      <c r="Q5" s="404"/>
      <c r="R5" s="632">
        <v>6</v>
      </c>
      <c r="S5" s="638">
        <v>6</v>
      </c>
      <c r="T5" s="734"/>
      <c r="U5" s="748"/>
    </row>
    <row r="6" spans="1:1003" x14ac:dyDescent="0.25">
      <c r="A6" s="400" t="s">
        <v>361</v>
      </c>
      <c r="B6" s="724">
        <f>MC!I70</f>
        <v>0</v>
      </c>
      <c r="C6" s="729">
        <v>1552.87</v>
      </c>
      <c r="D6" s="192"/>
      <c r="E6" s="192">
        <v>70</v>
      </c>
      <c r="F6" s="192">
        <v>125.06</v>
      </c>
      <c r="G6" s="192"/>
      <c r="H6" s="192"/>
      <c r="I6" s="192"/>
      <c r="J6" s="401"/>
      <c r="K6" s="192"/>
      <c r="L6" s="220"/>
      <c r="M6" s="254">
        <f t="shared" si="0"/>
        <v>1.8752333333333333</v>
      </c>
      <c r="N6" s="402"/>
      <c r="O6" s="402">
        <v>2</v>
      </c>
      <c r="P6" s="403">
        <v>1</v>
      </c>
      <c r="Q6" s="404">
        <v>2</v>
      </c>
      <c r="R6" s="632">
        <v>6</v>
      </c>
      <c r="S6" s="638">
        <v>6</v>
      </c>
      <c r="T6" s="735"/>
      <c r="U6" s="748"/>
    </row>
    <row r="7" spans="1:1003" x14ac:dyDescent="0.25">
      <c r="A7" s="400" t="s">
        <v>83</v>
      </c>
      <c r="B7" s="724">
        <f>MC!I71</f>
        <v>0</v>
      </c>
      <c r="C7" s="729">
        <v>1763.64</v>
      </c>
      <c r="D7" s="192">
        <f>41.87+210.51+189.47+12.88+32.17+32.05+17.92+14.65</f>
        <v>551.52</v>
      </c>
      <c r="E7" s="192">
        <f>25.87+57.06+108.25+210.51+70.44</f>
        <v>472.13</v>
      </c>
      <c r="F7" s="192">
        <f>45.92+54.88+36.01</f>
        <v>136.81</v>
      </c>
      <c r="G7" s="192">
        <v>225</v>
      </c>
      <c r="H7" s="192">
        <v>43.28</v>
      </c>
      <c r="I7" s="192">
        <v>152</v>
      </c>
      <c r="J7" s="401">
        <v>350</v>
      </c>
      <c r="K7" s="192">
        <v>32</v>
      </c>
      <c r="L7" s="220">
        <v>806</v>
      </c>
      <c r="M7" s="254">
        <f t="shared" si="0"/>
        <v>2.8822850911262052</v>
      </c>
      <c r="N7" s="402"/>
      <c r="O7" s="402">
        <v>3</v>
      </c>
      <c r="P7" s="403">
        <v>1</v>
      </c>
      <c r="Q7" s="404"/>
      <c r="R7" s="632">
        <v>6</v>
      </c>
      <c r="S7" s="638">
        <v>6</v>
      </c>
      <c r="T7" s="735"/>
      <c r="U7" s="748"/>
    </row>
    <row r="8" spans="1:1003" x14ac:dyDescent="0.25">
      <c r="A8" s="400" t="s">
        <v>85</v>
      </c>
      <c r="B8" s="724">
        <f>MC!I72</f>
        <v>0</v>
      </c>
      <c r="C8" s="728">
        <v>510</v>
      </c>
      <c r="D8" s="192">
        <v>594.79</v>
      </c>
      <c r="E8" s="192">
        <v>387.12</v>
      </c>
      <c r="F8" s="192">
        <v>33.25</v>
      </c>
      <c r="G8" s="192">
        <v>270</v>
      </c>
      <c r="H8" s="192"/>
      <c r="I8" s="192">
        <v>50</v>
      </c>
      <c r="J8" s="401">
        <v>45</v>
      </c>
      <c r="K8" s="192">
        <v>98</v>
      </c>
      <c r="L8" s="220">
        <f>J8+K8</f>
        <v>143</v>
      </c>
      <c r="M8" s="254">
        <f t="shared" si="0"/>
        <v>1.2297792967139189</v>
      </c>
      <c r="N8" s="402"/>
      <c r="O8" s="402">
        <v>1</v>
      </c>
      <c r="P8" s="403">
        <v>1</v>
      </c>
      <c r="Q8" s="404"/>
      <c r="R8" s="632">
        <v>6</v>
      </c>
      <c r="S8" s="638">
        <v>6</v>
      </c>
      <c r="T8" s="735"/>
      <c r="U8" s="748"/>
    </row>
    <row r="9" spans="1:1003" x14ac:dyDescent="0.25">
      <c r="A9" s="400" t="s">
        <v>87</v>
      </c>
      <c r="B9" s="724">
        <f>MC!I73</f>
        <v>0</v>
      </c>
      <c r="C9" s="728">
        <v>404.12</v>
      </c>
      <c r="D9" s="192">
        <f>470.2-7.87-7.87-8.46-8.46-7.87-12.06</f>
        <v>417.61</v>
      </c>
      <c r="E9" s="192">
        <f>2.34+2.55+12.06+5.06</f>
        <v>22.009999999999998</v>
      </c>
      <c r="F9" s="192">
        <f>7.87+8.87+8.46+8.46</f>
        <v>33.659999999999997</v>
      </c>
      <c r="G9" s="192">
        <v>150.04</v>
      </c>
      <c r="H9" s="192">
        <v>33.840000000000003</v>
      </c>
      <c r="I9" s="192">
        <v>117.3</v>
      </c>
      <c r="J9" s="401"/>
      <c r="K9" s="192">
        <v>72.5</v>
      </c>
      <c r="L9" s="220">
        <f>J9+K9</f>
        <v>72.5</v>
      </c>
      <c r="M9" s="254">
        <f t="shared" si="0"/>
        <v>0.76258530670166269</v>
      </c>
      <c r="N9" s="402">
        <v>1</v>
      </c>
      <c r="O9" s="402"/>
      <c r="P9" s="403">
        <v>1</v>
      </c>
      <c r="Q9" s="404"/>
      <c r="R9" s="632">
        <v>6</v>
      </c>
      <c r="S9" s="638">
        <v>6</v>
      </c>
      <c r="T9" s="735"/>
      <c r="U9" s="748"/>
    </row>
    <row r="10" spans="1:1003" x14ac:dyDescent="0.25">
      <c r="A10" s="400" t="s">
        <v>89</v>
      </c>
      <c r="B10" s="724">
        <f>MC!I74</f>
        <v>0</v>
      </c>
      <c r="C10" s="728">
        <v>310.49</v>
      </c>
      <c r="D10" s="192">
        <v>35.03</v>
      </c>
      <c r="E10" s="192">
        <v>127.8</v>
      </c>
      <c r="F10" s="192">
        <v>6.68</v>
      </c>
      <c r="G10" s="192">
        <v>83</v>
      </c>
      <c r="H10" s="192">
        <v>2.33</v>
      </c>
      <c r="I10" s="192">
        <v>92.5</v>
      </c>
      <c r="J10" s="401"/>
      <c r="K10" s="192">
        <f>243/2</f>
        <v>121.5</v>
      </c>
      <c r="L10" s="220">
        <f>K10/2</f>
        <v>60.75</v>
      </c>
      <c r="M10" s="254">
        <f t="shared" si="0"/>
        <v>0.48543724832635027</v>
      </c>
      <c r="N10" s="402">
        <v>1</v>
      </c>
      <c r="O10" s="402"/>
      <c r="P10" s="403"/>
      <c r="Q10" s="404"/>
      <c r="R10" s="632">
        <v>6</v>
      </c>
      <c r="S10" s="638">
        <v>6</v>
      </c>
      <c r="T10" s="735"/>
      <c r="U10" s="748"/>
    </row>
    <row r="11" spans="1:1003" x14ac:dyDescent="0.25">
      <c r="A11" s="400" t="s">
        <v>91</v>
      </c>
      <c r="B11" s="724">
        <f>MC!I75</f>
        <v>0</v>
      </c>
      <c r="C11" s="728">
        <v>665.41</v>
      </c>
      <c r="D11" s="192">
        <v>875</v>
      </c>
      <c r="E11" s="192">
        <v>875</v>
      </c>
      <c r="F11" s="192">
        <f>24.68+8.4+8.4</f>
        <v>41.48</v>
      </c>
      <c r="G11" s="192">
        <v>652</v>
      </c>
      <c r="H11" s="192"/>
      <c r="I11" s="192">
        <v>234</v>
      </c>
      <c r="J11" s="401">
        <v>50</v>
      </c>
      <c r="K11" s="192">
        <v>177</v>
      </c>
      <c r="L11" s="219">
        <f>K11+J11</f>
        <v>227</v>
      </c>
      <c r="M11" s="254">
        <f t="shared" si="0"/>
        <v>2.034116882603485</v>
      </c>
      <c r="N11" s="402"/>
      <c r="O11" s="402">
        <v>2</v>
      </c>
      <c r="P11" s="403"/>
      <c r="Q11" s="404"/>
      <c r="R11" s="632">
        <v>6</v>
      </c>
      <c r="S11" s="638">
        <v>6</v>
      </c>
      <c r="T11" s="735"/>
      <c r="U11" s="748"/>
    </row>
    <row r="12" spans="1:1003" x14ac:dyDescent="0.25">
      <c r="A12" s="400" t="s">
        <v>93</v>
      </c>
      <c r="B12" s="724">
        <f>MC!I76</f>
        <v>0</v>
      </c>
      <c r="C12" s="728">
        <v>727.23</v>
      </c>
      <c r="D12" s="192">
        <f>1037.45+8.58+14.8+4.9+26.4+26.4+4.68+7.86+8.64+10.26+55.11+7.57+10.3+23.59+6.04+33.05+14.8</f>
        <v>1300.4299999999998</v>
      </c>
      <c r="E12" s="192">
        <v>1045.95</v>
      </c>
      <c r="F12" s="192">
        <f>8.84+8.84+4.68+8.65+10.27</f>
        <v>41.28</v>
      </c>
      <c r="G12" s="192">
        <v>643</v>
      </c>
      <c r="H12" s="192"/>
      <c r="I12" s="192">
        <v>192</v>
      </c>
      <c r="J12" s="401">
        <v>80</v>
      </c>
      <c r="K12" s="192">
        <v>160</v>
      </c>
      <c r="L12" s="220">
        <v>320</v>
      </c>
      <c r="M12" s="254">
        <f t="shared" si="0"/>
        <v>2.382741626828957</v>
      </c>
      <c r="N12" s="402"/>
      <c r="O12" s="402">
        <v>2</v>
      </c>
      <c r="P12" s="403">
        <v>1</v>
      </c>
      <c r="Q12" s="404"/>
      <c r="R12" s="632">
        <v>6</v>
      </c>
      <c r="S12" s="638">
        <v>6</v>
      </c>
      <c r="T12" s="735"/>
      <c r="U12" s="748"/>
    </row>
    <row r="13" spans="1:1003" x14ac:dyDescent="0.25">
      <c r="A13" s="400" t="s">
        <v>95</v>
      </c>
      <c r="B13" s="724">
        <f>MC!I77</f>
        <v>0</v>
      </c>
      <c r="C13" s="728">
        <v>466.68</v>
      </c>
      <c r="D13" s="192">
        <v>47.8</v>
      </c>
      <c r="E13" s="192">
        <v>18.3</v>
      </c>
      <c r="F13" s="192">
        <f>4+4.3+4.3+10.18+9.04+3.77</f>
        <v>35.590000000000003</v>
      </c>
      <c r="G13" s="192">
        <v>1378</v>
      </c>
      <c r="H13" s="192">
        <v>10.69</v>
      </c>
      <c r="I13" s="192">
        <v>122</v>
      </c>
      <c r="J13" s="401"/>
      <c r="K13" s="192">
        <v>120</v>
      </c>
      <c r="L13" s="220">
        <v>60</v>
      </c>
      <c r="M13" s="254">
        <f t="shared" si="0"/>
        <v>1.1383919410372898</v>
      </c>
      <c r="N13" s="402"/>
      <c r="O13" s="402">
        <v>1</v>
      </c>
      <c r="P13" s="403">
        <v>1</v>
      </c>
      <c r="Q13" s="404"/>
      <c r="R13" s="632">
        <v>6</v>
      </c>
      <c r="S13" s="638">
        <v>6</v>
      </c>
      <c r="T13" s="735"/>
      <c r="U13" s="748"/>
    </row>
    <row r="14" spans="1:1003" x14ac:dyDescent="0.25">
      <c r="A14" s="400" t="s">
        <v>97</v>
      </c>
      <c r="B14" s="724">
        <f>MC!I78</f>
        <v>0</v>
      </c>
      <c r="C14" s="728">
        <v>331.4</v>
      </c>
      <c r="D14" s="192">
        <v>23.5</v>
      </c>
      <c r="E14" s="192">
        <v>29.75</v>
      </c>
      <c r="F14" s="192">
        <f>18.55+16.8</f>
        <v>35.35</v>
      </c>
      <c r="G14" s="192">
        <v>1840</v>
      </c>
      <c r="H14" s="192">
        <v>27.3</v>
      </c>
      <c r="I14" s="192">
        <v>113.95</v>
      </c>
      <c r="J14" s="401"/>
      <c r="K14" s="192">
        <v>120</v>
      </c>
      <c r="L14" s="220">
        <v>60</v>
      </c>
      <c r="M14" s="254">
        <f t="shared" si="0"/>
        <v>1.1829062228554714</v>
      </c>
      <c r="N14" s="402"/>
      <c r="O14" s="402">
        <v>1</v>
      </c>
      <c r="P14" s="403"/>
      <c r="Q14" s="404"/>
      <c r="R14" s="632">
        <v>6</v>
      </c>
      <c r="S14" s="638">
        <v>6</v>
      </c>
      <c r="T14" s="735"/>
      <c r="U14" s="748"/>
    </row>
    <row r="15" spans="1:1003" x14ac:dyDescent="0.25">
      <c r="A15" s="400" t="s">
        <v>99</v>
      </c>
      <c r="B15" s="724">
        <f>MC!I79</f>
        <v>0</v>
      </c>
      <c r="C15" s="728">
        <v>281</v>
      </c>
      <c r="D15" s="192">
        <v>30</v>
      </c>
      <c r="E15" s="192"/>
      <c r="F15" s="192">
        <v>19</v>
      </c>
      <c r="G15" s="192"/>
      <c r="H15" s="192"/>
      <c r="I15" s="192">
        <v>147</v>
      </c>
      <c r="J15" s="401"/>
      <c r="K15" s="192">
        <v>32</v>
      </c>
      <c r="L15" s="220">
        <v>16</v>
      </c>
      <c r="M15" s="254">
        <f t="shared" si="0"/>
        <v>0.35782820847414148</v>
      </c>
      <c r="N15" s="402">
        <v>1</v>
      </c>
      <c r="O15" s="402"/>
      <c r="P15" s="403"/>
      <c r="Q15" s="404"/>
      <c r="R15" s="632">
        <v>6</v>
      </c>
      <c r="S15" s="638">
        <v>6</v>
      </c>
      <c r="T15" s="735"/>
      <c r="U15" s="748"/>
    </row>
    <row r="16" spans="1:1003" x14ac:dyDescent="0.25">
      <c r="A16" s="400" t="s">
        <v>101</v>
      </c>
      <c r="B16" s="724">
        <f>MC!I80</f>
        <v>0</v>
      </c>
      <c r="C16" s="728">
        <v>289</v>
      </c>
      <c r="D16" s="192">
        <v>21</v>
      </c>
      <c r="E16" s="192">
        <v>0</v>
      </c>
      <c r="F16" s="192">
        <v>24.4</v>
      </c>
      <c r="G16" s="192">
        <v>604.52</v>
      </c>
      <c r="H16" s="192">
        <v>150</v>
      </c>
      <c r="I16" s="192">
        <v>166</v>
      </c>
      <c r="J16" s="401"/>
      <c r="K16" s="192">
        <v>84.6</v>
      </c>
      <c r="L16" s="220">
        <f>K16/2</f>
        <v>42.3</v>
      </c>
      <c r="M16" s="254">
        <f t="shared" si="0"/>
        <v>0.62460796840940391</v>
      </c>
      <c r="N16" s="402">
        <v>1</v>
      </c>
      <c r="O16" s="402"/>
      <c r="P16" s="403"/>
      <c r="Q16" s="404"/>
      <c r="R16" s="632">
        <v>6</v>
      </c>
      <c r="S16" s="638">
        <v>6</v>
      </c>
      <c r="T16" s="735"/>
      <c r="U16" s="748"/>
    </row>
    <row r="17" spans="1:21" x14ac:dyDescent="0.25">
      <c r="A17" s="400" t="s">
        <v>103</v>
      </c>
      <c r="B17" s="724">
        <f>MC!I81</f>
        <v>0</v>
      </c>
      <c r="C17" s="728">
        <v>289</v>
      </c>
      <c r="D17" s="192">
        <v>21</v>
      </c>
      <c r="E17" s="192">
        <v>0</v>
      </c>
      <c r="F17" s="192">
        <v>24.4</v>
      </c>
      <c r="G17" s="192">
        <v>476</v>
      </c>
      <c r="H17" s="192"/>
      <c r="I17" s="192">
        <v>55</v>
      </c>
      <c r="J17" s="401"/>
      <c r="K17" s="192">
        <v>84.6</v>
      </c>
      <c r="L17" s="220">
        <v>42.3</v>
      </c>
      <c r="M17" s="254">
        <f t="shared" si="0"/>
        <v>0.56317463507607046</v>
      </c>
      <c r="N17" s="402">
        <v>1</v>
      </c>
      <c r="O17" s="402"/>
      <c r="P17" s="403"/>
      <c r="Q17" s="404"/>
      <c r="R17" s="633">
        <v>6</v>
      </c>
      <c r="S17" s="639">
        <v>6</v>
      </c>
      <c r="T17" s="736"/>
      <c r="U17" s="748"/>
    </row>
    <row r="18" spans="1:21" x14ac:dyDescent="0.25">
      <c r="A18" s="400" t="s">
        <v>105</v>
      </c>
      <c r="B18" s="724">
        <f>MC!I82</f>
        <v>0</v>
      </c>
      <c r="C18" s="728">
        <v>289</v>
      </c>
      <c r="D18" s="192">
        <v>21</v>
      </c>
      <c r="E18" s="192">
        <v>0</v>
      </c>
      <c r="F18" s="192">
        <v>24.4</v>
      </c>
      <c r="G18" s="192">
        <v>1147.47</v>
      </c>
      <c r="H18" s="192">
        <v>150</v>
      </c>
      <c r="I18" s="192">
        <v>259.2</v>
      </c>
      <c r="J18" s="401"/>
      <c r="K18" s="192">
        <v>84.6</v>
      </c>
      <c r="L18" s="220">
        <v>42.3</v>
      </c>
      <c r="M18" s="254">
        <f t="shared" si="0"/>
        <v>0.83605611655755208</v>
      </c>
      <c r="N18" s="402">
        <v>1</v>
      </c>
      <c r="O18" s="402"/>
      <c r="P18" s="403"/>
      <c r="Q18" s="404"/>
      <c r="R18" s="634">
        <v>6</v>
      </c>
      <c r="S18" s="640">
        <v>6</v>
      </c>
      <c r="T18" s="737"/>
      <c r="U18" s="748"/>
    </row>
    <row r="19" spans="1:21" x14ac:dyDescent="0.25">
      <c r="A19" s="400" t="s">
        <v>107</v>
      </c>
      <c r="B19" s="724">
        <f>MC!I83</f>
        <v>0</v>
      </c>
      <c r="C19" s="728">
        <v>289</v>
      </c>
      <c r="D19" s="192">
        <v>21</v>
      </c>
      <c r="E19" s="192">
        <v>0</v>
      </c>
      <c r="F19" s="192">
        <v>24.4</v>
      </c>
      <c r="G19" s="192">
        <v>1364.38</v>
      </c>
      <c r="H19" s="192">
        <v>200</v>
      </c>
      <c r="I19" s="192">
        <v>74.5</v>
      </c>
      <c r="J19" s="401"/>
      <c r="K19" s="192">
        <v>84.6</v>
      </c>
      <c r="L19" s="220">
        <v>42.3</v>
      </c>
      <c r="M19" s="254">
        <f t="shared" si="0"/>
        <v>0.89637093137236701</v>
      </c>
      <c r="N19" s="402">
        <v>1</v>
      </c>
      <c r="O19" s="402"/>
      <c r="P19" s="403"/>
      <c r="Q19" s="404"/>
      <c r="R19" s="632">
        <v>6</v>
      </c>
      <c r="S19" s="638">
        <v>6</v>
      </c>
      <c r="T19" s="736"/>
      <c r="U19" s="748"/>
    </row>
    <row r="20" spans="1:21" x14ac:dyDescent="0.25">
      <c r="A20" s="400" t="s">
        <v>109</v>
      </c>
      <c r="B20" s="724">
        <f>MC!I84</f>
        <v>0</v>
      </c>
      <c r="C20" s="728">
        <v>289</v>
      </c>
      <c r="D20" s="192">
        <v>21</v>
      </c>
      <c r="E20" s="192">
        <v>0</v>
      </c>
      <c r="F20" s="192">
        <v>24.4</v>
      </c>
      <c r="G20" s="192">
        <v>1078.0999999999999</v>
      </c>
      <c r="H20" s="192">
        <v>350</v>
      </c>
      <c r="I20" s="192">
        <v>91.5</v>
      </c>
      <c r="J20" s="401"/>
      <c r="K20" s="192">
        <v>84.6</v>
      </c>
      <c r="L20" s="220">
        <v>42.3</v>
      </c>
      <c r="M20" s="254">
        <f t="shared" si="0"/>
        <v>0.79373019063162609</v>
      </c>
      <c r="N20" s="402">
        <v>1</v>
      </c>
      <c r="O20" s="402"/>
      <c r="P20" s="403"/>
      <c r="Q20" s="404"/>
      <c r="R20" s="632">
        <v>6</v>
      </c>
      <c r="S20" s="638">
        <v>6</v>
      </c>
      <c r="T20" s="737"/>
      <c r="U20" s="748"/>
    </row>
    <row r="21" spans="1:21" x14ac:dyDescent="0.25">
      <c r="A21" s="405" t="s">
        <v>111</v>
      </c>
      <c r="B21" s="724">
        <f>MC!I85</f>
        <v>0</v>
      </c>
      <c r="C21" s="730">
        <v>289</v>
      </c>
      <c r="D21" s="205">
        <v>21</v>
      </c>
      <c r="E21" s="205">
        <v>0</v>
      </c>
      <c r="F21" s="205">
        <v>24.4</v>
      </c>
      <c r="G21" s="205">
        <v>878.64</v>
      </c>
      <c r="H21" s="205">
        <v>150</v>
      </c>
      <c r="I21" s="205">
        <v>66.7</v>
      </c>
      <c r="J21" s="406"/>
      <c r="K21" s="205">
        <v>84.6</v>
      </c>
      <c r="L21" s="223">
        <v>42.3</v>
      </c>
      <c r="M21" s="254">
        <f t="shared" si="0"/>
        <v>0.71510056100199648</v>
      </c>
      <c r="N21" s="402">
        <v>1</v>
      </c>
      <c r="O21" s="402"/>
      <c r="P21" s="407"/>
      <c r="Q21" s="404"/>
      <c r="R21" s="632">
        <v>6</v>
      </c>
      <c r="S21" s="638">
        <v>6</v>
      </c>
      <c r="T21" s="738"/>
      <c r="U21" s="748"/>
    </row>
    <row r="22" spans="1:21" x14ac:dyDescent="0.25">
      <c r="A22" s="408" t="s">
        <v>393</v>
      </c>
      <c r="B22" s="408"/>
      <c r="C22" s="409">
        <f t="shared" ref="C22:U22" si="1">SUM(C4:C21)</f>
        <v>10545.779999999999</v>
      </c>
      <c r="D22" s="410">
        <f t="shared" si="1"/>
        <v>5108.54</v>
      </c>
      <c r="E22" s="410">
        <f t="shared" si="1"/>
        <v>3336.58</v>
      </c>
      <c r="F22" s="410">
        <f t="shared" si="1"/>
        <v>795.83999999999992</v>
      </c>
      <c r="G22" s="410">
        <f t="shared" si="1"/>
        <v>12837.65</v>
      </c>
      <c r="H22" s="410">
        <f t="shared" si="1"/>
        <v>2117.4399999999996</v>
      </c>
      <c r="I22" s="410">
        <f t="shared" si="1"/>
        <v>2429.6499999999996</v>
      </c>
      <c r="J22" s="410">
        <f t="shared" si="1"/>
        <v>582.5</v>
      </c>
      <c r="K22" s="410">
        <f t="shared" si="1"/>
        <v>1748.0999999999995</v>
      </c>
      <c r="L22" s="411">
        <f t="shared" si="1"/>
        <v>2594.0500000000011</v>
      </c>
      <c r="M22" s="269">
        <f t="shared" si="1"/>
        <v>22.52206659469136</v>
      </c>
      <c r="N22" s="513">
        <f t="shared" si="1"/>
        <v>10</v>
      </c>
      <c r="O22" s="513">
        <f t="shared" si="1"/>
        <v>14</v>
      </c>
      <c r="P22" s="412">
        <f t="shared" si="1"/>
        <v>6</v>
      </c>
      <c r="Q22" s="413">
        <f t="shared" si="1"/>
        <v>2</v>
      </c>
      <c r="R22" s="612">
        <f t="shared" si="1"/>
        <v>108</v>
      </c>
      <c r="S22" s="613">
        <f t="shared" si="1"/>
        <v>108</v>
      </c>
      <c r="T22" s="739">
        <f t="shared" si="1"/>
        <v>22</v>
      </c>
      <c r="U22" s="749">
        <f t="shared" si="1"/>
        <v>1</v>
      </c>
    </row>
    <row r="23" spans="1:21" x14ac:dyDescent="0.25">
      <c r="A23" s="270" t="s">
        <v>394</v>
      </c>
      <c r="B23" s="270"/>
      <c r="C23" s="271">
        <v>1100</v>
      </c>
      <c r="D23" s="272">
        <v>2500</v>
      </c>
      <c r="E23" s="272">
        <v>1500</v>
      </c>
      <c r="F23" s="272">
        <v>300</v>
      </c>
      <c r="G23" s="272">
        <v>2700</v>
      </c>
      <c r="H23" s="272">
        <v>100000</v>
      </c>
      <c r="I23" s="272">
        <v>9000</v>
      </c>
      <c r="J23" s="272">
        <v>160</v>
      </c>
      <c r="K23" s="272">
        <v>380</v>
      </c>
      <c r="L23" s="273">
        <v>380</v>
      </c>
      <c r="M23" s="414"/>
      <c r="N23" s="523" t="s">
        <v>395</v>
      </c>
      <c r="O23" s="524">
        <f>N22+O22</f>
        <v>24</v>
      </c>
      <c r="P23" s="521" t="s">
        <v>395</v>
      </c>
      <c r="Q23" s="522">
        <f>P22+Q22</f>
        <v>8</v>
      </c>
      <c r="R23" s="608"/>
      <c r="S23" s="608"/>
      <c r="T23" s="608"/>
      <c r="U23"/>
    </row>
    <row r="24" spans="1:21" x14ac:dyDescent="0.25">
      <c r="A24" s="276" t="s">
        <v>396</v>
      </c>
      <c r="B24" s="276"/>
      <c r="C24" s="277">
        <f t="shared" ref="C24:I24" si="2">C22/C23</f>
        <v>9.5870727272727265</v>
      </c>
      <c r="D24" s="278">
        <f t="shared" si="2"/>
        <v>2.0434160000000001</v>
      </c>
      <c r="E24" s="278">
        <f t="shared" si="2"/>
        <v>2.2243866666666667</v>
      </c>
      <c r="F24" s="278">
        <f t="shared" si="2"/>
        <v>2.6527999999999996</v>
      </c>
      <c r="G24" s="278">
        <f t="shared" si="2"/>
        <v>4.7546851851851848</v>
      </c>
      <c r="H24" s="278">
        <f t="shared" si="2"/>
        <v>2.1174399999999996E-2</v>
      </c>
      <c r="I24" s="278">
        <f t="shared" si="2"/>
        <v>0.2699611111111111</v>
      </c>
      <c r="J24" s="278">
        <f>1/J23*8*1/1132.6*J22</f>
        <v>2.5715168638530819E-2</v>
      </c>
      <c r="K24" s="278">
        <f>1/K23*16*1/188.76*K22</f>
        <v>0.38993542342824628</v>
      </c>
      <c r="L24" s="279">
        <f>1/L23*16*1/188.76*L22</f>
        <v>0.57863508102742578</v>
      </c>
      <c r="M24" s="280">
        <f>SUM(C24:L24)-J24</f>
        <v>22.52206659469136</v>
      </c>
      <c r="N24" s="520" t="s">
        <v>397</v>
      </c>
      <c r="O24" s="518">
        <f>O22+(N22*0.85)</f>
        <v>22.5</v>
      </c>
      <c r="P24" s="275"/>
      <c r="Q24" s="228"/>
      <c r="R24" s="228"/>
      <c r="S24" s="228"/>
      <c r="T24" s="228"/>
      <c r="U24" s="228"/>
    </row>
    <row r="25" spans="1:21" ht="13.9" customHeight="1" x14ac:dyDescent="0.25">
      <c r="A25" s="281" t="s">
        <v>398</v>
      </c>
      <c r="B25" s="281"/>
      <c r="C25" s="282">
        <f>C22/(M22*C23)</f>
        <v>0.42567464610607625</v>
      </c>
      <c r="D25" s="283">
        <f>D22/(M22*D23)</f>
        <v>9.0729507055167413E-2</v>
      </c>
      <c r="E25" s="283">
        <f>E22/(M22*E23)</f>
        <v>9.8764767314513363E-2</v>
      </c>
      <c r="F25" s="283">
        <f>F22/(M22*F23)</f>
        <v>0.11778670437930802</v>
      </c>
      <c r="G25" s="283">
        <f>G22/(M22*G23)</f>
        <v>0.21111229580974175</v>
      </c>
      <c r="H25" s="283">
        <f>H22/(M22*H23)</f>
        <v>9.4016239189129202E-4</v>
      </c>
      <c r="I25" s="283">
        <f>I22/(M22*I23)</f>
        <v>1.1986515978722094E-2</v>
      </c>
      <c r="J25" s="283">
        <f>1/4*1/J23*8*1/1132.6*J22</f>
        <v>6.4287921596327046E-3</v>
      </c>
      <c r="K25" s="283">
        <f>1/M22*1/K23*16*1/188.76*K22</f>
        <v>1.7313483280444495E-2</v>
      </c>
      <c r="L25" s="284">
        <f>1/M22*1/L23*16*1/188.76*L22</f>
        <v>2.5691917684135389E-2</v>
      </c>
      <c r="M25" s="285">
        <f>SUM(C25:L25)-J25</f>
        <v>1.0000000000000002</v>
      </c>
      <c r="N25" s="228"/>
      <c r="O25" s="228"/>
      <c r="P25" s="228"/>
      <c r="Q25" s="228"/>
      <c r="R25" s="228"/>
      <c r="S25" s="228"/>
      <c r="T25" s="228"/>
      <c r="U25"/>
    </row>
    <row r="26" spans="1:21" ht="13.9" hidden="1" customHeight="1" x14ac:dyDescent="0.25">
      <c r="A26" s="286" t="s">
        <v>399</v>
      </c>
      <c r="B26" s="286"/>
      <c r="C26" s="287">
        <f t="shared" ref="C26:I26" si="3">ROUND(1/C23,9)</f>
        <v>9.09091E-4</v>
      </c>
      <c r="D26" s="288">
        <f t="shared" si="3"/>
        <v>4.0000000000000002E-4</v>
      </c>
      <c r="E26" s="288">
        <f t="shared" si="3"/>
        <v>6.6666700000000002E-4</v>
      </c>
      <c r="F26" s="288">
        <f t="shared" si="3"/>
        <v>3.333333E-3</v>
      </c>
      <c r="G26" s="288">
        <f t="shared" si="3"/>
        <v>3.7037000000000002E-4</v>
      </c>
      <c r="H26" s="288">
        <f t="shared" si="3"/>
        <v>1.0000000000000001E-5</v>
      </c>
      <c r="I26" s="288">
        <f t="shared" si="3"/>
        <v>1.11111E-4</v>
      </c>
      <c r="J26" s="289">
        <f>(1/J23)*(1/L34)*8</f>
        <v>4.8611111111111115E-5</v>
      </c>
      <c r="K26" s="289">
        <f>(1/K23)*(1/L33)*16</f>
        <v>2.4561403508771931E-4</v>
      </c>
      <c r="L26" s="290">
        <f>(1/L23)*(1/L33)*16</f>
        <v>2.4561403508771931E-4</v>
      </c>
      <c r="M26"/>
      <c r="N26"/>
      <c r="O26"/>
      <c r="P26"/>
      <c r="Q26"/>
      <c r="R26"/>
      <c r="S26"/>
      <c r="T26"/>
      <c r="U26"/>
    </row>
    <row r="27" spans="1:21" ht="13.9" hidden="1" customHeight="1" x14ac:dyDescent="0.25">
      <c r="A27" s="291" t="s">
        <v>400</v>
      </c>
      <c r="B27" s="291"/>
      <c r="C27" s="292" t="e">
        <f>C26/#REF!</f>
        <v>#REF!</v>
      </c>
      <c r="D27" s="293" t="e">
        <f>D26/#REF!</f>
        <v>#REF!</v>
      </c>
      <c r="E27" s="293" t="e">
        <f>E26/#REF!</f>
        <v>#REF!</v>
      </c>
      <c r="F27" s="293" t="e">
        <f>F26/#REF!</f>
        <v>#REF!</v>
      </c>
      <c r="G27" s="293" t="e">
        <f>G26/#REF!</f>
        <v>#REF!</v>
      </c>
      <c r="H27" s="293" t="e">
        <f>H26/#REF!</f>
        <v>#REF!</v>
      </c>
      <c r="I27" s="293" t="e">
        <f>I26/#REF!</f>
        <v>#REF!</v>
      </c>
      <c r="J27" s="294" t="e">
        <f>J26/#REF!</f>
        <v>#REF!</v>
      </c>
      <c r="K27" s="294" t="e">
        <f>K26/#REF!</f>
        <v>#REF!</v>
      </c>
      <c r="L27" s="295" t="e">
        <f>L26/#REF!</f>
        <v>#REF!</v>
      </c>
      <c r="M27"/>
      <c r="N27"/>
      <c r="O27"/>
      <c r="P27"/>
      <c r="Q27"/>
      <c r="R27"/>
      <c r="S27"/>
      <c r="T27"/>
      <c r="U27"/>
    </row>
    <row r="28" spans="1:21" ht="13.9" hidden="1" customHeight="1" x14ac:dyDescent="0.25">
      <c r="A28" s="296" t="s">
        <v>401</v>
      </c>
      <c r="B28" s="296"/>
      <c r="C28" s="297" t="s">
        <v>402</v>
      </c>
      <c r="D28" s="298" t="s">
        <v>403</v>
      </c>
      <c r="E28" s="298" t="s">
        <v>404</v>
      </c>
      <c r="F28" s="298" t="s">
        <v>405</v>
      </c>
      <c r="G28" s="299" t="s">
        <v>406</v>
      </c>
      <c r="H28" s="304">
        <v>100000</v>
      </c>
      <c r="I28" s="299" t="s">
        <v>407</v>
      </c>
      <c r="J28" s="300" t="s">
        <v>408</v>
      </c>
      <c r="K28" s="300" t="s">
        <v>409</v>
      </c>
      <c r="L28" s="301" t="s">
        <v>409</v>
      </c>
      <c r="M28"/>
      <c r="N28"/>
      <c r="O28"/>
      <c r="P28"/>
      <c r="Q28"/>
      <c r="R28"/>
      <c r="S28"/>
      <c r="T28"/>
      <c r="U28"/>
    </row>
    <row r="29" spans="1:21" ht="13.9" hidden="1" customHeight="1" x14ac:dyDescent="0.25">
      <c r="C29"/>
      <c r="J29"/>
      <c r="K29"/>
      <c r="L29"/>
      <c r="M29"/>
      <c r="N29"/>
      <c r="O29"/>
      <c r="P29"/>
      <c r="Q29"/>
      <c r="R29"/>
      <c r="S29"/>
      <c r="T29"/>
      <c r="U29"/>
    </row>
    <row r="30" spans="1:21" ht="13.9" hidden="1" customHeight="1" x14ac:dyDescent="0.25">
      <c r="C30"/>
      <c r="J30"/>
      <c r="K30"/>
      <c r="L30"/>
      <c r="M30"/>
      <c r="N30"/>
      <c r="O30"/>
      <c r="P30"/>
      <c r="Q30"/>
      <c r="R30"/>
      <c r="S30"/>
      <c r="T30"/>
      <c r="U30"/>
    </row>
    <row r="31" spans="1:21" ht="13.9" hidden="1" customHeight="1" x14ac:dyDescent="0.25">
      <c r="C31"/>
      <c r="J31"/>
      <c r="K31"/>
      <c r="L31"/>
      <c r="M31"/>
      <c r="N31"/>
      <c r="O31"/>
      <c r="P31"/>
      <c r="Q31"/>
      <c r="R31"/>
      <c r="S31"/>
      <c r="T31"/>
      <c r="U31"/>
    </row>
    <row r="32" spans="1:21" ht="13.9" hidden="1" customHeight="1" x14ac:dyDescent="0.25">
      <c r="C32"/>
      <c r="J32"/>
      <c r="K32"/>
      <c r="L32"/>
      <c r="M32"/>
      <c r="N32"/>
      <c r="O32"/>
      <c r="P32"/>
      <c r="Q32"/>
      <c r="R32"/>
      <c r="S32"/>
      <c r="T32"/>
      <c r="U32"/>
    </row>
    <row r="33" spans="3:21" ht="13.9" hidden="1" customHeight="1" x14ac:dyDescent="0.25">
      <c r="C33"/>
      <c r="J33" s="104">
        <f>30/7</f>
        <v>4.2857142857142856</v>
      </c>
      <c r="K33" s="104">
        <v>40</v>
      </c>
      <c r="L33" s="104">
        <f>J33*K33</f>
        <v>171.42857142857142</v>
      </c>
      <c r="M33" s="104"/>
      <c r="N33" s="104"/>
      <c r="O33" s="104"/>
      <c r="P33" s="104"/>
      <c r="Q33" s="104"/>
      <c r="R33" s="104"/>
      <c r="S33" s="104"/>
      <c r="T33" s="104"/>
      <c r="U33"/>
    </row>
    <row r="34" spans="3:21" ht="13.9" hidden="1" customHeight="1" x14ac:dyDescent="0.25">
      <c r="C34"/>
      <c r="J34" s="104"/>
      <c r="K34" s="104"/>
      <c r="L34" s="104">
        <f>L33*6</f>
        <v>1028.5714285714284</v>
      </c>
      <c r="M34" s="104" t="s">
        <v>410</v>
      </c>
      <c r="N34" s="104"/>
      <c r="O34" s="104"/>
      <c r="P34" s="104"/>
      <c r="Q34" s="104"/>
      <c r="R34" s="104"/>
      <c r="S34" s="104"/>
      <c r="T34" s="104"/>
      <c r="U34" s="104" t="s">
        <v>411</v>
      </c>
    </row>
    <row r="35" spans="3:21" x14ac:dyDescent="0.25">
      <c r="C35" s="298" t="s">
        <v>402</v>
      </c>
      <c r="D35" s="298" t="s">
        <v>403</v>
      </c>
      <c r="E35" s="298" t="s">
        <v>404</v>
      </c>
      <c r="F35" s="298" t="s">
        <v>405</v>
      </c>
      <c r="G35" s="299" t="s">
        <v>406</v>
      </c>
      <c r="H35" s="304">
        <v>100000</v>
      </c>
      <c r="I35" s="299" t="s">
        <v>407</v>
      </c>
      <c r="J35" s="299" t="s">
        <v>408</v>
      </c>
      <c r="K35" s="300" t="s">
        <v>409</v>
      </c>
      <c r="L35" s="301" t="s">
        <v>409</v>
      </c>
    </row>
  </sheetData>
  <mergeCells count="18">
    <mergeCell ref="A2:A3"/>
    <mergeCell ref="C2:C3"/>
    <mergeCell ref="D2:D3"/>
    <mergeCell ref="E2:E3"/>
    <mergeCell ref="F2:F3"/>
    <mergeCell ref="B2:B3"/>
    <mergeCell ref="M2:M3"/>
    <mergeCell ref="N2:O2"/>
    <mergeCell ref="P2:Q2"/>
    <mergeCell ref="C1:F1"/>
    <mergeCell ref="G1:I1"/>
    <mergeCell ref="J1:L1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G192"/>
  <sheetViews>
    <sheetView zoomScale="80" zoomScaleNormal="80" workbookViewId="0">
      <pane xSplit="2" ySplit="10" topLeftCell="M145" activePane="bottomRight" state="frozen"/>
      <selection pane="topRight"/>
      <selection pane="bottomLeft"/>
      <selection pane="bottomRight" activeCell="M146" sqref="M146:AC193"/>
    </sheetView>
  </sheetViews>
  <sheetFormatPr defaultRowHeight="14.25" x14ac:dyDescent="0.2"/>
  <cols>
    <col min="1" max="1" width="50.25" style="104" customWidth="1"/>
    <col min="2" max="2" width="12.875" style="104" customWidth="1"/>
    <col min="3" max="3" width="13" style="104" customWidth="1"/>
    <col min="4" max="4" width="13.875" style="104" customWidth="1"/>
    <col min="5" max="5" width="15.375" style="104" customWidth="1"/>
    <col min="6" max="12" width="15" style="104" customWidth="1"/>
    <col min="13" max="1021" width="9" style="104"/>
  </cols>
  <sheetData>
    <row r="1" spans="1:6" ht="15.75" x14ac:dyDescent="0.2">
      <c r="A1" s="923" t="s">
        <v>412</v>
      </c>
      <c r="B1" s="923"/>
      <c r="C1" s="923"/>
      <c r="D1" s="923"/>
      <c r="E1" s="923"/>
      <c r="F1" s="923"/>
    </row>
    <row r="2" spans="1:6" ht="15.75" x14ac:dyDescent="0.2">
      <c r="A2" s="924" t="s">
        <v>413</v>
      </c>
      <c r="B2" s="924"/>
      <c r="C2" s="924"/>
      <c r="D2" s="924"/>
      <c r="E2" s="924"/>
      <c r="F2" s="924"/>
    </row>
    <row r="3" spans="1:6" ht="15.75" customHeight="1" x14ac:dyDescent="0.2">
      <c r="A3" s="924" t="s">
        <v>414</v>
      </c>
      <c r="B3" s="924"/>
      <c r="C3" s="924"/>
      <c r="D3" s="924"/>
      <c r="E3" s="924"/>
      <c r="F3" s="924"/>
    </row>
    <row r="4" spans="1:6" ht="15.75" x14ac:dyDescent="0.2">
      <c r="A4" s="105"/>
      <c r="B4" s="106"/>
      <c r="C4" s="107" t="s">
        <v>415</v>
      </c>
      <c r="D4" s="306" t="s">
        <v>416</v>
      </c>
      <c r="E4" s="307" t="s">
        <v>417</v>
      </c>
      <c r="F4" s="307" t="s">
        <v>418</v>
      </c>
    </row>
    <row r="5" spans="1:6" x14ac:dyDescent="0.2">
      <c r="A5" s="108"/>
      <c r="B5" s="109" t="s">
        <v>419</v>
      </c>
      <c r="C5" s="110">
        <f>MC!D11</f>
        <v>0</v>
      </c>
      <c r="D5" s="308">
        <f>MC!E11</f>
        <v>0</v>
      </c>
      <c r="E5" s="309">
        <f>MC!C11</f>
        <v>0</v>
      </c>
      <c r="F5" s="309">
        <f>MC!D12</f>
        <v>0</v>
      </c>
    </row>
    <row r="6" spans="1:6" x14ac:dyDescent="0.2">
      <c r="A6" s="108"/>
      <c r="B6" s="109" t="s">
        <v>420</v>
      </c>
      <c r="C6" s="111">
        <f>MC!D8</f>
        <v>0</v>
      </c>
      <c r="D6" s="310">
        <f>MC!D8</f>
        <v>0</v>
      </c>
      <c r="E6" s="311">
        <f>MC!D8</f>
        <v>0</v>
      </c>
      <c r="F6" s="311">
        <f>MC!D8</f>
        <v>0</v>
      </c>
    </row>
    <row r="7" spans="1:6" x14ac:dyDescent="0.2">
      <c r="A7" s="108"/>
      <c r="B7" s="109" t="s">
        <v>421</v>
      </c>
      <c r="C7" s="111">
        <f>MC!C8</f>
        <v>0</v>
      </c>
      <c r="D7" s="310">
        <f>MC!C8</f>
        <v>0</v>
      </c>
      <c r="E7" s="311">
        <f>MC!C8</f>
        <v>0</v>
      </c>
      <c r="F7" s="311">
        <f>MC!C8</f>
        <v>0</v>
      </c>
    </row>
    <row r="8" spans="1:6" x14ac:dyDescent="0.2">
      <c r="A8" s="108"/>
      <c r="B8" s="109" t="s">
        <v>422</v>
      </c>
      <c r="C8" s="112">
        <f>MC!E8</f>
        <v>0</v>
      </c>
      <c r="D8" s="312">
        <f>MC!E8</f>
        <v>0</v>
      </c>
      <c r="E8" s="313">
        <f>MC!E8</f>
        <v>0</v>
      </c>
      <c r="F8" s="313">
        <f>MC!E8</f>
        <v>0</v>
      </c>
    </row>
    <row r="9" spans="1:6" x14ac:dyDescent="0.2">
      <c r="A9" s="925"/>
      <c r="B9" s="925"/>
      <c r="C9" s="925"/>
      <c r="D9" s="925"/>
      <c r="E9" s="925"/>
      <c r="F9" s="925"/>
    </row>
    <row r="10" spans="1:6" ht="66.75" customHeight="1" x14ac:dyDescent="0.2">
      <c r="A10" s="314" t="s">
        <v>423</v>
      </c>
      <c r="B10" s="315" t="s">
        <v>424</v>
      </c>
      <c r="C10" s="315" t="s">
        <v>425</v>
      </c>
      <c r="D10" s="392" t="s">
        <v>416</v>
      </c>
      <c r="E10" s="315" t="s">
        <v>426</v>
      </c>
      <c r="F10" s="315" t="s">
        <v>427</v>
      </c>
    </row>
    <row r="11" spans="1:6" ht="15.75" customHeight="1" x14ac:dyDescent="0.2">
      <c r="A11" s="498" t="s">
        <v>428</v>
      </c>
      <c r="B11" s="498"/>
      <c r="C11" s="498"/>
      <c r="D11" s="498"/>
      <c r="E11" s="498"/>
      <c r="F11" s="498"/>
    </row>
    <row r="12" spans="1:6" ht="15.75" customHeight="1" x14ac:dyDescent="0.2">
      <c r="A12" s="113" t="s">
        <v>429</v>
      </c>
      <c r="B12" s="114" t="s">
        <v>430</v>
      </c>
      <c r="C12" s="114" t="s">
        <v>431</v>
      </c>
      <c r="D12" s="114" t="s">
        <v>431</v>
      </c>
      <c r="E12" s="316"/>
      <c r="F12" s="115" t="s">
        <v>431</v>
      </c>
    </row>
    <row r="13" spans="1:6" ht="15.75" customHeight="1" x14ac:dyDescent="0.2">
      <c r="A13" s="116" t="s">
        <v>432</v>
      </c>
      <c r="B13" s="117"/>
      <c r="C13" s="118">
        <f>C5</f>
        <v>0</v>
      </c>
      <c r="D13" s="317">
        <f>D5</f>
        <v>0</v>
      </c>
      <c r="E13" s="317">
        <f>E5</f>
        <v>0</v>
      </c>
      <c r="F13" s="119">
        <f>F5</f>
        <v>0</v>
      </c>
    </row>
    <row r="14" spans="1:6" ht="15.75" customHeight="1" x14ac:dyDescent="0.2">
      <c r="A14" s="116" t="s">
        <v>433</v>
      </c>
      <c r="B14" s="120">
        <v>0</v>
      </c>
      <c r="C14" s="118">
        <f>C13*$B$14</f>
        <v>0</v>
      </c>
      <c r="D14" s="118">
        <f>D13*$B$14</f>
        <v>0</v>
      </c>
      <c r="E14" s="118">
        <f>E13*$B$14</f>
        <v>0</v>
      </c>
      <c r="F14" s="119">
        <f>F13*$B$14</f>
        <v>0</v>
      </c>
    </row>
    <row r="15" spans="1:6" ht="15.75" customHeight="1" x14ac:dyDescent="0.2">
      <c r="A15" s="116" t="s">
        <v>434</v>
      </c>
      <c r="B15" s="121"/>
      <c r="C15" s="118"/>
      <c r="D15" s="317"/>
      <c r="E15" s="317"/>
      <c r="F15" s="119"/>
    </row>
    <row r="16" spans="1:6" ht="15.75" customHeight="1" x14ac:dyDescent="0.2">
      <c r="A16" s="116" t="s">
        <v>435</v>
      </c>
      <c r="B16" s="121"/>
      <c r="C16" s="118"/>
      <c r="D16" s="317"/>
      <c r="E16" s="317"/>
      <c r="F16" s="119"/>
    </row>
    <row r="17" spans="1:6" ht="15.75" customHeight="1" x14ac:dyDescent="0.2">
      <c r="A17" s="116" t="s">
        <v>436</v>
      </c>
      <c r="B17" s="121"/>
      <c r="C17" s="118"/>
      <c r="D17" s="317"/>
      <c r="E17" s="317"/>
      <c r="F17" s="119"/>
    </row>
    <row r="18" spans="1:6" ht="15.75" customHeight="1" x14ac:dyDescent="0.2">
      <c r="A18" s="116" t="s">
        <v>437</v>
      </c>
      <c r="B18" s="122"/>
      <c r="C18" s="118"/>
      <c r="D18" s="118"/>
      <c r="E18" s="317">
        <f>MC!C13</f>
        <v>0</v>
      </c>
      <c r="F18" s="119"/>
    </row>
    <row r="19" spans="1:6" ht="15.75" customHeight="1" x14ac:dyDescent="0.2">
      <c r="A19" s="123" t="s">
        <v>438</v>
      </c>
      <c r="B19" s="124"/>
      <c r="C19" s="133">
        <f>SUM(C13:C18)</f>
        <v>0</v>
      </c>
      <c r="D19" s="318">
        <f>SUM(D13:D18)</f>
        <v>0</v>
      </c>
      <c r="E19" s="318">
        <f>SUM(E13:E18)</f>
        <v>0</v>
      </c>
      <c r="F19" s="134">
        <f>SUM(F13:F18)</f>
        <v>0</v>
      </c>
    </row>
    <row r="20" spans="1:6" ht="15.75" customHeight="1" x14ac:dyDescent="0.2">
      <c r="A20" s="917"/>
      <c r="B20" s="917"/>
      <c r="C20" s="126"/>
      <c r="D20" s="319"/>
      <c r="E20" s="319"/>
      <c r="F20" s="127"/>
    </row>
    <row r="21" spans="1:6" ht="15.75" customHeight="1" x14ac:dyDescent="0.2">
      <c r="A21" s="922" t="s">
        <v>439</v>
      </c>
      <c r="B21" s="922"/>
      <c r="C21" s="922"/>
      <c r="D21" s="922"/>
      <c r="E21" s="922"/>
      <c r="F21" s="922"/>
    </row>
    <row r="22" spans="1:6" ht="15.75" customHeight="1" x14ac:dyDescent="0.2">
      <c r="A22" s="128" t="s">
        <v>440</v>
      </c>
      <c r="B22" s="129" t="s">
        <v>430</v>
      </c>
      <c r="C22" s="129" t="s">
        <v>431</v>
      </c>
      <c r="D22" s="129" t="s">
        <v>431</v>
      </c>
      <c r="E22" s="129" t="s">
        <v>431</v>
      </c>
      <c r="F22" s="130" t="s">
        <v>431</v>
      </c>
    </row>
    <row r="23" spans="1:6" ht="15.75" customHeight="1" x14ac:dyDescent="0.2">
      <c r="A23" s="131" t="s">
        <v>441</v>
      </c>
      <c r="B23" s="120">
        <f>1/12</f>
        <v>8.3333333333333329E-2</v>
      </c>
      <c r="C23" s="118">
        <f>ROUND($B23*C$19,2)</f>
        <v>0</v>
      </c>
      <c r="D23" s="118">
        <f>ROUND($B23*D$19,2)</f>
        <v>0</v>
      </c>
      <c r="E23" s="118">
        <f>ROUND($B23*E$19,2)</f>
        <v>0</v>
      </c>
      <c r="F23" s="119">
        <f>ROUND($B23*F$19,2)</f>
        <v>0</v>
      </c>
    </row>
    <row r="24" spans="1:6" ht="15.75" customHeight="1" x14ac:dyDescent="0.2">
      <c r="A24" s="131" t="s">
        <v>442</v>
      </c>
      <c r="B24" s="120">
        <f>1/3*1/12</f>
        <v>2.7777777777777776E-2</v>
      </c>
      <c r="C24" s="118">
        <f>C$19*$B$24</f>
        <v>0</v>
      </c>
      <c r="D24" s="118">
        <f>D$19*$B$24</f>
        <v>0</v>
      </c>
      <c r="E24" s="118">
        <f>E$19*$B$24</f>
        <v>0</v>
      </c>
      <c r="F24" s="119">
        <f>F$19*$B$24</f>
        <v>0</v>
      </c>
    </row>
    <row r="25" spans="1:6" ht="15.75" customHeight="1" x14ac:dyDescent="0.2">
      <c r="A25" s="123" t="s">
        <v>438</v>
      </c>
      <c r="B25" s="132">
        <f>SUM(B23:B24)</f>
        <v>0.1111111111111111</v>
      </c>
      <c r="C25" s="133">
        <f>SUM(C23:C24)</f>
        <v>0</v>
      </c>
      <c r="D25" s="133">
        <f>SUM(D23:D24)</f>
        <v>0</v>
      </c>
      <c r="E25" s="133">
        <f>SUM(E23:E24)</f>
        <v>0</v>
      </c>
      <c r="F25" s="134">
        <f>SUM(F23:F24)</f>
        <v>0</v>
      </c>
    </row>
    <row r="26" spans="1:6" ht="15.75" customHeight="1" x14ac:dyDescent="0.2">
      <c r="A26" s="128" t="s">
        <v>443</v>
      </c>
      <c r="B26" s="129" t="s">
        <v>430</v>
      </c>
      <c r="C26" s="129" t="s">
        <v>431</v>
      </c>
      <c r="D26" s="129" t="s">
        <v>431</v>
      </c>
      <c r="E26" s="129" t="s">
        <v>431</v>
      </c>
      <c r="F26" s="130" t="s">
        <v>431</v>
      </c>
    </row>
    <row r="27" spans="1:6" ht="15.75" customHeight="1" x14ac:dyDescent="0.2">
      <c r="A27" s="128" t="s">
        <v>444</v>
      </c>
      <c r="B27" s="135"/>
      <c r="C27" s="135"/>
      <c r="D27" s="135"/>
      <c r="E27" s="320"/>
      <c r="F27" s="136"/>
    </row>
    <row r="28" spans="1:6" ht="15.75" customHeight="1" x14ac:dyDescent="0.2">
      <c r="A28" s="131" t="s">
        <v>445</v>
      </c>
      <c r="B28" s="120">
        <v>0.2</v>
      </c>
      <c r="C28" s="137">
        <f t="shared" ref="C28:C35" si="0">ROUND(($C$19+$C$25)*B28,2)</f>
        <v>0</v>
      </c>
      <c r="D28" s="137">
        <f t="shared" ref="D28:D35" si="1">ROUND(($D$19+$D$25)*B28,2)</f>
        <v>0</v>
      </c>
      <c r="E28" s="137">
        <f t="shared" ref="E28:E35" si="2">ROUND(($E$19+$E$25)*B28,2)</f>
        <v>0</v>
      </c>
      <c r="F28" s="138">
        <f t="shared" ref="F28:F35" si="3">ROUND(($F$19+$F$25)*B28,2)</f>
        <v>0</v>
      </c>
    </row>
    <row r="29" spans="1:6" ht="15.75" customHeight="1" x14ac:dyDescent="0.2">
      <c r="A29" s="131" t="s">
        <v>446</v>
      </c>
      <c r="B29" s="120">
        <v>2.5000000000000001E-2</v>
      </c>
      <c r="C29" s="137">
        <f t="shared" si="0"/>
        <v>0</v>
      </c>
      <c r="D29" s="137">
        <f t="shared" si="1"/>
        <v>0</v>
      </c>
      <c r="E29" s="137">
        <f t="shared" si="2"/>
        <v>0</v>
      </c>
      <c r="F29" s="138">
        <f t="shared" si="3"/>
        <v>0</v>
      </c>
    </row>
    <row r="30" spans="1:6" ht="15.75" customHeight="1" x14ac:dyDescent="0.2">
      <c r="A30" s="131" t="s">
        <v>447</v>
      </c>
      <c r="B30" s="120">
        <v>0.03</v>
      </c>
      <c r="C30" s="137">
        <f t="shared" si="0"/>
        <v>0</v>
      </c>
      <c r="D30" s="137">
        <f t="shared" si="1"/>
        <v>0</v>
      </c>
      <c r="E30" s="137">
        <f t="shared" si="2"/>
        <v>0</v>
      </c>
      <c r="F30" s="138">
        <f t="shared" si="3"/>
        <v>0</v>
      </c>
    </row>
    <row r="31" spans="1:6" ht="15.75" customHeight="1" x14ac:dyDescent="0.2">
      <c r="A31" s="131" t="s">
        <v>448</v>
      </c>
      <c r="B31" s="120">
        <v>1.4999999999999999E-2</v>
      </c>
      <c r="C31" s="137">
        <f t="shared" si="0"/>
        <v>0</v>
      </c>
      <c r="D31" s="137">
        <f t="shared" si="1"/>
        <v>0</v>
      </c>
      <c r="E31" s="137">
        <f t="shared" si="2"/>
        <v>0</v>
      </c>
      <c r="F31" s="138">
        <f t="shared" si="3"/>
        <v>0</v>
      </c>
    </row>
    <row r="32" spans="1:6" ht="15.75" customHeight="1" x14ac:dyDescent="0.2">
      <c r="A32" s="131" t="s">
        <v>449</v>
      </c>
      <c r="B32" s="120">
        <v>0.01</v>
      </c>
      <c r="C32" s="137">
        <f t="shared" si="0"/>
        <v>0</v>
      </c>
      <c r="D32" s="137">
        <f t="shared" si="1"/>
        <v>0</v>
      </c>
      <c r="E32" s="137">
        <f t="shared" si="2"/>
        <v>0</v>
      </c>
      <c r="F32" s="138">
        <f t="shared" si="3"/>
        <v>0</v>
      </c>
    </row>
    <row r="33" spans="1:6" ht="15.75" customHeight="1" x14ac:dyDescent="0.2">
      <c r="A33" s="131" t="s">
        <v>450</v>
      </c>
      <c r="B33" s="120">
        <v>6.0000000000000001E-3</v>
      </c>
      <c r="C33" s="137">
        <f t="shared" si="0"/>
        <v>0</v>
      </c>
      <c r="D33" s="137">
        <f t="shared" si="1"/>
        <v>0</v>
      </c>
      <c r="E33" s="137">
        <f t="shared" si="2"/>
        <v>0</v>
      </c>
      <c r="F33" s="138">
        <f t="shared" si="3"/>
        <v>0</v>
      </c>
    </row>
    <row r="34" spans="1:6" ht="15.75" customHeight="1" x14ac:dyDescent="0.2">
      <c r="A34" s="131" t="s">
        <v>451</v>
      </c>
      <c r="B34" s="120">
        <v>2E-3</v>
      </c>
      <c r="C34" s="137">
        <f t="shared" si="0"/>
        <v>0</v>
      </c>
      <c r="D34" s="137">
        <f t="shared" si="1"/>
        <v>0</v>
      </c>
      <c r="E34" s="137">
        <f t="shared" si="2"/>
        <v>0</v>
      </c>
      <c r="F34" s="138">
        <f t="shared" si="3"/>
        <v>0</v>
      </c>
    </row>
    <row r="35" spans="1:6" ht="15.75" customHeight="1" x14ac:dyDescent="0.2">
      <c r="A35" s="131" t="s">
        <v>452</v>
      </c>
      <c r="B35" s="120">
        <v>0.08</v>
      </c>
      <c r="C35" s="137">
        <f t="shared" si="0"/>
        <v>0</v>
      </c>
      <c r="D35" s="137">
        <f t="shared" si="1"/>
        <v>0</v>
      </c>
      <c r="E35" s="137">
        <f t="shared" si="2"/>
        <v>0</v>
      </c>
      <c r="F35" s="138">
        <f t="shared" si="3"/>
        <v>0</v>
      </c>
    </row>
    <row r="36" spans="1:6" ht="15.75" customHeight="1" x14ac:dyDescent="0.2">
      <c r="A36" s="123" t="s">
        <v>438</v>
      </c>
      <c r="B36" s="132">
        <f>SUM(B28:B35)</f>
        <v>0.36800000000000005</v>
      </c>
      <c r="C36" s="133">
        <f>SUM(C27:C35)</f>
        <v>0</v>
      </c>
      <c r="D36" s="133">
        <f>SUM(D27:D35)</f>
        <v>0</v>
      </c>
      <c r="E36" s="318">
        <f>SUM(E28:E35)</f>
        <v>0</v>
      </c>
      <c r="F36" s="134">
        <f>SUM(F27:F35)</f>
        <v>0</v>
      </c>
    </row>
    <row r="37" spans="1:6" ht="15.75" customHeight="1" x14ac:dyDescent="0.2">
      <c r="A37" s="128" t="s">
        <v>453</v>
      </c>
      <c r="B37" s="129" t="s">
        <v>454</v>
      </c>
      <c r="C37" s="129" t="s">
        <v>431</v>
      </c>
      <c r="D37" s="129" t="s">
        <v>431</v>
      </c>
      <c r="E37" s="129" t="s">
        <v>431</v>
      </c>
      <c r="F37" s="130" t="s">
        <v>431</v>
      </c>
    </row>
    <row r="38" spans="1:6" ht="15.75" customHeight="1" x14ac:dyDescent="0.2">
      <c r="A38" s="131" t="s">
        <v>455</v>
      </c>
      <c r="B38" s="139">
        <f>MC!J87</f>
        <v>0</v>
      </c>
      <c r="C38" s="118">
        <f>ROUND(((2*22*$B$38)-0.06*C$13),2)</f>
        <v>0</v>
      </c>
      <c r="D38" s="118">
        <f>ROUND(((2*22*$B$38)-0.06*D$13),2)</f>
        <v>0</v>
      </c>
      <c r="E38" s="118">
        <f>ROUND(((2*22*$B$38)-0.06*E$13),2)</f>
        <v>0</v>
      </c>
      <c r="F38" s="118">
        <f>ROUND(((2*22*$B$38)-0.06*F$13),2)</f>
        <v>0</v>
      </c>
    </row>
    <row r="39" spans="1:6" ht="15.75" customHeight="1" x14ac:dyDescent="0.2">
      <c r="A39" s="131" t="s">
        <v>456</v>
      </c>
      <c r="B39" s="140"/>
      <c r="C39" s="137">
        <f>MC!E16</f>
        <v>0</v>
      </c>
      <c r="D39" s="137">
        <f>MC!E17</f>
        <v>0</v>
      </c>
      <c r="E39" s="137">
        <f>MC!E16</f>
        <v>0</v>
      </c>
      <c r="F39" s="137">
        <f>MC!E16</f>
        <v>0</v>
      </c>
    </row>
    <row r="40" spans="1:6" ht="15.75" customHeight="1" x14ac:dyDescent="0.2">
      <c r="A40" s="131" t="s">
        <v>457</v>
      </c>
      <c r="B40" s="120">
        <f>MC!C21</f>
        <v>0</v>
      </c>
      <c r="C40" s="137"/>
      <c r="D40" s="137"/>
      <c r="E40" s="137">
        <f>MC!E21</f>
        <v>0</v>
      </c>
      <c r="F40" s="137"/>
    </row>
    <row r="41" spans="1:6" ht="15.75" customHeight="1" x14ac:dyDescent="0.2">
      <c r="A41" s="131" t="s">
        <v>458</v>
      </c>
      <c r="B41" s="141">
        <f>MC!E23</f>
        <v>0</v>
      </c>
      <c r="C41" s="137">
        <f>B41</f>
        <v>0</v>
      </c>
      <c r="D41" s="137">
        <f>B41</f>
        <v>0</v>
      </c>
      <c r="E41" s="321">
        <f>B41</f>
        <v>0</v>
      </c>
      <c r="F41" s="138">
        <f>B41</f>
        <v>0</v>
      </c>
    </row>
    <row r="42" spans="1:6" ht="15.75" customHeight="1" x14ac:dyDescent="0.2">
      <c r="A42" s="131" t="s">
        <v>459</v>
      </c>
      <c r="B42" s="141">
        <f>MC!E24</f>
        <v>0</v>
      </c>
      <c r="C42" s="137">
        <f>B42</f>
        <v>0</v>
      </c>
      <c r="D42" s="137">
        <f>B42</f>
        <v>0</v>
      </c>
      <c r="E42" s="321">
        <f>B42</f>
        <v>0</v>
      </c>
      <c r="F42" s="138">
        <f>B42</f>
        <v>0</v>
      </c>
    </row>
    <row r="43" spans="1:6" ht="15.75" customHeight="1" x14ac:dyDescent="0.2">
      <c r="A43" s="131" t="s">
        <v>460</v>
      </c>
      <c r="B43" s="120"/>
      <c r="C43" s="137"/>
      <c r="D43" s="137"/>
      <c r="E43" s="321"/>
      <c r="F43" s="138"/>
    </row>
    <row r="44" spans="1:6" ht="15.75" customHeight="1" x14ac:dyDescent="0.2">
      <c r="A44" s="123" t="s">
        <v>438</v>
      </c>
      <c r="B44" s="124"/>
      <c r="C44" s="133">
        <f>SUM(C38:C43)</f>
        <v>0</v>
      </c>
      <c r="D44" s="133">
        <f>SUM(D38:D43)</f>
        <v>0</v>
      </c>
      <c r="E44" s="318">
        <f>SUM(E38:E43)</f>
        <v>0</v>
      </c>
      <c r="F44" s="134">
        <f>SUM(F38:F43)</f>
        <v>0</v>
      </c>
    </row>
    <row r="45" spans="1:6" ht="15.75" customHeight="1" x14ac:dyDescent="0.2">
      <c r="A45" s="113" t="s">
        <v>461</v>
      </c>
      <c r="B45" s="114" t="s">
        <v>430</v>
      </c>
      <c r="C45" s="114" t="s">
        <v>431</v>
      </c>
      <c r="D45" s="114" t="s">
        <v>431</v>
      </c>
      <c r="E45" s="114" t="s">
        <v>431</v>
      </c>
      <c r="F45" s="115" t="s">
        <v>431</v>
      </c>
    </row>
    <row r="46" spans="1:6" ht="15.75" customHeight="1" x14ac:dyDescent="0.2">
      <c r="A46" s="131" t="s">
        <v>440</v>
      </c>
      <c r="B46" s="142">
        <f>B25</f>
        <v>0.1111111111111111</v>
      </c>
      <c r="C46" s="143">
        <f>C25</f>
        <v>0</v>
      </c>
      <c r="D46" s="143">
        <f>D25</f>
        <v>0</v>
      </c>
      <c r="E46" s="143">
        <f>E25</f>
        <v>0</v>
      </c>
      <c r="F46" s="144">
        <f>F25</f>
        <v>0</v>
      </c>
    </row>
    <row r="47" spans="1:6" ht="15.75" customHeight="1" x14ac:dyDescent="0.2">
      <c r="A47" s="131" t="s">
        <v>462</v>
      </c>
      <c r="B47" s="142">
        <f>B36</f>
        <v>0.36800000000000005</v>
      </c>
      <c r="C47" s="143">
        <f>C36</f>
        <v>0</v>
      </c>
      <c r="D47" s="143">
        <f>D36</f>
        <v>0</v>
      </c>
      <c r="E47" s="143">
        <f>E36</f>
        <v>0</v>
      </c>
      <c r="F47" s="144">
        <f>F36</f>
        <v>0</v>
      </c>
    </row>
    <row r="48" spans="1:6" ht="15.75" customHeight="1" x14ac:dyDescent="0.2">
      <c r="A48" s="131" t="s">
        <v>453</v>
      </c>
      <c r="B48" s="142"/>
      <c r="C48" s="143">
        <f>C44</f>
        <v>0</v>
      </c>
      <c r="D48" s="143">
        <f>D44</f>
        <v>0</v>
      </c>
      <c r="E48" s="143">
        <f>E44</f>
        <v>0</v>
      </c>
      <c r="F48" s="144">
        <f>F44</f>
        <v>0</v>
      </c>
    </row>
    <row r="49" spans="1:6" ht="15.75" customHeight="1" x14ac:dyDescent="0.2">
      <c r="A49" s="123" t="s">
        <v>438</v>
      </c>
      <c r="B49" s="124"/>
      <c r="C49" s="133">
        <f>SUM(C46:C48)</f>
        <v>0</v>
      </c>
      <c r="D49" s="133">
        <f>SUM(D46:D48)</f>
        <v>0</v>
      </c>
      <c r="E49" s="318">
        <f>SUM(E46:E48)</f>
        <v>0</v>
      </c>
      <c r="F49" s="134">
        <f>SUM(F46:F48)</f>
        <v>0</v>
      </c>
    </row>
    <row r="50" spans="1:6" ht="15.75" customHeight="1" x14ac:dyDescent="0.2">
      <c r="A50" s="917"/>
      <c r="B50" s="917"/>
      <c r="C50" s="126"/>
      <c r="D50" s="127"/>
      <c r="E50" s="127"/>
      <c r="F50" s="127"/>
    </row>
    <row r="51" spans="1:6" s="145" customFormat="1" ht="15.75" customHeight="1" x14ac:dyDescent="0.2">
      <c r="A51" s="922" t="s">
        <v>463</v>
      </c>
      <c r="B51" s="922"/>
      <c r="C51" s="922"/>
      <c r="D51" s="922"/>
      <c r="E51" s="922"/>
      <c r="F51" s="922"/>
    </row>
    <row r="52" spans="1:6" ht="15.75" customHeight="1" x14ac:dyDescent="0.2">
      <c r="A52" s="113" t="s">
        <v>464</v>
      </c>
      <c r="B52" s="114" t="s">
        <v>430</v>
      </c>
      <c r="C52" s="114" t="s">
        <v>431</v>
      </c>
      <c r="D52" s="114" t="s">
        <v>431</v>
      </c>
      <c r="E52" s="114" t="s">
        <v>431</v>
      </c>
      <c r="F52" s="115" t="s">
        <v>431</v>
      </c>
    </row>
    <row r="53" spans="1:6" ht="15.75" customHeight="1" x14ac:dyDescent="0.2">
      <c r="A53" s="128" t="s">
        <v>465</v>
      </c>
      <c r="B53" s="146"/>
      <c r="C53" s="146"/>
      <c r="D53" s="146"/>
      <c r="E53" s="322"/>
      <c r="F53" s="147"/>
    </row>
    <row r="54" spans="1:6" ht="15.75" customHeight="1" x14ac:dyDescent="0.2">
      <c r="A54" s="131" t="s">
        <v>466</v>
      </c>
      <c r="B54" s="142">
        <f>1/12*0.05</f>
        <v>4.1666666666666666E-3</v>
      </c>
      <c r="C54" s="148">
        <f>C19*$B54</f>
        <v>0</v>
      </c>
      <c r="D54" s="148">
        <f t="shared" ref="D54:F54" si="4">D19*$B54</f>
        <v>0</v>
      </c>
      <c r="E54" s="148">
        <f t="shared" si="4"/>
        <v>0</v>
      </c>
      <c r="F54" s="148">
        <f t="shared" si="4"/>
        <v>0</v>
      </c>
    </row>
    <row r="55" spans="1:6" ht="15.75" customHeight="1" x14ac:dyDescent="0.2">
      <c r="A55" s="131" t="s">
        <v>467</v>
      </c>
      <c r="B55" s="142">
        <f>B35*B54</f>
        <v>3.3333333333333332E-4</v>
      </c>
      <c r="C55" s="148">
        <f>$B$55*C19</f>
        <v>0</v>
      </c>
      <c r="D55" s="148">
        <f t="shared" ref="D55:F55" si="5">$B$55*D19</f>
        <v>0</v>
      </c>
      <c r="E55" s="148">
        <f t="shared" si="5"/>
        <v>0</v>
      </c>
      <c r="F55" s="148">
        <f t="shared" si="5"/>
        <v>0</v>
      </c>
    </row>
    <row r="56" spans="1:6" ht="15.75" customHeight="1" x14ac:dyDescent="0.2">
      <c r="A56" s="131" t="s">
        <v>468</v>
      </c>
      <c r="B56" s="142">
        <v>0</v>
      </c>
      <c r="C56" s="148">
        <f>C35*$B56</f>
        <v>0</v>
      </c>
      <c r="D56" s="148">
        <f t="shared" ref="D56:F56" si="6">D35*$B56</f>
        <v>0</v>
      </c>
      <c r="E56" s="148">
        <f t="shared" si="6"/>
        <v>0</v>
      </c>
      <c r="F56" s="148">
        <f t="shared" si="6"/>
        <v>0</v>
      </c>
    </row>
    <row r="57" spans="1:6" ht="15.75" customHeight="1" x14ac:dyDescent="0.2">
      <c r="A57" s="131" t="s">
        <v>469</v>
      </c>
      <c r="B57" s="142">
        <f>1/12*1/30*7</f>
        <v>1.9444444444444441E-2</v>
      </c>
      <c r="C57" s="143">
        <f>C19*$B57</f>
        <v>0</v>
      </c>
      <c r="D57" s="143">
        <f t="shared" ref="D57:F57" si="7">D19*$B57</f>
        <v>0</v>
      </c>
      <c r="E57" s="143">
        <f t="shared" si="7"/>
        <v>0</v>
      </c>
      <c r="F57" s="143">
        <f t="shared" si="7"/>
        <v>0</v>
      </c>
    </row>
    <row r="58" spans="1:6" ht="15.75" customHeight="1" x14ac:dyDescent="0.2">
      <c r="A58" s="131" t="s">
        <v>470</v>
      </c>
      <c r="B58" s="142">
        <f>B36*B57</f>
        <v>7.1555555555555556E-3</v>
      </c>
      <c r="C58" s="143">
        <f>$B58*C19</f>
        <v>0</v>
      </c>
      <c r="D58" s="143">
        <f t="shared" ref="D58:F58" si="8">$B58*D19</f>
        <v>0</v>
      </c>
      <c r="E58" s="143">
        <f t="shared" si="8"/>
        <v>0</v>
      </c>
      <c r="F58" s="143">
        <f t="shared" si="8"/>
        <v>0</v>
      </c>
    </row>
    <row r="59" spans="1:6" ht="15.75" customHeight="1" x14ac:dyDescent="0.2">
      <c r="A59" s="131" t="s">
        <v>471</v>
      </c>
      <c r="B59" s="142">
        <f>B35*40/100*90/100*(1+1/12+1/12+1/3*1/12)</f>
        <v>3.4399999999999993E-2</v>
      </c>
      <c r="C59" s="143">
        <f>C19*$B59</f>
        <v>0</v>
      </c>
      <c r="D59" s="143">
        <f t="shared" ref="D59:F59" si="9">D19*$B59</f>
        <v>0</v>
      </c>
      <c r="E59" s="143">
        <f t="shared" si="9"/>
        <v>0</v>
      </c>
      <c r="F59" s="143">
        <f t="shared" si="9"/>
        <v>0</v>
      </c>
    </row>
    <row r="60" spans="1:6" ht="15.75" customHeight="1" x14ac:dyDescent="0.2">
      <c r="A60" s="123" t="s">
        <v>438</v>
      </c>
      <c r="B60" s="132">
        <f>SUM(B54:B59)</f>
        <v>6.5499999999999989E-2</v>
      </c>
      <c r="C60" s="149">
        <f>SUM(C54:C59)</f>
        <v>0</v>
      </c>
      <c r="D60" s="149">
        <f>SUM(D54:D59)</f>
        <v>0</v>
      </c>
      <c r="E60" s="323">
        <f>SUM(E54:E59)</f>
        <v>0</v>
      </c>
      <c r="F60" s="150">
        <f>SUM(F54:F59)</f>
        <v>0</v>
      </c>
    </row>
    <row r="61" spans="1:6" ht="15.75" customHeight="1" x14ac:dyDescent="0.2">
      <c r="A61" s="917"/>
      <c r="B61" s="917"/>
      <c r="C61" s="499"/>
      <c r="D61" s="499"/>
      <c r="E61" s="500"/>
      <c r="F61" s="501"/>
    </row>
    <row r="62" spans="1:6" ht="15.75" customHeight="1" x14ac:dyDescent="0.2">
      <c r="A62" s="922" t="s">
        <v>472</v>
      </c>
      <c r="B62" s="922"/>
      <c r="C62" s="922"/>
      <c r="D62" s="922"/>
      <c r="E62" s="922"/>
      <c r="F62" s="922"/>
    </row>
    <row r="63" spans="1:6" ht="15.75" customHeight="1" x14ac:dyDescent="0.2">
      <c r="A63" s="128" t="s">
        <v>39</v>
      </c>
      <c r="B63" s="129"/>
      <c r="C63" s="129"/>
      <c r="D63" s="129"/>
      <c r="E63" s="324"/>
      <c r="F63" s="130"/>
    </row>
    <row r="64" spans="1:6" ht="15.75" customHeight="1" x14ac:dyDescent="0.2">
      <c r="A64" s="131" t="s">
        <v>40</v>
      </c>
      <c r="B64" s="120">
        <f>1/12</f>
        <v>8.3333333333333329E-2</v>
      </c>
      <c r="C64" s="137">
        <f>B64*($C$19+$C$49+$C$60)</f>
        <v>0</v>
      </c>
      <c r="D64" s="137">
        <f>B64*($D$19+$D$49+$D$60)</f>
        <v>0</v>
      </c>
      <c r="E64" s="321">
        <f>B64*($E$19+$E$49+$E$60)</f>
        <v>0</v>
      </c>
      <c r="F64" s="138">
        <f>B64*($F$19+$F$49+$F$60)</f>
        <v>0</v>
      </c>
    </row>
    <row r="65" spans="1:6" ht="15.75" customHeight="1" x14ac:dyDescent="0.2">
      <c r="A65" s="131" t="s">
        <v>473</v>
      </c>
      <c r="B65" s="120">
        <f>MC!E51/30/12</f>
        <v>1.3538888888888885E-2</v>
      </c>
      <c r="C65" s="137">
        <f>B65*($C$19+$C$49+$C$60)</f>
        <v>0</v>
      </c>
      <c r="D65" s="137">
        <f>B65*($D$19+$D$49+$D$60)</f>
        <v>0</v>
      </c>
      <c r="E65" s="321">
        <f>B65*($E$19+$E$49+$E$60)</f>
        <v>0</v>
      </c>
      <c r="F65" s="138">
        <f>B65*($F$19+$F$49+$F$60)</f>
        <v>0</v>
      </c>
    </row>
    <row r="66" spans="1:6" ht="15.75" customHeight="1" x14ac:dyDescent="0.2">
      <c r="A66" s="131" t="s">
        <v>474</v>
      </c>
      <c r="B66" s="151">
        <f>(5/30)/12*MC!F53*MC!C54</f>
        <v>1.0764583333333333E-4</v>
      </c>
      <c r="C66" s="137">
        <f>B66*($C$19+$C$49+$C$60)</f>
        <v>0</v>
      </c>
      <c r="D66" s="137">
        <f>B66*($D$19+$D$49+$D$60)</f>
        <v>0</v>
      </c>
      <c r="E66" s="321">
        <f>B66*($E$19+$E$49+$E$60)</f>
        <v>0</v>
      </c>
      <c r="F66" s="138">
        <f>B66*($F$19+$F$49+$F$60)</f>
        <v>0</v>
      </c>
    </row>
    <row r="67" spans="1:6" ht="15.75" customHeight="1" x14ac:dyDescent="0.2">
      <c r="A67" s="131" t="s">
        <v>475</v>
      </c>
      <c r="B67" s="151">
        <f>MC!C56/30/12</f>
        <v>2.6830555555555553E-3</v>
      </c>
      <c r="C67" s="137">
        <f>B67*($C$19+$C$49+$C$60)</f>
        <v>0</v>
      </c>
      <c r="D67" s="137">
        <f>B67*($D$19+$D$49+$D$60)</f>
        <v>0</v>
      </c>
      <c r="E67" s="321">
        <f>B67*($E$19+$E$49+$E$60)</f>
        <v>0</v>
      </c>
      <c r="F67" s="138">
        <f>B67*($F$19+$F$49+$F$60)</f>
        <v>0</v>
      </c>
    </row>
    <row r="68" spans="1:6" ht="15.75" customHeight="1" x14ac:dyDescent="0.2">
      <c r="A68" s="131" t="s">
        <v>476</v>
      </c>
      <c r="B68" s="120"/>
      <c r="C68" s="137"/>
      <c r="D68" s="137"/>
      <c r="E68" s="321">
        <f>B68*($E$19+$E$49+$E$60)</f>
        <v>0</v>
      </c>
      <c r="F68" s="138"/>
    </row>
    <row r="69" spans="1:6" ht="15.75" customHeight="1" x14ac:dyDescent="0.2">
      <c r="A69" s="152" t="s">
        <v>477</v>
      </c>
      <c r="B69" s="153">
        <f>SUM(B64:B68)</f>
        <v>9.9662923611111107E-2</v>
      </c>
      <c r="C69" s="154">
        <f>SUM(C64:C68)</f>
        <v>0</v>
      </c>
      <c r="D69" s="154">
        <f>SUM(D64:D68)</f>
        <v>0</v>
      </c>
      <c r="E69" s="325">
        <f>SUM(E64:E68)</f>
        <v>0</v>
      </c>
      <c r="F69" s="155">
        <f>SUM(F64:F68)</f>
        <v>0</v>
      </c>
    </row>
    <row r="70" spans="1:6" ht="15.75" customHeight="1" x14ac:dyDescent="0.2">
      <c r="A70" s="128" t="s">
        <v>478</v>
      </c>
      <c r="B70" s="129"/>
      <c r="C70" s="129"/>
      <c r="D70" s="129"/>
      <c r="E70" s="324"/>
      <c r="F70" s="130"/>
    </row>
    <row r="71" spans="1:6" ht="15.75" customHeight="1" x14ac:dyDescent="0.2">
      <c r="A71" s="131" t="s">
        <v>479</v>
      </c>
      <c r="B71" s="120"/>
      <c r="C71" s="137"/>
      <c r="D71" s="137"/>
      <c r="E71" s="321"/>
      <c r="F71" s="138"/>
    </row>
    <row r="72" spans="1:6" ht="15.75" customHeight="1" x14ac:dyDescent="0.2">
      <c r="A72" s="152" t="s">
        <v>477</v>
      </c>
      <c r="B72" s="153"/>
      <c r="C72" s="154">
        <f>C71</f>
        <v>0</v>
      </c>
      <c r="D72" s="154"/>
      <c r="E72" s="325"/>
      <c r="F72" s="155"/>
    </row>
    <row r="73" spans="1:6" ht="15.75" customHeight="1" x14ac:dyDescent="0.2">
      <c r="A73" s="128" t="s">
        <v>61</v>
      </c>
      <c r="B73" s="129"/>
      <c r="C73" s="129"/>
      <c r="D73" s="129"/>
      <c r="E73" s="324"/>
      <c r="F73" s="130"/>
    </row>
    <row r="74" spans="1:6" ht="15.75" customHeight="1" x14ac:dyDescent="0.2">
      <c r="A74" s="131" t="s">
        <v>62</v>
      </c>
      <c r="B74" s="120">
        <f>120/30*MC!C59*MC!C60</f>
        <v>6.18624E-3</v>
      </c>
      <c r="C74" s="137">
        <f>(((C19*2)+ (C19*1/3))+(C36)+(C44-C38-C39))*$B$74</f>
        <v>0</v>
      </c>
      <c r="D74" s="137">
        <f>(((D19*2)+ (D19*1/3))+(D36)+(D44-D38-D39))*$B$74</f>
        <v>0</v>
      </c>
      <c r="E74" s="137">
        <f>(((E19*2)+ (E19*1/3))+(E36)+(E44-E38-E39))*$B$74</f>
        <v>0</v>
      </c>
      <c r="F74" s="138">
        <f>(((F19*2)+ (F19*1/3))+(F36)+(F44-F38-F39))*$B$74</f>
        <v>0</v>
      </c>
    </row>
    <row r="75" spans="1:6" ht="15.75" customHeight="1" x14ac:dyDescent="0.2">
      <c r="A75" s="152" t="s">
        <v>438</v>
      </c>
      <c r="B75" s="153"/>
      <c r="C75" s="154"/>
      <c r="D75" s="154"/>
      <c r="E75" s="325"/>
      <c r="F75" s="155"/>
    </row>
    <row r="76" spans="1:6" ht="15.75" customHeight="1" x14ac:dyDescent="0.2">
      <c r="A76" s="113" t="s">
        <v>480</v>
      </c>
      <c r="B76" s="114"/>
      <c r="C76" s="114"/>
      <c r="D76" s="114"/>
      <c r="E76" s="316"/>
      <c r="F76" s="115"/>
    </row>
    <row r="77" spans="1:6" ht="15.75" customHeight="1" x14ac:dyDescent="0.2">
      <c r="A77" s="131" t="s">
        <v>39</v>
      </c>
      <c r="B77" s="142">
        <f>B69</f>
        <v>9.9662923611111107E-2</v>
      </c>
      <c r="C77" s="143">
        <f>C69</f>
        <v>0</v>
      </c>
      <c r="D77" s="143">
        <f>D69</f>
        <v>0</v>
      </c>
      <c r="E77" s="143">
        <f>E69</f>
        <v>0</v>
      </c>
      <c r="F77" s="144">
        <f>F69</f>
        <v>0</v>
      </c>
    </row>
    <row r="78" spans="1:6" ht="15.75" customHeight="1" x14ac:dyDescent="0.2">
      <c r="A78" s="131" t="s">
        <v>478</v>
      </c>
      <c r="B78" s="142">
        <f>B72</f>
        <v>0</v>
      </c>
      <c r="C78" s="143">
        <f>C72</f>
        <v>0</v>
      </c>
      <c r="D78" s="143">
        <f>D72</f>
        <v>0</v>
      </c>
      <c r="E78" s="143">
        <f>E72</f>
        <v>0</v>
      </c>
      <c r="F78" s="144">
        <f>F72</f>
        <v>0</v>
      </c>
    </row>
    <row r="79" spans="1:6" ht="15.75" customHeight="1" x14ac:dyDescent="0.2">
      <c r="A79" s="131" t="s">
        <v>61</v>
      </c>
      <c r="B79" s="142">
        <f>B74</f>
        <v>6.18624E-3</v>
      </c>
      <c r="C79" s="143">
        <f>C74</f>
        <v>0</v>
      </c>
      <c r="D79" s="143">
        <f>D74</f>
        <v>0</v>
      </c>
      <c r="E79" s="143">
        <f>E74</f>
        <v>0</v>
      </c>
      <c r="F79" s="144">
        <f>F74</f>
        <v>0</v>
      </c>
    </row>
    <row r="80" spans="1:6" ht="15.75" customHeight="1" x14ac:dyDescent="0.2">
      <c r="A80" s="123" t="s">
        <v>438</v>
      </c>
      <c r="B80" s="124"/>
      <c r="C80" s="133">
        <f>SUM(C77:C79)</f>
        <v>0</v>
      </c>
      <c r="D80" s="133">
        <f>SUM(D77:D79)</f>
        <v>0</v>
      </c>
      <c r="E80" s="318">
        <f>SUM(E77:E79)</f>
        <v>0</v>
      </c>
      <c r="F80" s="134">
        <f>SUM(F77:F79)</f>
        <v>0</v>
      </c>
    </row>
    <row r="81" spans="1:6" ht="15.75" customHeight="1" x14ac:dyDescent="0.2">
      <c r="A81" s="125"/>
      <c r="B81" s="126"/>
      <c r="C81" s="126"/>
      <c r="D81" s="126"/>
      <c r="E81" s="319"/>
      <c r="F81" s="127"/>
    </row>
    <row r="82" spans="1:6" ht="15.75" customHeight="1" x14ac:dyDescent="0.2">
      <c r="A82" s="326" t="s">
        <v>481</v>
      </c>
      <c r="B82" s="327"/>
      <c r="C82" s="327"/>
      <c r="D82" s="327"/>
      <c r="E82" s="327"/>
      <c r="F82" s="328"/>
    </row>
    <row r="83" spans="1:6" ht="15.75" customHeight="1" x14ac:dyDescent="0.2">
      <c r="A83" s="113" t="s">
        <v>482</v>
      </c>
      <c r="B83" s="114" t="s">
        <v>454</v>
      </c>
      <c r="C83" s="114" t="s">
        <v>431</v>
      </c>
      <c r="D83" s="114" t="s">
        <v>431</v>
      </c>
      <c r="E83" s="114" t="s">
        <v>431</v>
      </c>
      <c r="F83" s="115" t="s">
        <v>431</v>
      </c>
    </row>
    <row r="84" spans="1:6" ht="15.75" customHeight="1" x14ac:dyDescent="0.2">
      <c r="A84" s="131" t="s">
        <v>483</v>
      </c>
      <c r="B84" s="157">
        <f>Insumos!G117</f>
        <v>0</v>
      </c>
      <c r="C84" s="118">
        <f>B84</f>
        <v>0</v>
      </c>
      <c r="D84" s="118">
        <f>B84</f>
        <v>0</v>
      </c>
      <c r="E84" s="317">
        <f>B84</f>
        <v>0</v>
      </c>
      <c r="F84" s="119">
        <f>Insumos!G118</f>
        <v>0</v>
      </c>
    </row>
    <row r="85" spans="1:6" ht="15.75" customHeight="1" x14ac:dyDescent="0.2">
      <c r="A85" s="156" t="s">
        <v>484</v>
      </c>
      <c r="B85" s="157">
        <f>Insumos!G59</f>
        <v>0</v>
      </c>
      <c r="C85" s="118">
        <f>B85</f>
        <v>0</v>
      </c>
      <c r="D85" s="118">
        <f>B85</f>
        <v>0</v>
      </c>
      <c r="E85" s="317"/>
      <c r="F85" s="119"/>
    </row>
    <row r="86" spans="1:6" ht="15.75" customHeight="1" x14ac:dyDescent="0.2">
      <c r="A86" s="156" t="s">
        <v>485</v>
      </c>
      <c r="B86" s="158">
        <f>Insumos!I99</f>
        <v>0</v>
      </c>
      <c r="C86" s="118">
        <f>B86</f>
        <v>0</v>
      </c>
      <c r="D86" s="118">
        <f>B86</f>
        <v>0</v>
      </c>
      <c r="E86" s="317"/>
      <c r="F86" s="119"/>
    </row>
    <row r="87" spans="1:6" ht="15.75" customHeight="1" x14ac:dyDescent="0.2">
      <c r="A87" s="156" t="s">
        <v>486</v>
      </c>
      <c r="B87" s="157"/>
      <c r="C87" s="118">
        <f>Insumos!I129</f>
        <v>0</v>
      </c>
      <c r="D87" s="118">
        <f>Insumos!H129</f>
        <v>0</v>
      </c>
      <c r="E87" s="317"/>
      <c r="F87" s="119"/>
    </row>
    <row r="88" spans="1:6" ht="15.75" customHeight="1" x14ac:dyDescent="0.2">
      <c r="A88" s="156" t="s">
        <v>487</v>
      </c>
      <c r="B88" s="120">
        <v>0.12</v>
      </c>
      <c r="C88" s="118"/>
      <c r="D88" s="118"/>
      <c r="E88" s="317">
        <f>B88*(E123+E124+E84)</f>
        <v>0</v>
      </c>
      <c r="F88" s="119"/>
    </row>
    <row r="89" spans="1:6" ht="15.75" customHeight="1" x14ac:dyDescent="0.2">
      <c r="A89" s="156" t="s">
        <v>488</v>
      </c>
      <c r="B89" s="157">
        <f>Insumos!H146</f>
        <v>0</v>
      </c>
      <c r="C89" s="118"/>
      <c r="D89" s="118"/>
      <c r="E89" s="317"/>
      <c r="F89" s="119">
        <f>B89</f>
        <v>0</v>
      </c>
    </row>
    <row r="90" spans="1:6" ht="15.75" customHeight="1" x14ac:dyDescent="0.2">
      <c r="A90" s="156" t="s">
        <v>489</v>
      </c>
      <c r="B90" s="157"/>
      <c r="C90" s="118"/>
      <c r="D90" s="118"/>
      <c r="E90" s="317"/>
      <c r="F90" s="119">
        <f>B90</f>
        <v>0</v>
      </c>
    </row>
    <row r="91" spans="1:6" ht="15.75" customHeight="1" x14ac:dyDescent="0.2">
      <c r="A91" s="152" t="s">
        <v>438</v>
      </c>
      <c r="B91" s="159"/>
      <c r="C91" s="154">
        <f>SUM(C84:C90)</f>
        <v>0</v>
      </c>
      <c r="D91" s="154">
        <f t="shared" ref="D91:F91" si="10">SUM(D84:D90)</f>
        <v>0</v>
      </c>
      <c r="E91" s="154">
        <f t="shared" si="10"/>
        <v>0</v>
      </c>
      <c r="F91" s="154">
        <f t="shared" si="10"/>
        <v>0</v>
      </c>
    </row>
    <row r="92" spans="1:6" ht="15.75" customHeight="1" x14ac:dyDescent="0.2">
      <c r="A92" s="917"/>
      <c r="B92" s="917"/>
      <c r="C92" s="160"/>
      <c r="D92" s="160"/>
      <c r="E92" s="329"/>
      <c r="F92" s="161"/>
    </row>
    <row r="93" spans="1:6" ht="15.75" customHeight="1" x14ac:dyDescent="0.2">
      <c r="A93" s="326" t="s">
        <v>490</v>
      </c>
      <c r="B93" s="327"/>
      <c r="C93" s="327"/>
      <c r="D93" s="327"/>
      <c r="E93" s="327"/>
      <c r="F93" s="328"/>
    </row>
    <row r="94" spans="1:6" ht="15.75" customHeight="1" x14ac:dyDescent="0.2">
      <c r="A94" s="113" t="s">
        <v>491</v>
      </c>
      <c r="B94" s="114" t="s">
        <v>430</v>
      </c>
      <c r="C94" s="114" t="s">
        <v>431</v>
      </c>
      <c r="D94" s="114" t="s">
        <v>431</v>
      </c>
      <c r="E94" s="114" t="s">
        <v>431</v>
      </c>
      <c r="F94" s="115"/>
    </row>
    <row r="95" spans="1:6" ht="15.75" customHeight="1" x14ac:dyDescent="0.2">
      <c r="A95" s="116" t="s">
        <v>67</v>
      </c>
      <c r="B95" s="120">
        <f>MC!C63</f>
        <v>0</v>
      </c>
      <c r="C95" s="137">
        <f>($C$19+$C$49+$C$60+$C$80+$C$91)*$B$95</f>
        <v>0</v>
      </c>
      <c r="D95" s="137">
        <f>($D$19+$D$49+$D$60+$D$80+$D$91)*$B$95</f>
        <v>0</v>
      </c>
      <c r="E95" s="321">
        <f>($E$19+$E$49+$E$60+$E$80+$E$91)*$B$95</f>
        <v>0</v>
      </c>
      <c r="F95" s="138">
        <f>($F$19+$F$49+$F$60+$F$80+$F$91)*$B$95</f>
        <v>0</v>
      </c>
    </row>
    <row r="96" spans="1:6" ht="15.75" customHeight="1" x14ac:dyDescent="0.2">
      <c r="A96" s="116" t="s">
        <v>68</v>
      </c>
      <c r="B96" s="120">
        <f>MC!C64</f>
        <v>0</v>
      </c>
      <c r="C96" s="137">
        <f>($C$19+$C$49+$C$60+$C$80+$C$91+C95)*B96</f>
        <v>0</v>
      </c>
      <c r="D96" s="137">
        <f>($D$19+$D$49+$D$60+$D$80+$D$91+$D$95)*$B$96</f>
        <v>0</v>
      </c>
      <c r="E96" s="137">
        <f>($E$19+$E$49+$E$60+$E$80+$E$91+$E$95)*$B$96</f>
        <v>0</v>
      </c>
      <c r="F96" s="138">
        <f>($F$19+$F$49+$F$60+$F$80+$F$91+F95)*$B$96</f>
        <v>0</v>
      </c>
    </row>
    <row r="97" spans="1:7" ht="15.75" customHeight="1" x14ac:dyDescent="0.2">
      <c r="A97" s="330" t="s">
        <v>492</v>
      </c>
      <c r="B97" s="331">
        <f>B98+B99</f>
        <v>0.1125</v>
      </c>
      <c r="C97" s="332">
        <f>((C19+C49+C60+C80+C91+C95+C96)/(1-($B$97)))*$B$97</f>
        <v>0</v>
      </c>
      <c r="D97" s="332">
        <f>((D19+D49+D60+D80+D91+D95+D96)/(1-($B$97)))*$B$97</f>
        <v>0</v>
      </c>
      <c r="E97" s="332">
        <f>((E19+E49+E60+E80+E91+E95+E96)/(1-($B$97)))*$B$97</f>
        <v>0</v>
      </c>
      <c r="F97" s="332">
        <f>((F19+F49+F60+F80+F91+F95+F96)/(1-($B$97)))*$B$97</f>
        <v>0</v>
      </c>
    </row>
    <row r="98" spans="1:7" ht="15.75" customHeight="1" x14ac:dyDescent="0.2">
      <c r="A98" s="116" t="s">
        <v>493</v>
      </c>
      <c r="B98" s="120">
        <f>0.0165+0.076</f>
        <v>9.2499999999999999E-2</v>
      </c>
      <c r="C98" s="333">
        <f>((C$19+C$49+C$60+C$80+C$91+C$95+C$96)/(1-($B$97)))*$B$98</f>
        <v>0</v>
      </c>
      <c r="D98" s="333">
        <f t="shared" ref="D98:F98" si="11">((D$19+D$49+D$60+D$80+D$91+D$95+D$96)/(1-($B$97)))*$B$98</f>
        <v>0</v>
      </c>
      <c r="E98" s="333">
        <f t="shared" si="11"/>
        <v>0</v>
      </c>
      <c r="F98" s="333">
        <f t="shared" si="11"/>
        <v>0</v>
      </c>
    </row>
    <row r="99" spans="1:7" ht="15.75" customHeight="1" x14ac:dyDescent="0.2">
      <c r="A99" s="116" t="s">
        <v>494</v>
      </c>
      <c r="B99" s="120">
        <v>0.02</v>
      </c>
      <c r="C99" s="334">
        <f>((C$19+C$49+C$60+C$80+C$91+C$95+C$96)/(1-($B$97)))*$B$99</f>
        <v>0</v>
      </c>
      <c r="D99" s="334">
        <f t="shared" ref="D99:F99" si="12">((D$19+D$49+D$60+D$80+D$91+D$95+D$96)/(1-($B$97)))*$B$99</f>
        <v>0</v>
      </c>
      <c r="E99" s="334">
        <f t="shared" si="12"/>
        <v>0</v>
      </c>
      <c r="F99" s="334">
        <f t="shared" si="12"/>
        <v>0</v>
      </c>
    </row>
    <row r="100" spans="1:7" ht="15.75" customHeight="1" x14ac:dyDescent="0.2">
      <c r="A100" s="330" t="s">
        <v>495</v>
      </c>
      <c r="B100" s="331">
        <f>B101+B102</f>
        <v>0.11749999999999999</v>
      </c>
      <c r="C100" s="332">
        <f>((C19+C49+C60+C80+C91+C95+C96)/(1-($B$100)))*$B$100</f>
        <v>0</v>
      </c>
      <c r="D100" s="332">
        <f t="shared" ref="D100:F100" si="13">((D19+D49+D60+D80+D91+D95+D96)/(1-($B$100)))*$B$100</f>
        <v>0</v>
      </c>
      <c r="E100" s="332">
        <f t="shared" si="13"/>
        <v>0</v>
      </c>
      <c r="F100" s="332">
        <f t="shared" si="13"/>
        <v>0</v>
      </c>
    </row>
    <row r="101" spans="1:7" ht="15.75" customHeight="1" x14ac:dyDescent="0.2">
      <c r="A101" s="116" t="s">
        <v>493</v>
      </c>
      <c r="B101" s="120">
        <f>0.0165+0.076</f>
        <v>9.2499999999999999E-2</v>
      </c>
      <c r="C101" s="333">
        <f>((C19+C49+C60+C80+C91+C95+C96)/(1-($B$100)))*$B$101</f>
        <v>0</v>
      </c>
      <c r="D101" s="333">
        <f t="shared" ref="D101:F101" si="14">((D19+D49+D60+D80+D91+D95+D96)/(1-($B$100)))*$B$101</f>
        <v>0</v>
      </c>
      <c r="E101" s="333">
        <f t="shared" si="14"/>
        <v>0</v>
      </c>
      <c r="F101" s="333">
        <f t="shared" si="14"/>
        <v>0</v>
      </c>
    </row>
    <row r="102" spans="1:7" ht="15.75" customHeight="1" x14ac:dyDescent="0.2">
      <c r="A102" s="116" t="s">
        <v>494</v>
      </c>
      <c r="B102" s="120">
        <v>2.5000000000000001E-2</v>
      </c>
      <c r="C102" s="334">
        <f>((C$19+C$49+C$60+C$80+C$91+C$95+C$96)/(1-($B$100)))*$B$102</f>
        <v>0</v>
      </c>
      <c r="D102" s="334">
        <f t="shared" ref="D102:F102" si="15">((D$19+D$49+D$60+D$80+D$91+D$95+D$96)/(1-($B$100)))*$B$102</f>
        <v>0</v>
      </c>
      <c r="E102" s="334">
        <f t="shared" si="15"/>
        <v>0</v>
      </c>
      <c r="F102" s="334">
        <f t="shared" si="15"/>
        <v>0</v>
      </c>
    </row>
    <row r="103" spans="1:7" ht="15.75" customHeight="1" x14ac:dyDescent="0.2">
      <c r="A103" s="330" t="s">
        <v>496</v>
      </c>
      <c r="B103" s="331">
        <f>B104+B105</f>
        <v>0.1225</v>
      </c>
      <c r="C103" s="332">
        <f>((C19+C49+C60+C80+C91+C95+C96)/(1-($B$103)))*$B$103</f>
        <v>0</v>
      </c>
      <c r="D103" s="332">
        <f t="shared" ref="D103:F103" si="16">((D19+D49+D60+D80+D91+D95+D96)/(1-($B$103)))*$B$103</f>
        <v>0</v>
      </c>
      <c r="E103" s="332">
        <f t="shared" si="16"/>
        <v>0</v>
      </c>
      <c r="F103" s="332">
        <f t="shared" si="16"/>
        <v>0</v>
      </c>
    </row>
    <row r="104" spans="1:7" ht="15.75" customHeight="1" x14ac:dyDescent="0.2">
      <c r="A104" s="116" t="s">
        <v>493</v>
      </c>
      <c r="B104" s="120">
        <f>0.0165+0.076</f>
        <v>9.2499999999999999E-2</v>
      </c>
      <c r="C104" s="333">
        <f>((C19+C49+C60+C80+C91+C95+C96)/(1-($B$103)))*$B$104</f>
        <v>0</v>
      </c>
      <c r="D104" s="333">
        <f t="shared" ref="D104:F104" si="17">((D19+D49+D60+D80+D91+D95+D96)/(1-($B$103)))*$B$104</f>
        <v>0</v>
      </c>
      <c r="E104" s="333">
        <f t="shared" si="17"/>
        <v>0</v>
      </c>
      <c r="F104" s="333">
        <f t="shared" si="17"/>
        <v>0</v>
      </c>
    </row>
    <row r="105" spans="1:7" ht="15.75" customHeight="1" x14ac:dyDescent="0.2">
      <c r="A105" s="116" t="s">
        <v>494</v>
      </c>
      <c r="B105" s="120">
        <v>0.03</v>
      </c>
      <c r="C105" s="334">
        <f>((C19+C49+C60+C80+C91+C95+C96)/(1-($B$103)))*$B$105</f>
        <v>0</v>
      </c>
      <c r="D105" s="334">
        <f t="shared" ref="D105:F105" si="18">((D19+D49+D60+D80+D91+D95+D96)/(1-($B$103)))*$B$105</f>
        <v>0</v>
      </c>
      <c r="E105" s="334">
        <f t="shared" si="18"/>
        <v>0</v>
      </c>
      <c r="F105" s="334">
        <f t="shared" si="18"/>
        <v>0</v>
      </c>
      <c r="G105" s="335"/>
    </row>
    <row r="106" spans="1:7" ht="15.75" customHeight="1" x14ac:dyDescent="0.2">
      <c r="A106" s="330" t="s">
        <v>497</v>
      </c>
      <c r="B106" s="331">
        <f>B107+B108</f>
        <v>0.13250000000000001</v>
      </c>
      <c r="C106" s="332">
        <f>((C19+C49+C60+C80+C91+C95+C96)/(1-($B$106)))*$B$106</f>
        <v>0</v>
      </c>
      <c r="D106" s="332">
        <f t="shared" ref="D106:F106" si="19">((D19+D49+D60+D80+D91+D95+D96)/(1-($B$106)))*$B$106</f>
        <v>0</v>
      </c>
      <c r="E106" s="332">
        <f t="shared" si="19"/>
        <v>0</v>
      </c>
      <c r="F106" s="332">
        <f t="shared" si="19"/>
        <v>0</v>
      </c>
    </row>
    <row r="107" spans="1:7" ht="15.75" customHeight="1" x14ac:dyDescent="0.2">
      <c r="A107" s="116" t="s">
        <v>493</v>
      </c>
      <c r="B107" s="120">
        <f>0.0165+0.076</f>
        <v>9.2499999999999999E-2</v>
      </c>
      <c r="C107" s="333">
        <f>((C19+C49+C60+C80+C91+C95+C96)/(1-($B$106)))*$B$107</f>
        <v>0</v>
      </c>
      <c r="D107" s="333">
        <f t="shared" ref="D107:F107" si="20">((D19+D49+D60+D80+D91+D95+D96)/(1-($B$106)))*$B$107</f>
        <v>0</v>
      </c>
      <c r="E107" s="333">
        <f t="shared" si="20"/>
        <v>0</v>
      </c>
      <c r="F107" s="333">
        <f t="shared" si="20"/>
        <v>0</v>
      </c>
    </row>
    <row r="108" spans="1:7" ht="15.75" customHeight="1" x14ac:dyDescent="0.2">
      <c r="A108" s="116" t="s">
        <v>494</v>
      </c>
      <c r="B108" s="120">
        <v>0.04</v>
      </c>
      <c r="C108" s="334">
        <f>((C19+C49+C60+C80+C91+C95+C96)/(1-($B$106)))*$B$108</f>
        <v>0</v>
      </c>
      <c r="D108" s="334">
        <f t="shared" ref="D108:F108" si="21">((D19+D49+D60+D80+D91+D95+D96)/(1-($B$106)))*$B$108</f>
        <v>0</v>
      </c>
      <c r="E108" s="334">
        <f t="shared" si="21"/>
        <v>0</v>
      </c>
      <c r="F108" s="334">
        <f t="shared" si="21"/>
        <v>0</v>
      </c>
    </row>
    <row r="109" spans="1:7" ht="15.75" customHeight="1" x14ac:dyDescent="0.2">
      <c r="A109" s="330" t="s">
        <v>498</v>
      </c>
      <c r="B109" s="331">
        <f>B110+B111</f>
        <v>0.14250000000000002</v>
      </c>
      <c r="C109" s="332">
        <f>((C19+C49+C60+C80+C91+C95+C96)/(1-($B$109)))*$B$109</f>
        <v>0</v>
      </c>
      <c r="D109" s="332">
        <f t="shared" ref="D109:F109" si="22">((D19+D49+D60+D80+D91+D95+D96)/(1-($B$109)))*$B$109</f>
        <v>0</v>
      </c>
      <c r="E109" s="332">
        <f t="shared" si="22"/>
        <v>0</v>
      </c>
      <c r="F109" s="332">
        <f t="shared" si="22"/>
        <v>0</v>
      </c>
    </row>
    <row r="110" spans="1:7" ht="15.75" customHeight="1" x14ac:dyDescent="0.2">
      <c r="A110" s="116" t="s">
        <v>493</v>
      </c>
      <c r="B110" s="120">
        <f>0.0165+0.076</f>
        <v>9.2499999999999999E-2</v>
      </c>
      <c r="C110" s="333">
        <f>((C19+C49+C60+C80+C91+C95+C96)/(1-($B$109)))*$B$110</f>
        <v>0</v>
      </c>
      <c r="D110" s="333">
        <f t="shared" ref="D110:F110" si="23">((D19+D49+D60+D80+D91+D95+D96)/(1-($B$109)))*$B$110</f>
        <v>0</v>
      </c>
      <c r="E110" s="333">
        <f t="shared" si="23"/>
        <v>0</v>
      </c>
      <c r="F110" s="333">
        <f t="shared" si="23"/>
        <v>0</v>
      </c>
    </row>
    <row r="111" spans="1:7" ht="15.75" customHeight="1" x14ac:dyDescent="0.2">
      <c r="A111" s="116" t="s">
        <v>494</v>
      </c>
      <c r="B111" s="336">
        <v>0.05</v>
      </c>
      <c r="C111" s="334">
        <f>((C19+C49+C60+C80+C91+C95+C96)/(1-($B$109)))*$B$111</f>
        <v>0</v>
      </c>
      <c r="D111" s="334">
        <f t="shared" ref="D111:F111" si="24">((D19+D49+D60+D80+D91+D95+D96)/(1-($B$109)))*$B$111</f>
        <v>0</v>
      </c>
      <c r="E111" s="334">
        <f t="shared" si="24"/>
        <v>0</v>
      </c>
      <c r="F111" s="334">
        <f t="shared" si="24"/>
        <v>0</v>
      </c>
    </row>
    <row r="112" spans="1:7" ht="15.75" customHeight="1" x14ac:dyDescent="0.2">
      <c r="A112" s="918" t="s">
        <v>499</v>
      </c>
      <c r="B112" s="337">
        <v>0.02</v>
      </c>
      <c r="C112" s="338">
        <f>C95+C96+C97</f>
        <v>0</v>
      </c>
      <c r="D112" s="338">
        <f>D95+D96+D97</f>
        <v>0</v>
      </c>
      <c r="E112" s="338">
        <f>E95+E96+E97</f>
        <v>0</v>
      </c>
      <c r="F112" s="338">
        <f>F95+F96+F97</f>
        <v>0</v>
      </c>
    </row>
    <row r="113" spans="1:7" ht="15.75" customHeight="1" x14ac:dyDescent="0.2">
      <c r="A113" s="918"/>
      <c r="B113" s="339">
        <v>2.5000000000000001E-2</v>
      </c>
      <c r="C113" s="340">
        <f>C95+C96+C100</f>
        <v>0</v>
      </c>
      <c r="D113" s="340">
        <f>D95+D96+D100</f>
        <v>0</v>
      </c>
      <c r="E113" s="340">
        <f>E95+E96+E100</f>
        <v>0</v>
      </c>
      <c r="F113" s="340">
        <f>F95+F96+F100</f>
        <v>0</v>
      </c>
    </row>
    <row r="114" spans="1:7" ht="15.75" customHeight="1" x14ac:dyDescent="0.2">
      <c r="A114" s="918"/>
      <c r="B114" s="339">
        <v>0.03</v>
      </c>
      <c r="C114" s="340">
        <f>C95+C96+C103</f>
        <v>0</v>
      </c>
      <c r="D114" s="340">
        <f>D95+D96+D103</f>
        <v>0</v>
      </c>
      <c r="E114" s="340">
        <f>E95+E96+E103</f>
        <v>0</v>
      </c>
      <c r="F114" s="340">
        <f>F95+F96+F103</f>
        <v>0</v>
      </c>
      <c r="G114" s="335"/>
    </row>
    <row r="115" spans="1:7" ht="15.75" customHeight="1" x14ac:dyDescent="0.2">
      <c r="A115" s="918"/>
      <c r="B115" s="339">
        <v>0.04</v>
      </c>
      <c r="C115" s="340">
        <f>C95+C96+C106</f>
        <v>0</v>
      </c>
      <c r="D115" s="340">
        <f>D95+D96+D106</f>
        <v>0</v>
      </c>
      <c r="E115" s="340">
        <f>E95+E96+E106</f>
        <v>0</v>
      </c>
      <c r="F115" s="340">
        <f>F95+F96+F106</f>
        <v>0</v>
      </c>
    </row>
    <row r="116" spans="1:7" ht="15.75" customHeight="1" x14ac:dyDescent="0.2">
      <c r="A116" s="918"/>
      <c r="B116" s="341">
        <v>0.05</v>
      </c>
      <c r="C116" s="342">
        <f>C95+C96+C109</f>
        <v>0</v>
      </c>
      <c r="D116" s="342">
        <f>D95+D96+D109</f>
        <v>0</v>
      </c>
      <c r="E116" s="342">
        <f>E95+E96+E109</f>
        <v>0</v>
      </c>
      <c r="F116" s="342">
        <f>F95+F96+F109</f>
        <v>0</v>
      </c>
    </row>
    <row r="117" spans="1:7" ht="15.75" customHeight="1" x14ac:dyDescent="0.2">
      <c r="A117" s="116" t="s">
        <v>500</v>
      </c>
      <c r="B117" s="343"/>
      <c r="C117" s="344"/>
      <c r="D117" s="344"/>
      <c r="E117" s="345"/>
      <c r="F117" s="346"/>
    </row>
    <row r="118" spans="1:7" ht="15.75" customHeight="1" x14ac:dyDescent="0.2">
      <c r="A118" s="166"/>
      <c r="B118" s="347"/>
      <c r="C118" s="348"/>
      <c r="D118" s="348"/>
      <c r="E118" s="349"/>
      <c r="F118" s="350"/>
    </row>
    <row r="119" spans="1:7" ht="15.75" customHeight="1" x14ac:dyDescent="0.2">
      <c r="A119" s="919"/>
      <c r="B119" s="919"/>
      <c r="C119" s="919"/>
      <c r="D119" s="919"/>
      <c r="E119" s="919"/>
      <c r="F119" s="919"/>
    </row>
    <row r="120" spans="1:7" ht="15.75" customHeight="1" x14ac:dyDescent="0.2">
      <c r="A120" s="920"/>
      <c r="B120" s="920"/>
      <c r="C120" s="920"/>
      <c r="D120" s="920"/>
      <c r="E120" s="920"/>
      <c r="F120" s="920"/>
    </row>
    <row r="121" spans="1:7" ht="45.75" customHeight="1" x14ac:dyDescent="0.2">
      <c r="A121" s="921" t="s">
        <v>501</v>
      </c>
      <c r="B121" s="921"/>
      <c r="C121" s="351" t="str">
        <f>C10</f>
        <v xml:space="preserve">Servente 40h </v>
      </c>
      <c r="D121" s="351" t="str">
        <f>D10</f>
        <v>Servente 30h</v>
      </c>
      <c r="E121" s="352" t="str">
        <f>E10</f>
        <v>Servente 44h limpeza de esquadrias com risco</v>
      </c>
      <c r="F121" s="353" t="str">
        <f>F10</f>
        <v>Encarregada 40h</v>
      </c>
    </row>
    <row r="122" spans="1:7" ht="15.75" customHeight="1" x14ac:dyDescent="0.2">
      <c r="A122" s="915" t="s">
        <v>502</v>
      </c>
      <c r="B122" s="915"/>
      <c r="C122" s="354" t="s">
        <v>431</v>
      </c>
      <c r="D122" s="354" t="s">
        <v>431</v>
      </c>
      <c r="E122" s="354" t="s">
        <v>431</v>
      </c>
      <c r="F122" s="355" t="s">
        <v>431</v>
      </c>
    </row>
    <row r="123" spans="1:7" ht="15.75" customHeight="1" x14ac:dyDescent="0.2">
      <c r="A123" s="916" t="s">
        <v>503</v>
      </c>
      <c r="B123" s="916"/>
      <c r="C123" s="356">
        <f>C19</f>
        <v>0</v>
      </c>
      <c r="D123" s="356">
        <f>D19</f>
        <v>0</v>
      </c>
      <c r="E123" s="356">
        <f>E19</f>
        <v>0</v>
      </c>
      <c r="F123" s="357">
        <f>F19</f>
        <v>0</v>
      </c>
    </row>
    <row r="124" spans="1:7" ht="15.75" customHeight="1" x14ac:dyDescent="0.2">
      <c r="A124" s="911" t="s">
        <v>504</v>
      </c>
      <c r="B124" s="911"/>
      <c r="C124" s="162">
        <f>C49</f>
        <v>0</v>
      </c>
      <c r="D124" s="162">
        <f>D49</f>
        <v>0</v>
      </c>
      <c r="E124" s="162">
        <f>E49</f>
        <v>0</v>
      </c>
      <c r="F124" s="163">
        <f>F49</f>
        <v>0</v>
      </c>
    </row>
    <row r="125" spans="1:7" ht="15.75" customHeight="1" x14ac:dyDescent="0.2">
      <c r="A125" s="911" t="s">
        <v>505</v>
      </c>
      <c r="B125" s="911"/>
      <c r="C125" s="162">
        <f>C60</f>
        <v>0</v>
      </c>
      <c r="D125" s="162">
        <f>D60</f>
        <v>0</v>
      </c>
      <c r="E125" s="162">
        <f>E60</f>
        <v>0</v>
      </c>
      <c r="F125" s="163">
        <f>F60</f>
        <v>0</v>
      </c>
    </row>
    <row r="126" spans="1:7" ht="15.75" customHeight="1" x14ac:dyDescent="0.2">
      <c r="A126" s="911" t="s">
        <v>506</v>
      </c>
      <c r="B126" s="911"/>
      <c r="C126" s="162">
        <f>C80</f>
        <v>0</v>
      </c>
      <c r="D126" s="162">
        <f>D80</f>
        <v>0</v>
      </c>
      <c r="E126" s="162">
        <f>E80</f>
        <v>0</v>
      </c>
      <c r="F126" s="163">
        <f>F69</f>
        <v>0</v>
      </c>
    </row>
    <row r="127" spans="1:7" ht="15.75" customHeight="1" x14ac:dyDescent="0.2">
      <c r="A127" s="911" t="s">
        <v>507</v>
      </c>
      <c r="B127" s="911"/>
      <c r="C127" s="162">
        <f>C91</f>
        <v>0</v>
      </c>
      <c r="D127" s="162">
        <f>D91</f>
        <v>0</v>
      </c>
      <c r="E127" s="162">
        <f>E91</f>
        <v>0</v>
      </c>
      <c r="F127" s="163">
        <f>F91</f>
        <v>0</v>
      </c>
    </row>
    <row r="128" spans="1:7" ht="15.75" customHeight="1" x14ac:dyDescent="0.2">
      <c r="A128" s="914" t="s">
        <v>508</v>
      </c>
      <c r="B128" s="914"/>
      <c r="C128" s="164">
        <f>SUM(C123:C127)</f>
        <v>0</v>
      </c>
      <c r="D128" s="164">
        <f>SUM(D123:D127)</f>
        <v>0</v>
      </c>
      <c r="E128" s="358">
        <f>SUM(E123:E127)</f>
        <v>0</v>
      </c>
      <c r="F128" s="165">
        <f>SUM(F123:F127)</f>
        <v>0</v>
      </c>
    </row>
    <row r="129" spans="1:12" ht="15.75" customHeight="1" x14ac:dyDescent="0.2">
      <c r="A129" s="912" t="s">
        <v>509</v>
      </c>
      <c r="B129" s="912"/>
      <c r="C129" s="359">
        <f t="shared" ref="C129:F133" si="25">C112</f>
        <v>0</v>
      </c>
      <c r="D129" s="359">
        <f t="shared" si="25"/>
        <v>0</v>
      </c>
      <c r="E129" s="359">
        <f t="shared" si="25"/>
        <v>0</v>
      </c>
      <c r="F129" s="360">
        <f t="shared" si="25"/>
        <v>0</v>
      </c>
    </row>
    <row r="130" spans="1:12" ht="15.75" customHeight="1" x14ac:dyDescent="0.2">
      <c r="A130" s="911" t="s">
        <v>510</v>
      </c>
      <c r="B130" s="911"/>
      <c r="C130" s="361">
        <f t="shared" si="25"/>
        <v>0</v>
      </c>
      <c r="D130" s="361">
        <f t="shared" si="25"/>
        <v>0</v>
      </c>
      <c r="E130" s="361">
        <f t="shared" si="25"/>
        <v>0</v>
      </c>
      <c r="F130" s="362">
        <f t="shared" si="25"/>
        <v>0</v>
      </c>
    </row>
    <row r="131" spans="1:12" ht="15.75" customHeight="1" x14ac:dyDescent="0.2">
      <c r="A131" s="911" t="s">
        <v>511</v>
      </c>
      <c r="B131" s="911"/>
      <c r="C131" s="361">
        <f t="shared" si="25"/>
        <v>0</v>
      </c>
      <c r="D131" s="361">
        <f t="shared" si="25"/>
        <v>0</v>
      </c>
      <c r="E131" s="361">
        <f t="shared" si="25"/>
        <v>0</v>
      </c>
      <c r="F131" s="362">
        <f t="shared" si="25"/>
        <v>0</v>
      </c>
    </row>
    <row r="132" spans="1:12" ht="15.75" customHeight="1" x14ac:dyDescent="0.2">
      <c r="A132" s="911" t="s">
        <v>512</v>
      </c>
      <c r="B132" s="911"/>
      <c r="C132" s="361">
        <f t="shared" si="25"/>
        <v>0</v>
      </c>
      <c r="D132" s="361">
        <f t="shared" si="25"/>
        <v>0</v>
      </c>
      <c r="E132" s="361">
        <f t="shared" si="25"/>
        <v>0</v>
      </c>
      <c r="F132" s="362">
        <f t="shared" si="25"/>
        <v>0</v>
      </c>
    </row>
    <row r="133" spans="1:12" ht="15.75" customHeight="1" x14ac:dyDescent="0.2">
      <c r="A133" s="912" t="s">
        <v>513</v>
      </c>
      <c r="B133" s="912"/>
      <c r="C133" s="361">
        <f t="shared" si="25"/>
        <v>0</v>
      </c>
      <c r="D133" s="361">
        <f t="shared" si="25"/>
        <v>0</v>
      </c>
      <c r="E133" s="361">
        <f t="shared" si="25"/>
        <v>0</v>
      </c>
      <c r="F133" s="362">
        <f t="shared" si="25"/>
        <v>0</v>
      </c>
    </row>
    <row r="134" spans="1:12" ht="15.75" customHeight="1" x14ac:dyDescent="0.2">
      <c r="A134" s="363" t="s">
        <v>514</v>
      </c>
      <c r="B134" s="364"/>
      <c r="C134" s="365">
        <f>C128+C129</f>
        <v>0</v>
      </c>
      <c r="D134" s="365">
        <f>D128+D129</f>
        <v>0</v>
      </c>
      <c r="E134" s="365">
        <f>E128+E129</f>
        <v>0</v>
      </c>
      <c r="F134" s="366">
        <f>F128+F129</f>
        <v>0</v>
      </c>
    </row>
    <row r="135" spans="1:12" ht="15.75" customHeight="1" x14ac:dyDescent="0.2">
      <c r="A135" s="367" t="s">
        <v>515</v>
      </c>
      <c r="B135" s="368"/>
      <c r="C135" s="369">
        <f>C128+C130</f>
        <v>0</v>
      </c>
      <c r="D135" s="369">
        <f>D128+D130</f>
        <v>0</v>
      </c>
      <c r="E135" s="369">
        <f>E128+E130</f>
        <v>0</v>
      </c>
      <c r="F135" s="370">
        <f>F128+F130</f>
        <v>0</v>
      </c>
    </row>
    <row r="136" spans="1:12" ht="15.75" customHeight="1" x14ac:dyDescent="0.2">
      <c r="A136" s="367" t="s">
        <v>516</v>
      </c>
      <c r="B136" s="368"/>
      <c r="C136" s="369">
        <f>C128+C131</f>
        <v>0</v>
      </c>
      <c r="D136" s="369">
        <f>D128+D131</f>
        <v>0</v>
      </c>
      <c r="E136" s="369">
        <f>E128+E131</f>
        <v>0</v>
      </c>
      <c r="F136" s="370">
        <f>F128+F131</f>
        <v>0</v>
      </c>
    </row>
    <row r="137" spans="1:12" ht="15.75" customHeight="1" x14ac:dyDescent="0.2">
      <c r="A137" s="367" t="s">
        <v>517</v>
      </c>
      <c r="B137" s="368"/>
      <c r="C137" s="369">
        <f>C128+C132</f>
        <v>0</v>
      </c>
      <c r="D137" s="369">
        <f>D128+D132</f>
        <v>0</v>
      </c>
      <c r="E137" s="369">
        <f>E128+E132</f>
        <v>0</v>
      </c>
      <c r="F137" s="370">
        <f>F128+F132</f>
        <v>0</v>
      </c>
    </row>
    <row r="138" spans="1:12" ht="15.75" customHeight="1" x14ac:dyDescent="0.2">
      <c r="A138" s="367" t="s">
        <v>518</v>
      </c>
      <c r="B138" s="368"/>
      <c r="C138" s="369">
        <f>C128+C133</f>
        <v>0</v>
      </c>
      <c r="D138" s="369">
        <f>D128+D133</f>
        <v>0</v>
      </c>
      <c r="E138" s="369">
        <f>E128+E133</f>
        <v>0</v>
      </c>
      <c r="F138" s="370">
        <f>F128+F133</f>
        <v>0</v>
      </c>
    </row>
    <row r="139" spans="1:12" ht="15.75" customHeight="1" x14ac:dyDescent="0.2">
      <c r="A139" s="371" t="s">
        <v>519</v>
      </c>
      <c r="B139" s="372"/>
      <c r="C139" s="373">
        <f>C134/200</f>
        <v>0</v>
      </c>
      <c r="D139" s="373"/>
      <c r="E139" s="374"/>
      <c r="F139" s="375"/>
    </row>
    <row r="140" spans="1:12" ht="15.75" customHeight="1" x14ac:dyDescent="0.2">
      <c r="A140" s="376" t="s">
        <v>520</v>
      </c>
      <c r="B140" s="377"/>
      <c r="C140" s="378">
        <f>C135/200</f>
        <v>0</v>
      </c>
      <c r="D140" s="378"/>
      <c r="E140" s="379"/>
      <c r="F140" s="380"/>
    </row>
    <row r="141" spans="1:12" ht="15.75" customHeight="1" x14ac:dyDescent="0.2">
      <c r="A141" s="376" t="s">
        <v>521</v>
      </c>
      <c r="B141" s="377"/>
      <c r="C141" s="378">
        <f>C136/200</f>
        <v>0</v>
      </c>
      <c r="D141" s="378"/>
      <c r="E141" s="379"/>
      <c r="F141" s="380"/>
    </row>
    <row r="142" spans="1:12" ht="15.75" customHeight="1" x14ac:dyDescent="0.2">
      <c r="A142" s="376" t="s">
        <v>522</v>
      </c>
      <c r="B142" s="377"/>
      <c r="C142" s="378">
        <f>C137/200</f>
        <v>0</v>
      </c>
      <c r="D142" s="378"/>
      <c r="E142" s="379"/>
      <c r="F142" s="380"/>
    </row>
    <row r="143" spans="1:12" ht="15.75" customHeight="1" x14ac:dyDescent="0.2">
      <c r="A143" s="381" t="s">
        <v>523</v>
      </c>
      <c r="B143" s="382"/>
      <c r="C143" s="383">
        <f>C138/200</f>
        <v>0</v>
      </c>
      <c r="D143" s="383"/>
      <c r="E143" s="384"/>
      <c r="F143" s="385"/>
    </row>
    <row r="144" spans="1:12" x14ac:dyDescent="0.2">
      <c r="A144" s="386"/>
      <c r="B144"/>
      <c r="C144"/>
      <c r="D144"/>
      <c r="E144"/>
      <c r="F144"/>
      <c r="G144"/>
      <c r="H144"/>
      <c r="I144"/>
      <c r="J144"/>
      <c r="K144"/>
      <c r="L144"/>
    </row>
    <row r="145" spans="1:15" ht="14.25" customHeight="1" x14ac:dyDescent="0.2">
      <c r="A145" s="913" t="s">
        <v>524</v>
      </c>
      <c r="B145" s="913"/>
      <c r="C145" s="913" t="s">
        <v>525</v>
      </c>
      <c r="D145" s="913"/>
      <c r="E145" s="909" t="s">
        <v>526</v>
      </c>
      <c r="F145" s="910"/>
      <c r="G145" s="908" t="s">
        <v>527</v>
      </c>
      <c r="H145" s="908"/>
      <c r="I145" s="908" t="s">
        <v>528</v>
      </c>
      <c r="J145" s="908"/>
      <c r="K145" s="908" t="s">
        <v>529</v>
      </c>
      <c r="L145" s="908"/>
    </row>
    <row r="146" spans="1:15" ht="38.25" x14ac:dyDescent="0.2">
      <c r="A146" s="438" t="s">
        <v>530</v>
      </c>
      <c r="B146" s="439" t="s">
        <v>531</v>
      </c>
      <c r="C146" s="439" t="s">
        <v>532</v>
      </c>
      <c r="D146" s="439" t="s">
        <v>533</v>
      </c>
      <c r="E146" s="439" t="s">
        <v>532</v>
      </c>
      <c r="F146" s="439" t="s">
        <v>533</v>
      </c>
      <c r="G146" s="439" t="s">
        <v>532</v>
      </c>
      <c r="H146" s="439" t="s">
        <v>533</v>
      </c>
      <c r="I146" s="439" t="s">
        <v>532</v>
      </c>
      <c r="J146" s="439" t="s">
        <v>533</v>
      </c>
      <c r="K146" s="439" t="s">
        <v>532</v>
      </c>
      <c r="L146" s="439" t="s">
        <v>533</v>
      </c>
    </row>
    <row r="147" spans="1:15" x14ac:dyDescent="0.2">
      <c r="A147" s="440" t="s">
        <v>534</v>
      </c>
      <c r="B147" s="441">
        <f>1/'Prod. GEXPGR'!C23</f>
        <v>9.0909090909090909E-4</v>
      </c>
      <c r="C147" s="442">
        <f>C134</f>
        <v>0</v>
      </c>
      <c r="D147" s="442">
        <f>B147*C147</f>
        <v>0</v>
      </c>
      <c r="E147" s="442">
        <f>C135</f>
        <v>0</v>
      </c>
      <c r="F147" s="442">
        <f>B147*E147</f>
        <v>0</v>
      </c>
      <c r="G147" s="442">
        <f>C136</f>
        <v>0</v>
      </c>
      <c r="H147" s="442">
        <f>B147*G147</f>
        <v>0</v>
      </c>
      <c r="I147" s="442">
        <f>C137</f>
        <v>0</v>
      </c>
      <c r="J147" s="442">
        <f>B147*I147</f>
        <v>0</v>
      </c>
      <c r="K147" s="442">
        <f>C138</f>
        <v>0</v>
      </c>
      <c r="L147" s="442">
        <f>B147*K147</f>
        <v>0</v>
      </c>
    </row>
    <row r="148" spans="1:15" x14ac:dyDescent="0.2">
      <c r="A148" s="443" t="s">
        <v>535</v>
      </c>
      <c r="B148" s="441">
        <f>B147/'Prod. GEXPGR'!O23</f>
        <v>3.7878787878787879E-5</v>
      </c>
      <c r="C148" s="442">
        <f>F136</f>
        <v>0</v>
      </c>
      <c r="D148" s="442">
        <f>C148*B148</f>
        <v>0</v>
      </c>
      <c r="E148" s="442">
        <f>F136</f>
        <v>0</v>
      </c>
      <c r="F148" s="442">
        <f>B148*E148</f>
        <v>0</v>
      </c>
      <c r="G148" s="442">
        <f>F136</f>
        <v>0</v>
      </c>
      <c r="H148" s="442">
        <f>B148*G148</f>
        <v>0</v>
      </c>
      <c r="I148" s="442">
        <f>F136</f>
        <v>0</v>
      </c>
      <c r="J148" s="442">
        <f>B148*I148</f>
        <v>0</v>
      </c>
      <c r="K148" s="442">
        <f>F136</f>
        <v>0</v>
      </c>
      <c r="L148" s="442">
        <f>B148*K148</f>
        <v>0</v>
      </c>
      <c r="M148" s="897"/>
      <c r="N148" s="898"/>
      <c r="O148" s="630"/>
    </row>
    <row r="149" spans="1:15" x14ac:dyDescent="0.2">
      <c r="A149" s="444" t="s">
        <v>536</v>
      </c>
      <c r="B149" s="445"/>
      <c r="C149" s="446"/>
      <c r="D149" s="446">
        <f>SUM(D147:D148)</f>
        <v>0</v>
      </c>
      <c r="E149" s="446"/>
      <c r="F149" s="446">
        <f>SUM(F147:F148)</f>
        <v>0</v>
      </c>
      <c r="G149" s="446"/>
      <c r="H149" s="446">
        <f>SUM(H147:H148)</f>
        <v>0</v>
      </c>
      <c r="I149" s="446"/>
      <c r="J149" s="446">
        <f>SUM(J147:J148)</f>
        <v>0</v>
      </c>
      <c r="K149" s="446"/>
      <c r="L149" s="446">
        <f>SUM(L147:L148)</f>
        <v>0</v>
      </c>
      <c r="M149" s="628"/>
      <c r="N149" s="629"/>
    </row>
    <row r="150" spans="1:15" x14ac:dyDescent="0.2">
      <c r="A150" s="387"/>
      <c r="B150" s="388"/>
      <c r="C150" s="388"/>
      <c r="D150" s="389"/>
      <c r="E150" s="389"/>
      <c r="F150"/>
      <c r="G150"/>
      <c r="H150"/>
      <c r="I150"/>
      <c r="J150"/>
      <c r="K150"/>
      <c r="L150"/>
    </row>
    <row r="151" spans="1:15" ht="14.25" customHeight="1" x14ac:dyDescent="0.2">
      <c r="A151" s="905" t="s">
        <v>537</v>
      </c>
      <c r="B151" s="905"/>
      <c r="C151" s="905" t="s">
        <v>525</v>
      </c>
      <c r="D151" s="905"/>
      <c r="E151" s="906" t="s">
        <v>526</v>
      </c>
      <c r="F151" s="907"/>
      <c r="G151" s="905" t="s">
        <v>527</v>
      </c>
      <c r="H151" s="905"/>
      <c r="I151" s="905" t="s">
        <v>528</v>
      </c>
      <c r="J151" s="905"/>
      <c r="K151" s="905" t="s">
        <v>529</v>
      </c>
      <c r="L151" s="905"/>
    </row>
    <row r="152" spans="1:15" ht="38.25" x14ac:dyDescent="0.2">
      <c r="A152" s="438" t="s">
        <v>530</v>
      </c>
      <c r="B152" s="439" t="s">
        <v>538</v>
      </c>
      <c r="C152" s="439" t="s">
        <v>532</v>
      </c>
      <c r="D152" s="439" t="s">
        <v>533</v>
      </c>
      <c r="E152" s="439" t="s">
        <v>532</v>
      </c>
      <c r="F152" s="439" t="s">
        <v>533</v>
      </c>
      <c r="G152" s="439" t="s">
        <v>532</v>
      </c>
      <c r="H152" s="439" t="s">
        <v>533</v>
      </c>
      <c r="I152" s="439" t="s">
        <v>532</v>
      </c>
      <c r="J152" s="439" t="s">
        <v>533</v>
      </c>
      <c r="K152" s="439" t="s">
        <v>532</v>
      </c>
      <c r="L152" s="439" t="s">
        <v>533</v>
      </c>
    </row>
    <row r="153" spans="1:15" x14ac:dyDescent="0.2">
      <c r="A153" s="440" t="s">
        <v>534</v>
      </c>
      <c r="B153" s="447">
        <f>1/'Prod. GEXPGR'!D23</f>
        <v>4.0000000000000002E-4</v>
      </c>
      <c r="C153" s="448">
        <f>C134</f>
        <v>0</v>
      </c>
      <c r="D153" s="442">
        <f>B153*C153</f>
        <v>0</v>
      </c>
      <c r="E153" s="442">
        <f>C135</f>
        <v>0</v>
      </c>
      <c r="F153" s="442">
        <f>B153*E153</f>
        <v>0</v>
      </c>
      <c r="G153" s="442">
        <f>C136</f>
        <v>0</v>
      </c>
      <c r="H153" s="442">
        <f>B153*G153</f>
        <v>0</v>
      </c>
      <c r="I153" s="442">
        <f>C137</f>
        <v>0</v>
      </c>
      <c r="J153" s="442">
        <f>B153*I153</f>
        <v>0</v>
      </c>
      <c r="K153" s="442">
        <f>C138</f>
        <v>0</v>
      </c>
      <c r="L153" s="442">
        <f>B153*K153</f>
        <v>0</v>
      </c>
    </row>
    <row r="154" spans="1:15" x14ac:dyDescent="0.2">
      <c r="A154" s="443" t="s">
        <v>535</v>
      </c>
      <c r="B154" s="441">
        <f>B153/'Prod. GEXPGR'!O23</f>
        <v>1.6666666666666667E-5</v>
      </c>
      <c r="C154" s="442">
        <f>F136</f>
        <v>0</v>
      </c>
      <c r="D154" s="442">
        <f>B154*C154</f>
        <v>0</v>
      </c>
      <c r="E154" s="442">
        <f>F136</f>
        <v>0</v>
      </c>
      <c r="F154" s="442">
        <f>B154*E154</f>
        <v>0</v>
      </c>
      <c r="G154" s="442">
        <f>F136</f>
        <v>0</v>
      </c>
      <c r="H154" s="442">
        <f>B154*G154</f>
        <v>0</v>
      </c>
      <c r="I154" s="442">
        <f>F136</f>
        <v>0</v>
      </c>
      <c r="J154" s="442">
        <f>B154*I154</f>
        <v>0</v>
      </c>
      <c r="K154" s="442">
        <f>F136</f>
        <v>0</v>
      </c>
      <c r="L154" s="442">
        <f>B154*K154</f>
        <v>0</v>
      </c>
    </row>
    <row r="155" spans="1:15" x14ac:dyDescent="0.2">
      <c r="A155" s="444" t="s">
        <v>539</v>
      </c>
      <c r="B155" s="445"/>
      <c r="C155" s="446"/>
      <c r="D155" s="446">
        <f>SUM(D153:D154)</f>
        <v>0</v>
      </c>
      <c r="E155" s="446"/>
      <c r="F155" s="446">
        <f>SUM(F153:F154)</f>
        <v>0</v>
      </c>
      <c r="G155" s="446"/>
      <c r="H155" s="446">
        <f>SUM(H153:H154)</f>
        <v>0</v>
      </c>
      <c r="I155" s="446"/>
      <c r="J155" s="446">
        <f>SUM(J153:J154)</f>
        <v>0</v>
      </c>
      <c r="K155" s="446"/>
      <c r="L155" s="446">
        <f>SUM(L153:L154)</f>
        <v>0</v>
      </c>
    </row>
    <row r="156" spans="1:15" x14ac:dyDescent="0.2">
      <c r="A156" s="387"/>
      <c r="B156" s="390"/>
      <c r="C156" s="390"/>
      <c r="D156" s="390"/>
      <c r="E156" s="390"/>
      <c r="F156"/>
      <c r="G156"/>
      <c r="H156"/>
      <c r="I156"/>
      <c r="J156"/>
      <c r="K156"/>
      <c r="L156"/>
    </row>
    <row r="157" spans="1:15" ht="14.25" customHeight="1" x14ac:dyDescent="0.2">
      <c r="A157" s="905" t="s">
        <v>540</v>
      </c>
      <c r="B157" s="905"/>
      <c r="C157" s="905" t="s">
        <v>525</v>
      </c>
      <c r="D157" s="905"/>
      <c r="E157" s="906" t="s">
        <v>526</v>
      </c>
      <c r="F157" s="907"/>
      <c r="G157" s="905" t="s">
        <v>527</v>
      </c>
      <c r="H157" s="905"/>
      <c r="I157" s="905" t="s">
        <v>528</v>
      </c>
      <c r="J157" s="905"/>
      <c r="K157" s="905" t="s">
        <v>529</v>
      </c>
      <c r="L157" s="905"/>
    </row>
    <row r="158" spans="1:15" ht="38.25" x14ac:dyDescent="0.2">
      <c r="A158" s="438" t="s">
        <v>530</v>
      </c>
      <c r="B158" s="439" t="s">
        <v>538</v>
      </c>
      <c r="C158" s="439" t="s">
        <v>532</v>
      </c>
      <c r="D158" s="439" t="s">
        <v>533</v>
      </c>
      <c r="E158" s="439" t="s">
        <v>532</v>
      </c>
      <c r="F158" s="439" t="s">
        <v>533</v>
      </c>
      <c r="G158" s="439" t="s">
        <v>532</v>
      </c>
      <c r="H158" s="439" t="s">
        <v>533</v>
      </c>
      <c r="I158" s="439" t="s">
        <v>532</v>
      </c>
      <c r="J158" s="439" t="s">
        <v>533</v>
      </c>
      <c r="K158" s="439" t="s">
        <v>532</v>
      </c>
      <c r="L158" s="439" t="s">
        <v>533</v>
      </c>
    </row>
    <row r="159" spans="1:15" x14ac:dyDescent="0.2">
      <c r="A159" s="440" t="s">
        <v>534</v>
      </c>
      <c r="B159" s="447">
        <f>1/'Prod. GEXPGR'!E23</f>
        <v>6.6666666666666664E-4</v>
      </c>
      <c r="C159" s="448">
        <f>C134</f>
        <v>0</v>
      </c>
      <c r="D159" s="442">
        <f>B159*C159</f>
        <v>0</v>
      </c>
      <c r="E159" s="442">
        <f>C135</f>
        <v>0</v>
      </c>
      <c r="F159" s="442">
        <f>B159*E159</f>
        <v>0</v>
      </c>
      <c r="G159" s="442">
        <f>C136</f>
        <v>0</v>
      </c>
      <c r="H159" s="442">
        <f>B159*G159</f>
        <v>0</v>
      </c>
      <c r="I159" s="442">
        <f>C137</f>
        <v>0</v>
      </c>
      <c r="J159" s="442">
        <f>B159*I159</f>
        <v>0</v>
      </c>
      <c r="K159" s="442">
        <f>C138</f>
        <v>0</v>
      </c>
      <c r="L159" s="442">
        <f>B159*K159</f>
        <v>0</v>
      </c>
    </row>
    <row r="160" spans="1:15" x14ac:dyDescent="0.2">
      <c r="A160" s="443" t="s">
        <v>535</v>
      </c>
      <c r="B160" s="441">
        <f>B159/'Prod. GEXPGR'!O23</f>
        <v>2.7777777777777776E-5</v>
      </c>
      <c r="C160" s="442">
        <f>F136</f>
        <v>0</v>
      </c>
      <c r="D160" s="442">
        <f>B160*C160</f>
        <v>0</v>
      </c>
      <c r="E160" s="442">
        <f>F136</f>
        <v>0</v>
      </c>
      <c r="F160" s="442">
        <f>B160*E160</f>
        <v>0</v>
      </c>
      <c r="G160" s="442">
        <f>F136</f>
        <v>0</v>
      </c>
      <c r="H160" s="442">
        <f>B160*G160</f>
        <v>0</v>
      </c>
      <c r="I160" s="442">
        <f>F136</f>
        <v>0</v>
      </c>
      <c r="J160" s="442">
        <f>B160*I160</f>
        <v>0</v>
      </c>
      <c r="K160" s="442">
        <f>F136</f>
        <v>0</v>
      </c>
      <c r="L160" s="442">
        <f>B160*K160</f>
        <v>0</v>
      </c>
    </row>
    <row r="161" spans="1:14" x14ac:dyDescent="0.2">
      <c r="A161" s="444" t="s">
        <v>539</v>
      </c>
      <c r="B161" s="445"/>
      <c r="C161" s="446"/>
      <c r="D161" s="446">
        <f>SUM(D159:D160)</f>
        <v>0</v>
      </c>
      <c r="E161" s="446"/>
      <c r="F161" s="446">
        <f>SUM(F159:F160)</f>
        <v>0</v>
      </c>
      <c r="G161" s="446"/>
      <c r="H161" s="446">
        <f>SUM(H159:H160)</f>
        <v>0</v>
      </c>
      <c r="I161" s="446"/>
      <c r="J161" s="446">
        <f>SUM(J159:J160)</f>
        <v>0</v>
      </c>
      <c r="K161" s="446"/>
      <c r="L161" s="446">
        <f>SUM(L159:L160)</f>
        <v>0</v>
      </c>
    </row>
    <row r="162" spans="1:14" x14ac:dyDescent="0.2">
      <c r="A162" s="387"/>
      <c r="B162" s="390"/>
      <c r="C162" s="390"/>
      <c r="D162" s="390"/>
      <c r="E162" s="390"/>
      <c r="F162"/>
      <c r="G162"/>
      <c r="H162"/>
      <c r="I162"/>
      <c r="J162"/>
      <c r="K162"/>
      <c r="L162"/>
    </row>
    <row r="163" spans="1:14" ht="14.25" customHeight="1" x14ac:dyDescent="0.2">
      <c r="A163" s="905" t="s">
        <v>541</v>
      </c>
      <c r="B163" s="905"/>
      <c r="C163" s="905" t="s">
        <v>525</v>
      </c>
      <c r="D163" s="905"/>
      <c r="E163" s="906" t="s">
        <v>526</v>
      </c>
      <c r="F163" s="907"/>
      <c r="G163" s="905" t="s">
        <v>527</v>
      </c>
      <c r="H163" s="905"/>
      <c r="I163" s="905" t="s">
        <v>528</v>
      </c>
      <c r="J163" s="905"/>
      <c r="K163" s="905" t="s">
        <v>529</v>
      </c>
      <c r="L163" s="905"/>
    </row>
    <row r="164" spans="1:14" ht="38.25" x14ac:dyDescent="0.2">
      <c r="A164" s="438" t="s">
        <v>530</v>
      </c>
      <c r="B164" s="439" t="s">
        <v>538</v>
      </c>
      <c r="C164" s="439" t="s">
        <v>532</v>
      </c>
      <c r="D164" s="439" t="s">
        <v>533</v>
      </c>
      <c r="E164" s="439" t="s">
        <v>532</v>
      </c>
      <c r="F164" s="439" t="s">
        <v>533</v>
      </c>
      <c r="G164" s="439" t="s">
        <v>532</v>
      </c>
      <c r="H164" s="439" t="s">
        <v>533</v>
      </c>
      <c r="I164" s="439" t="s">
        <v>532</v>
      </c>
      <c r="J164" s="439" t="s">
        <v>533</v>
      </c>
      <c r="K164" s="439" t="s">
        <v>532</v>
      </c>
      <c r="L164" s="439" t="s">
        <v>533</v>
      </c>
    </row>
    <row r="165" spans="1:14" x14ac:dyDescent="0.2">
      <c r="A165" s="440" t="s">
        <v>534</v>
      </c>
      <c r="B165" s="447">
        <f>1/'Prod. GEXPGR'!F23</f>
        <v>3.3333333333333335E-3</v>
      </c>
      <c r="C165" s="442">
        <f>C134</f>
        <v>0</v>
      </c>
      <c r="D165" s="442">
        <f>B165*C165</f>
        <v>0</v>
      </c>
      <c r="E165" s="442">
        <f>C135</f>
        <v>0</v>
      </c>
      <c r="F165" s="442">
        <f>B165*E165</f>
        <v>0</v>
      </c>
      <c r="G165" s="442">
        <f>C136</f>
        <v>0</v>
      </c>
      <c r="H165" s="442">
        <f>B165*G165</f>
        <v>0</v>
      </c>
      <c r="I165" s="442">
        <f>C137</f>
        <v>0</v>
      </c>
      <c r="J165" s="442">
        <f>B165*I165</f>
        <v>0</v>
      </c>
      <c r="K165" s="442">
        <f>C138</f>
        <v>0</v>
      </c>
      <c r="L165" s="442">
        <f>B165*K165</f>
        <v>0</v>
      </c>
    </row>
    <row r="166" spans="1:14" x14ac:dyDescent="0.2">
      <c r="A166" s="443" t="s">
        <v>535</v>
      </c>
      <c r="B166" s="441">
        <f>B165/'Prod. GEXPGR'!O23</f>
        <v>1.3888888888888889E-4</v>
      </c>
      <c r="C166" s="442">
        <f>F136</f>
        <v>0</v>
      </c>
      <c r="D166" s="442">
        <f>C166*B166</f>
        <v>0</v>
      </c>
      <c r="E166" s="442">
        <f>F136</f>
        <v>0</v>
      </c>
      <c r="F166" s="442">
        <f>B166*E166</f>
        <v>0</v>
      </c>
      <c r="G166" s="442">
        <f>F136</f>
        <v>0</v>
      </c>
      <c r="H166" s="442">
        <f>B166*G166</f>
        <v>0</v>
      </c>
      <c r="I166" s="442">
        <f>F136</f>
        <v>0</v>
      </c>
      <c r="J166" s="442">
        <f>B166*I166</f>
        <v>0</v>
      </c>
      <c r="K166" s="442">
        <f>F136</f>
        <v>0</v>
      </c>
      <c r="L166" s="442">
        <f>B166*K166</f>
        <v>0</v>
      </c>
    </row>
    <row r="167" spans="1:14" x14ac:dyDescent="0.2">
      <c r="A167" s="444" t="s">
        <v>539</v>
      </c>
      <c r="B167" s="445"/>
      <c r="C167" s="446"/>
      <c r="D167" s="446">
        <f>SUM(D165:D166)</f>
        <v>0</v>
      </c>
      <c r="E167" s="446"/>
      <c r="F167" s="446">
        <f>SUM(F165:F166)</f>
        <v>0</v>
      </c>
      <c r="G167" s="446"/>
      <c r="H167" s="446">
        <f>SUM(H165:H166)</f>
        <v>0</v>
      </c>
      <c r="I167" s="446"/>
      <c r="J167" s="446">
        <f>SUM(J165:J166)</f>
        <v>0</v>
      </c>
      <c r="K167" s="446"/>
      <c r="L167" s="446">
        <f>SUM(L165:L166)</f>
        <v>0</v>
      </c>
    </row>
    <row r="168" spans="1:14" x14ac:dyDescent="0.2">
      <c r="A168" s="387"/>
      <c r="B168" s="391"/>
      <c r="C168" s="391"/>
      <c r="D168" s="391"/>
      <c r="E168" s="391"/>
    </row>
    <row r="169" spans="1:14" ht="14.25" customHeight="1" x14ac:dyDescent="0.2">
      <c r="A169" s="899" t="s">
        <v>542</v>
      </c>
      <c r="B169" s="899"/>
      <c r="C169" s="899" t="s">
        <v>525</v>
      </c>
      <c r="D169" s="899"/>
      <c r="E169" s="903" t="s">
        <v>526</v>
      </c>
      <c r="F169" s="904"/>
      <c r="G169" s="899" t="s">
        <v>527</v>
      </c>
      <c r="H169" s="899"/>
      <c r="I169" s="899" t="s">
        <v>528</v>
      </c>
      <c r="J169" s="899"/>
      <c r="K169" s="899" t="s">
        <v>529</v>
      </c>
      <c r="L169" s="899"/>
    </row>
    <row r="170" spans="1:14" ht="38.25" x14ac:dyDescent="0.2">
      <c r="A170" s="438" t="s">
        <v>530</v>
      </c>
      <c r="B170" s="439" t="s">
        <v>538</v>
      </c>
      <c r="C170" s="439" t="s">
        <v>532</v>
      </c>
      <c r="D170" s="439" t="s">
        <v>533</v>
      </c>
      <c r="E170" s="439" t="s">
        <v>532</v>
      </c>
      <c r="F170" s="439" t="s">
        <v>533</v>
      </c>
      <c r="G170" s="439" t="s">
        <v>532</v>
      </c>
      <c r="H170" s="439" t="s">
        <v>533</v>
      </c>
      <c r="I170" s="439" t="s">
        <v>532</v>
      </c>
      <c r="J170" s="439" t="s">
        <v>533</v>
      </c>
      <c r="K170" s="439" t="s">
        <v>532</v>
      </c>
      <c r="L170" s="439" t="s">
        <v>533</v>
      </c>
    </row>
    <row r="171" spans="1:14" x14ac:dyDescent="0.2">
      <c r="A171" s="440" t="s">
        <v>543</v>
      </c>
      <c r="B171" s="447">
        <f>1/'Prod. GEXPGR'!G23</f>
        <v>3.7037037037037035E-4</v>
      </c>
      <c r="C171" s="442">
        <f>C134</f>
        <v>0</v>
      </c>
      <c r="D171" s="442">
        <f>B171*C171</f>
        <v>0</v>
      </c>
      <c r="E171" s="442">
        <f>C135</f>
        <v>0</v>
      </c>
      <c r="F171" s="442">
        <f>B171*E171</f>
        <v>0</v>
      </c>
      <c r="G171" s="442">
        <f>C136</f>
        <v>0</v>
      </c>
      <c r="H171" s="442">
        <f>B171*G171</f>
        <v>0</v>
      </c>
      <c r="I171" s="442">
        <f>C137</f>
        <v>0</v>
      </c>
      <c r="J171" s="442">
        <f>B171*I171</f>
        <v>0</v>
      </c>
      <c r="K171" s="442">
        <f>C138</f>
        <v>0</v>
      </c>
      <c r="L171" s="442">
        <f>B171*K171</f>
        <v>0</v>
      </c>
    </row>
    <row r="172" spans="1:14" x14ac:dyDescent="0.2">
      <c r="A172" s="443" t="s">
        <v>535</v>
      </c>
      <c r="B172" s="441">
        <f>B171/'Prod. GEXPGR'!O23</f>
        <v>1.5432098765432099E-5</v>
      </c>
      <c r="C172" s="442">
        <f>F136</f>
        <v>0</v>
      </c>
      <c r="D172" s="442">
        <f>B172*C172</f>
        <v>0</v>
      </c>
      <c r="E172" s="442">
        <f>F136</f>
        <v>0</v>
      </c>
      <c r="F172" s="442">
        <f>B172*E172</f>
        <v>0</v>
      </c>
      <c r="G172" s="442">
        <f>F136</f>
        <v>0</v>
      </c>
      <c r="H172" s="442">
        <f>B172*G172</f>
        <v>0</v>
      </c>
      <c r="I172" s="442">
        <f>F136</f>
        <v>0</v>
      </c>
      <c r="J172" s="442">
        <f>B172*I172</f>
        <v>0</v>
      </c>
      <c r="K172" s="442">
        <f>F136</f>
        <v>0</v>
      </c>
      <c r="L172" s="442">
        <f>B172*K172</f>
        <v>0</v>
      </c>
      <c r="M172" s="897"/>
      <c r="N172" s="898"/>
    </row>
    <row r="173" spans="1:14" x14ac:dyDescent="0.2">
      <c r="A173" s="449" t="s">
        <v>544</v>
      </c>
      <c r="B173" s="450"/>
      <c r="C173" s="451"/>
      <c r="D173" s="452">
        <f>SUM(D171:D172)</f>
        <v>0</v>
      </c>
      <c r="E173" s="451"/>
      <c r="F173" s="452">
        <f>SUM(F171:F172)</f>
        <v>0</v>
      </c>
      <c r="G173" s="451"/>
      <c r="H173" s="452">
        <f>SUM(H171:H172)</f>
        <v>0</v>
      </c>
      <c r="I173" s="451"/>
      <c r="J173" s="452">
        <f>SUM(J171:J172)</f>
        <v>0</v>
      </c>
      <c r="K173" s="451"/>
      <c r="L173" s="452">
        <f>SUM(L171:L172)</f>
        <v>0</v>
      </c>
      <c r="M173" s="628"/>
      <c r="N173" s="629"/>
    </row>
    <row r="174" spans="1:14" x14ac:dyDescent="0.2">
      <c r="A174" s="440" t="s">
        <v>545</v>
      </c>
      <c r="B174" s="447">
        <f>1/'Prod. GEXPGR'!H23</f>
        <v>1.0000000000000001E-5</v>
      </c>
      <c r="C174" s="442">
        <f>C134</f>
        <v>0</v>
      </c>
      <c r="D174" s="442">
        <f>B174*C174</f>
        <v>0</v>
      </c>
      <c r="E174" s="442">
        <f>C135</f>
        <v>0</v>
      </c>
      <c r="F174" s="442">
        <f>B174*E174</f>
        <v>0</v>
      </c>
      <c r="G174" s="442">
        <f>C136</f>
        <v>0</v>
      </c>
      <c r="H174" s="442">
        <f>B174*G174</f>
        <v>0</v>
      </c>
      <c r="I174" s="442">
        <f>C137</f>
        <v>0</v>
      </c>
      <c r="J174" s="442">
        <f>B174*I174</f>
        <v>0</v>
      </c>
      <c r="K174" s="442">
        <f>C138</f>
        <v>0</v>
      </c>
      <c r="L174" s="442">
        <f>B174*K174</f>
        <v>0</v>
      </c>
    </row>
    <row r="175" spans="1:14" x14ac:dyDescent="0.2">
      <c r="A175" s="443" t="s">
        <v>535</v>
      </c>
      <c r="B175" s="441">
        <f>B174/'Prod. GEXPGR'!O23</f>
        <v>4.1666666666666672E-7</v>
      </c>
      <c r="C175" s="442">
        <f>F136</f>
        <v>0</v>
      </c>
      <c r="D175" s="442">
        <f>B175*C175</f>
        <v>0</v>
      </c>
      <c r="E175" s="442">
        <f>F136</f>
        <v>0</v>
      </c>
      <c r="F175" s="442">
        <f>B175*E175</f>
        <v>0</v>
      </c>
      <c r="G175" s="442">
        <f>F136</f>
        <v>0</v>
      </c>
      <c r="H175" s="442">
        <f>B175*G175</f>
        <v>0</v>
      </c>
      <c r="I175" s="442">
        <f>F136</f>
        <v>0</v>
      </c>
      <c r="J175" s="442">
        <f>B175*I175</f>
        <v>0</v>
      </c>
      <c r="K175" s="442">
        <f>F136</f>
        <v>0</v>
      </c>
      <c r="L175" s="442">
        <f>B175*K175</f>
        <v>0</v>
      </c>
    </row>
    <row r="176" spans="1:14" x14ac:dyDescent="0.2">
      <c r="A176" s="449" t="s">
        <v>546</v>
      </c>
      <c r="B176" s="453"/>
      <c r="C176" s="451"/>
      <c r="D176" s="452">
        <f>SUM(D174:D175)</f>
        <v>0</v>
      </c>
      <c r="E176" s="451"/>
      <c r="F176" s="452">
        <f>SUM(F174:F175)</f>
        <v>0</v>
      </c>
      <c r="G176" s="451"/>
      <c r="H176" s="452">
        <f>SUM(H174:H175)</f>
        <v>0</v>
      </c>
      <c r="I176" s="451"/>
      <c r="J176" s="452">
        <f>SUM(J174:J175)</f>
        <v>0</v>
      </c>
      <c r="K176" s="451"/>
      <c r="L176" s="452">
        <f>SUM(L174:L175)</f>
        <v>0</v>
      </c>
    </row>
    <row r="177" spans="1:14" x14ac:dyDescent="0.2">
      <c r="A177" s="440" t="s">
        <v>547</v>
      </c>
      <c r="B177" s="447">
        <f>1/'Prod. GEXPGR'!I23</f>
        <v>1.1111111111111112E-4</v>
      </c>
      <c r="C177" s="442">
        <f>C134</f>
        <v>0</v>
      </c>
      <c r="D177" s="442">
        <f>B177*C177</f>
        <v>0</v>
      </c>
      <c r="E177" s="442">
        <f>C135</f>
        <v>0</v>
      </c>
      <c r="F177" s="442">
        <f>B177*E177</f>
        <v>0</v>
      </c>
      <c r="G177" s="442">
        <f>C136</f>
        <v>0</v>
      </c>
      <c r="H177" s="442">
        <f>B177*G177</f>
        <v>0</v>
      </c>
      <c r="I177" s="442">
        <f>C137</f>
        <v>0</v>
      </c>
      <c r="J177" s="442">
        <f>B177*I177</f>
        <v>0</v>
      </c>
      <c r="K177" s="442">
        <f>C138</f>
        <v>0</v>
      </c>
      <c r="L177" s="442">
        <f>B177*K177</f>
        <v>0</v>
      </c>
    </row>
    <row r="178" spans="1:14" x14ac:dyDescent="0.2">
      <c r="A178" s="443" t="s">
        <v>535</v>
      </c>
      <c r="B178" s="441">
        <f>B177/'Prod. GEXPGR'!O23</f>
        <v>4.6296296296296296E-6</v>
      </c>
      <c r="C178" s="442">
        <f>F136</f>
        <v>0</v>
      </c>
      <c r="D178" s="442">
        <f>B178*C178</f>
        <v>0</v>
      </c>
      <c r="E178" s="442">
        <f>F136</f>
        <v>0</v>
      </c>
      <c r="F178" s="442">
        <f>B178*E178</f>
        <v>0</v>
      </c>
      <c r="G178" s="442">
        <f>F136</f>
        <v>0</v>
      </c>
      <c r="H178" s="442">
        <f>B178*G178</f>
        <v>0</v>
      </c>
      <c r="I178" s="442">
        <f>F136</f>
        <v>0</v>
      </c>
      <c r="J178" s="442">
        <f>B178*I178</f>
        <v>0</v>
      </c>
      <c r="K178" s="442">
        <f>F136</f>
        <v>0</v>
      </c>
      <c r="L178" s="442">
        <f>B178*K178</f>
        <v>0</v>
      </c>
    </row>
    <row r="179" spans="1:14" x14ac:dyDescent="0.2">
      <c r="A179" s="449" t="s">
        <v>548</v>
      </c>
      <c r="B179" s="453"/>
      <c r="C179" s="451"/>
      <c r="D179" s="452">
        <f>SUM(D177:D178)</f>
        <v>0</v>
      </c>
      <c r="E179" s="451"/>
      <c r="F179" s="452">
        <f>SUM(F177:F178)</f>
        <v>0</v>
      </c>
      <c r="G179" s="451"/>
      <c r="H179" s="452">
        <f>SUM(H177:H178)</f>
        <v>0</v>
      </c>
      <c r="I179" s="451"/>
      <c r="J179" s="452">
        <f>SUM(J177:J178)</f>
        <v>0</v>
      </c>
      <c r="K179" s="451"/>
      <c r="L179" s="452">
        <f>SUM(L177:L178)</f>
        <v>0</v>
      </c>
    </row>
    <row r="180" spans="1:14" x14ac:dyDescent="0.2">
      <c r="A180" s="387"/>
      <c r="B180" s="390"/>
      <c r="C180" s="390"/>
      <c r="D180" s="390"/>
      <c r="E180" s="390"/>
    </row>
    <row r="181" spans="1:14" ht="14.25" customHeight="1" x14ac:dyDescent="0.2">
      <c r="A181" s="902" t="s">
        <v>549</v>
      </c>
      <c r="B181" s="902"/>
      <c r="C181" s="902" t="s">
        <v>525</v>
      </c>
      <c r="D181" s="902"/>
      <c r="E181" s="900" t="s">
        <v>526</v>
      </c>
      <c r="F181" s="901"/>
      <c r="G181" s="902" t="s">
        <v>527</v>
      </c>
      <c r="H181" s="902"/>
      <c r="I181" s="902" t="s">
        <v>528</v>
      </c>
      <c r="J181" s="902"/>
      <c r="K181" s="902" t="s">
        <v>529</v>
      </c>
      <c r="L181" s="902"/>
    </row>
    <row r="182" spans="1:14" ht="38.25" x14ac:dyDescent="0.2">
      <c r="A182" s="438" t="s">
        <v>530</v>
      </c>
      <c r="B182" s="439" t="s">
        <v>538</v>
      </c>
      <c r="C182" s="439" t="s">
        <v>532</v>
      </c>
      <c r="D182" s="439" t="s">
        <v>533</v>
      </c>
      <c r="E182" s="439" t="s">
        <v>532</v>
      </c>
      <c r="F182" s="439" t="s">
        <v>533</v>
      </c>
      <c r="G182" s="439" t="s">
        <v>532</v>
      </c>
      <c r="H182" s="439" t="s">
        <v>533</v>
      </c>
      <c r="I182" s="439" t="s">
        <v>532</v>
      </c>
      <c r="J182" s="439" t="s">
        <v>533</v>
      </c>
      <c r="K182" s="439" t="s">
        <v>532</v>
      </c>
      <c r="L182" s="439" t="s">
        <v>533</v>
      </c>
    </row>
    <row r="183" spans="1:14" x14ac:dyDescent="0.2">
      <c r="A183" s="454" t="s">
        <v>550</v>
      </c>
      <c r="B183" s="447">
        <f>(1/'Prod. GEXPGR'!J23)*(1/(30/7*44*6))*8</f>
        <v>4.4191919191919199E-5</v>
      </c>
      <c r="C183" s="720">
        <f>E134</f>
        <v>0</v>
      </c>
      <c r="D183" s="442">
        <f>B183*C183</f>
        <v>0</v>
      </c>
      <c r="E183" s="720">
        <f>E135</f>
        <v>0</v>
      </c>
      <c r="F183" s="442">
        <f>B183*E183</f>
        <v>0</v>
      </c>
      <c r="G183" s="720">
        <f>E136</f>
        <v>0</v>
      </c>
      <c r="H183" s="442">
        <f>B183*G183</f>
        <v>0</v>
      </c>
      <c r="I183" s="720">
        <f>E137</f>
        <v>0</v>
      </c>
      <c r="J183" s="442">
        <f>B183*I183</f>
        <v>0</v>
      </c>
      <c r="K183" s="720">
        <f>E138</f>
        <v>0</v>
      </c>
      <c r="L183" s="442">
        <f>B183*K183</f>
        <v>0</v>
      </c>
    </row>
    <row r="184" spans="1:14" x14ac:dyDescent="0.2">
      <c r="A184" s="443" t="s">
        <v>535</v>
      </c>
      <c r="B184" s="447">
        <f>B183/4</f>
        <v>1.10479797979798E-5</v>
      </c>
      <c r="C184" s="442">
        <f>F136</f>
        <v>0</v>
      </c>
      <c r="D184" s="442">
        <f>B184*C184</f>
        <v>0</v>
      </c>
      <c r="E184" s="442">
        <f>F136</f>
        <v>0</v>
      </c>
      <c r="F184" s="442">
        <f>B184*E184</f>
        <v>0</v>
      </c>
      <c r="G184" s="442">
        <f>F136</f>
        <v>0</v>
      </c>
      <c r="H184" s="442">
        <f>B184*G184</f>
        <v>0</v>
      </c>
      <c r="I184" s="442">
        <f>F136</f>
        <v>0</v>
      </c>
      <c r="J184" s="442">
        <f>B184*I184</f>
        <v>0</v>
      </c>
      <c r="K184" s="442">
        <f>F136</f>
        <v>0</v>
      </c>
      <c r="L184" s="442">
        <f>B184*K184</f>
        <v>0</v>
      </c>
      <c r="M184" s="897"/>
      <c r="N184" s="898"/>
    </row>
    <row r="185" spans="1:14" ht="15.75" customHeight="1" x14ac:dyDescent="0.2">
      <c r="A185" s="455" t="s">
        <v>551</v>
      </c>
      <c r="B185" s="456"/>
      <c r="C185" s="457"/>
      <c r="D185" s="458">
        <f>SUM(D183:D184)</f>
        <v>0</v>
      </c>
      <c r="E185" s="457"/>
      <c r="F185" s="458">
        <f>SUM(F183:F184)</f>
        <v>0</v>
      </c>
      <c r="G185" s="457"/>
      <c r="H185" s="458">
        <f>SUM(H183:H184)</f>
        <v>0</v>
      </c>
      <c r="I185" s="457"/>
      <c r="J185" s="458">
        <f>SUM(J183:J184)</f>
        <v>0</v>
      </c>
      <c r="K185" s="457"/>
      <c r="L185" s="458">
        <f>SUM(L183:L184)</f>
        <v>0</v>
      </c>
      <c r="M185" s="628"/>
      <c r="N185" s="629"/>
    </row>
    <row r="186" spans="1:14" x14ac:dyDescent="0.2">
      <c r="A186" s="454" t="s">
        <v>552</v>
      </c>
      <c r="B186" s="447">
        <f>1/'Prod. GEXPGR'!K23*16*(1/188.76)</f>
        <v>2.2306242401936183E-4</v>
      </c>
      <c r="C186" s="442">
        <f>C134</f>
        <v>0</v>
      </c>
      <c r="D186" s="442">
        <f>B186*C186</f>
        <v>0</v>
      </c>
      <c r="E186" s="442">
        <f>C135</f>
        <v>0</v>
      </c>
      <c r="F186" s="442">
        <f>B186*E186</f>
        <v>0</v>
      </c>
      <c r="G186" s="442">
        <f>C136</f>
        <v>0</v>
      </c>
      <c r="H186" s="442">
        <f>B186*G186</f>
        <v>0</v>
      </c>
      <c r="I186" s="442">
        <f>C137</f>
        <v>0</v>
      </c>
      <c r="J186" s="442">
        <f>B186*I186</f>
        <v>0</v>
      </c>
      <c r="K186" s="442">
        <f>C138</f>
        <v>0</v>
      </c>
      <c r="L186" s="442">
        <f>B186*K186</f>
        <v>0</v>
      </c>
    </row>
    <row r="187" spans="1:14" x14ac:dyDescent="0.2">
      <c r="A187" s="443" t="s">
        <v>535</v>
      </c>
      <c r="B187" s="447">
        <f>1/('Prod. GEXPGR'!O23*'Prod. GEXPGR'!K23)*16*(1/188.76)</f>
        <v>9.2942676674734108E-6</v>
      </c>
      <c r="C187" s="442">
        <f>F136</f>
        <v>0</v>
      </c>
      <c r="D187" s="442">
        <f>B187*C187</f>
        <v>0</v>
      </c>
      <c r="E187" s="442">
        <f>F136</f>
        <v>0</v>
      </c>
      <c r="F187" s="442">
        <f>B187*E187</f>
        <v>0</v>
      </c>
      <c r="G187" s="442">
        <f>F136</f>
        <v>0</v>
      </c>
      <c r="H187" s="442">
        <f>B187*G187</f>
        <v>0</v>
      </c>
      <c r="I187" s="442">
        <f>F136</f>
        <v>0</v>
      </c>
      <c r="J187" s="442">
        <f>B187*I187</f>
        <v>0</v>
      </c>
      <c r="K187" s="442">
        <f>F136</f>
        <v>0</v>
      </c>
      <c r="L187" s="442">
        <f>B187*K187</f>
        <v>0</v>
      </c>
      <c r="M187" s="897"/>
      <c r="N187" s="898"/>
    </row>
    <row r="188" spans="1:14" x14ac:dyDescent="0.2">
      <c r="A188" s="455" t="s">
        <v>553</v>
      </c>
      <c r="B188" s="456"/>
      <c r="C188" s="457"/>
      <c r="D188" s="458">
        <f>SUM(D186:D187)</f>
        <v>0</v>
      </c>
      <c r="E188" s="457"/>
      <c r="F188" s="458">
        <f>SUM(F186:F187)</f>
        <v>0</v>
      </c>
      <c r="G188" s="457"/>
      <c r="H188" s="458">
        <f>SUM(H186:H187)</f>
        <v>0</v>
      </c>
      <c r="I188" s="457"/>
      <c r="J188" s="458">
        <f>SUM(J186:J187)</f>
        <v>0</v>
      </c>
      <c r="K188" s="457"/>
      <c r="L188" s="458">
        <f>SUM(L186:L187)</f>
        <v>0</v>
      </c>
      <c r="M188" s="628"/>
      <c r="N188" s="629"/>
    </row>
    <row r="189" spans="1:14" x14ac:dyDescent="0.2">
      <c r="A189" s="440" t="s">
        <v>554</v>
      </c>
      <c r="B189" s="447">
        <f>1/'Prod. GEXPGR'!L23*16*(1/188.76)</f>
        <v>2.2306242401936183E-4</v>
      </c>
      <c r="C189" s="442">
        <f>C134</f>
        <v>0</v>
      </c>
      <c r="D189" s="442">
        <f>B189*C189</f>
        <v>0</v>
      </c>
      <c r="E189" s="442">
        <f>C135</f>
        <v>0</v>
      </c>
      <c r="F189" s="442">
        <f>B189*E189</f>
        <v>0</v>
      </c>
      <c r="G189" s="442">
        <f>C136</f>
        <v>0</v>
      </c>
      <c r="H189" s="442">
        <f>B189*G189</f>
        <v>0</v>
      </c>
      <c r="I189" s="442">
        <f>C137</f>
        <v>0</v>
      </c>
      <c r="J189" s="442">
        <f>B189*I189</f>
        <v>0</v>
      </c>
      <c r="K189" s="442">
        <f>C138</f>
        <v>0</v>
      </c>
      <c r="L189" s="442">
        <f>B189*K189</f>
        <v>0</v>
      </c>
    </row>
    <row r="190" spans="1:14" x14ac:dyDescent="0.2">
      <c r="A190" s="443" t="s">
        <v>535</v>
      </c>
      <c r="B190" s="447">
        <f>1/('Prod. GEXPGR'!O23*'Prod. GEXPGR'!L23)*16*(1/188.76)</f>
        <v>9.2942676674734108E-6</v>
      </c>
      <c r="C190" s="442">
        <f>F136</f>
        <v>0</v>
      </c>
      <c r="D190" s="442">
        <f>B190*C190</f>
        <v>0</v>
      </c>
      <c r="E190" s="442">
        <f>F136</f>
        <v>0</v>
      </c>
      <c r="F190" s="442">
        <f>B190*E190</f>
        <v>0</v>
      </c>
      <c r="G190" s="442">
        <f>F136</f>
        <v>0</v>
      </c>
      <c r="H190" s="442">
        <f>B190*G190</f>
        <v>0</v>
      </c>
      <c r="I190" s="442">
        <f>F136</f>
        <v>0</v>
      </c>
      <c r="J190" s="442">
        <f>B190*I190</f>
        <v>0</v>
      </c>
      <c r="K190" s="442">
        <f>F136</f>
        <v>0</v>
      </c>
      <c r="L190" s="442">
        <f>B190*K190</f>
        <v>0</v>
      </c>
      <c r="M190" s="897"/>
      <c r="N190" s="898"/>
    </row>
    <row r="191" spans="1:14" x14ac:dyDescent="0.2">
      <c r="A191" s="455" t="s">
        <v>555</v>
      </c>
      <c r="B191" s="456"/>
      <c r="C191" s="457"/>
      <c r="D191" s="458">
        <f>SUM(D189:D190)</f>
        <v>0</v>
      </c>
      <c r="E191" s="457"/>
      <c r="F191" s="458">
        <f>SUM(F189:F190)</f>
        <v>0</v>
      </c>
      <c r="G191" s="457"/>
      <c r="H191" s="458">
        <f>SUM(H189:H190)</f>
        <v>0</v>
      </c>
      <c r="I191" s="457"/>
      <c r="J191" s="458">
        <f>SUM(J189:J190)</f>
        <v>0</v>
      </c>
      <c r="K191" s="457"/>
      <c r="L191" s="458">
        <f>SUM(L189:L190)</f>
        <v>0</v>
      </c>
      <c r="M191" s="628"/>
      <c r="N191" s="629"/>
    </row>
    <row r="192" spans="1:14" x14ac:dyDescent="0.2">
      <c r="A192" s="386"/>
    </row>
  </sheetData>
  <mergeCells count="68">
    <mergeCell ref="A21:F21"/>
    <mergeCell ref="A1:F1"/>
    <mergeCell ref="A2:F2"/>
    <mergeCell ref="A3:F3"/>
    <mergeCell ref="A9:F9"/>
    <mergeCell ref="A20:B20"/>
    <mergeCell ref="A124:B124"/>
    <mergeCell ref="A50:B50"/>
    <mergeCell ref="A51:F51"/>
    <mergeCell ref="A61:B61"/>
    <mergeCell ref="A62:F62"/>
    <mergeCell ref="A92:B92"/>
    <mergeCell ref="A112:A116"/>
    <mergeCell ref="A119:F119"/>
    <mergeCell ref="A120:F120"/>
    <mergeCell ref="A121:B121"/>
    <mergeCell ref="A122:B122"/>
    <mergeCell ref="A123:B123"/>
    <mergeCell ref="E145:F145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45:B145"/>
    <mergeCell ref="C145:D145"/>
    <mergeCell ref="A151:B151"/>
    <mergeCell ref="C151:D151"/>
    <mergeCell ref="E151:F151"/>
    <mergeCell ref="G151:H151"/>
    <mergeCell ref="I151:J151"/>
    <mergeCell ref="K157:L157"/>
    <mergeCell ref="G145:H145"/>
    <mergeCell ref="I145:J145"/>
    <mergeCell ref="K145:L145"/>
    <mergeCell ref="M148:N148"/>
    <mergeCell ref="K151:L151"/>
    <mergeCell ref="A157:B157"/>
    <mergeCell ref="C157:D157"/>
    <mergeCell ref="E157:F157"/>
    <mergeCell ref="G157:H157"/>
    <mergeCell ref="I157:J157"/>
    <mergeCell ref="K169:L169"/>
    <mergeCell ref="A163:B163"/>
    <mergeCell ref="C163:D163"/>
    <mergeCell ref="E163:F163"/>
    <mergeCell ref="G163:H163"/>
    <mergeCell ref="I163:J163"/>
    <mergeCell ref="K163:L163"/>
    <mergeCell ref="A169:B169"/>
    <mergeCell ref="C169:D169"/>
    <mergeCell ref="E169:F169"/>
    <mergeCell ref="G169:H169"/>
    <mergeCell ref="I169:J169"/>
    <mergeCell ref="M184:N184"/>
    <mergeCell ref="M187:N187"/>
    <mergeCell ref="M190:N190"/>
    <mergeCell ref="M172:N172"/>
    <mergeCell ref="A181:B181"/>
    <mergeCell ref="C181:D181"/>
    <mergeCell ref="E181:F181"/>
    <mergeCell ref="G181:H181"/>
    <mergeCell ref="I181:J181"/>
    <mergeCell ref="K181:L18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2779F605D534DA1B3FC3D1B1B4DA1" ma:contentTypeVersion="4" ma:contentTypeDescription="Create a new document." ma:contentTypeScope="" ma:versionID="792bdeb3ee64891d3fd5aa3829d0a470">
  <xsd:schema xmlns:xsd="http://www.w3.org/2001/XMLSchema" xmlns:xs="http://www.w3.org/2001/XMLSchema" xmlns:p="http://schemas.microsoft.com/office/2006/metadata/properties" xmlns:ns2="c3daeb68-ee4a-4fef-ab94-779009af24c2" xmlns:ns3="a1fdbba4-714c-4189-ada0-32d20d17b811" targetNamespace="http://schemas.microsoft.com/office/2006/metadata/properties" ma:root="true" ma:fieldsID="dcda8fd05be29a03d07af7c7ebb24494" ns2:_="" ns3:_="">
    <xsd:import namespace="c3daeb68-ee4a-4fef-ab94-779009af24c2"/>
    <xsd:import namespace="a1fdbba4-714c-4189-ada0-32d20d17b8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eb68-ee4a-4fef-ab94-779009af2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dbba4-714c-4189-ada0-32d20d17b8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69E8E4-E1CA-4312-9A3D-5627568AD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eb68-ee4a-4fef-ab94-779009af24c2"/>
    <ds:schemaRef ds:uri="a1fdbba4-714c-4189-ada0-32d20d17b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5D858B-AF11-493D-80EE-03BC8AF891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DC9F62-CCDF-46E7-9726-75185F356D3A}">
  <ds:schemaRefs>
    <ds:schemaRef ds:uri="http://purl.org/dc/terms/"/>
    <ds:schemaRef ds:uri="c3daeb68-ee4a-4fef-ab94-779009af24c2"/>
    <ds:schemaRef ds:uri="http://schemas.microsoft.com/office/2006/documentManagement/types"/>
    <ds:schemaRef ds:uri="http://schemas.microsoft.com/office/infopath/2007/PartnerControls"/>
    <ds:schemaRef ds:uri="a1fdbba4-714c-4189-ada0-32d20d17b81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7</vt:i4>
      </vt:variant>
    </vt:vector>
  </HeadingPairs>
  <TitlesOfParts>
    <vt:vector size="17" baseType="lpstr">
      <vt:lpstr>Modelo de Proposta</vt:lpstr>
      <vt:lpstr>MC</vt:lpstr>
      <vt:lpstr>Insumos</vt:lpstr>
      <vt:lpstr>Resumo Proposta</vt:lpstr>
      <vt:lpstr>Prod. GEXCTB</vt:lpstr>
      <vt:lpstr>GEXCTB Limp.Ord.</vt:lpstr>
      <vt:lpstr>GEXCTB Covid</vt:lpstr>
      <vt:lpstr>Prod. GEXPGR</vt:lpstr>
      <vt:lpstr>GEXPGR Limp.Ord. </vt:lpstr>
      <vt:lpstr>GEXPGR Covid </vt:lpstr>
      <vt:lpstr>'Prod. GEXPGR'!_FiltrarBancodeDados</vt:lpstr>
      <vt:lpstr>'Modelo de Proposta'!Area_de_impressao</vt:lpstr>
      <vt:lpstr>'GEXCTB Covid'!Print_Area</vt:lpstr>
      <vt:lpstr>'GEXCTB Limp.Ord.'!Print_Area</vt:lpstr>
      <vt:lpstr>'GEXPGR Covid '!Print_Area</vt:lpstr>
      <vt:lpstr>'GEXPGR Limp.Ord. '!Print_Area</vt:lpstr>
      <vt:lpstr>MC!Print_Area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Alves Miranda</dc:creator>
  <cp:lastModifiedBy>quelc</cp:lastModifiedBy>
  <cp:revision>89</cp:revision>
  <dcterms:created xsi:type="dcterms:W3CDTF">2020-03-17T09:48:25Z</dcterms:created>
  <dcterms:modified xsi:type="dcterms:W3CDTF">2022-06-30T13:34:38Z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0x0101002802779F605D534DA1B3FC3D1B1B4DA1</vt:lpwstr>
  </property>
</Properties>
</file>