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764" activeTab="1"/>
  </bookViews>
  <sheets>
    <sheet name="MC" sheetId="1" r:id="rId1"/>
    <sheet name="Insumos" sheetId="20" r:id="rId2"/>
    <sheet name="Resumo Proposta" sheetId="5" r:id="rId3"/>
    <sheet name="Prod. GEXCAS" sheetId="6" r:id="rId4"/>
    <sheet name="GEXCAS Limp.Ord." sheetId="7" r:id="rId5"/>
    <sheet name="GEXCAS Covid" sheetId="12" r:id="rId6"/>
    <sheet name="Prod. GEXLON" sheetId="9" r:id="rId7"/>
    <sheet name="GEXLON Limp.Ord. " sheetId="13" r:id="rId8"/>
    <sheet name="GEXLON Covid " sheetId="14" r:id="rId9"/>
    <sheet name="Prod. GEXMRG" sheetId="16" r:id="rId10"/>
    <sheet name="GEXMRG Limp.Ord. " sheetId="17" r:id="rId11"/>
    <sheet name="GEXMRG Covid " sheetId="18" r:id="rId12"/>
  </sheets>
  <definedNames>
    <definedName name="_xlnm._FilterDatabase" localSheetId="6">'Prod. GEXLON'!$A$2:$V$2</definedName>
    <definedName name="Print_Area" localSheetId="5">'GEXCAS Covid'!$A$1:$D$144</definedName>
    <definedName name="Print_Area" localSheetId="4">'GEXCAS Limp.Ord.'!$A$1:$D$192</definedName>
    <definedName name="Print_Area" localSheetId="8">'GEXLON Covid '!$A$1:$D$144</definedName>
    <definedName name="Print_Area" localSheetId="7">'GEXLON Limp.Ord. '!$A$1:$D$192</definedName>
    <definedName name="Print_Area" localSheetId="11">'GEXMRG Covid '!$A$1:$D$144</definedName>
    <definedName name="Print_Area" localSheetId="10">'GEXMRG Limp.Ord. '!$A$1:$D$192</definedName>
    <definedName name="Print_Area" localSheetId="0">MC!$A$3:$V$19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58" i="5" l="1"/>
  <c r="AB58" i="5"/>
  <c r="AA58" i="5"/>
  <c r="Z58" i="5"/>
  <c r="Y58" i="5"/>
  <c r="K99" i="20" l="1"/>
  <c r="J99" i="20"/>
  <c r="H96" i="20" l="1"/>
  <c r="F89" i="17"/>
  <c r="F84" i="17"/>
  <c r="F89" i="7"/>
  <c r="F84" i="7"/>
  <c r="K68" i="1" l="1"/>
  <c r="F18" i="16"/>
  <c r="E91" i="1"/>
  <c r="E68" i="1"/>
  <c r="D87" i="18"/>
  <c r="C87" i="18"/>
  <c r="B85" i="18"/>
  <c r="B84" i="18"/>
  <c r="D87" i="14"/>
  <c r="C87" i="14"/>
  <c r="B85" i="14"/>
  <c r="B84" i="14"/>
  <c r="D87" i="12"/>
  <c r="C87" i="12"/>
  <c r="B85" i="12"/>
  <c r="D84" i="12"/>
  <c r="C84" i="12"/>
  <c r="B84" i="12"/>
  <c r="B89" i="17"/>
  <c r="D87" i="17"/>
  <c r="C87" i="17"/>
  <c r="B85" i="17"/>
  <c r="B84" i="17"/>
  <c r="F84" i="13"/>
  <c r="G89" i="13"/>
  <c r="E87" i="13"/>
  <c r="G84" i="13"/>
  <c r="E85" i="13"/>
  <c r="B89" i="13"/>
  <c r="D87" i="13"/>
  <c r="C87" i="13"/>
  <c r="B85" i="13"/>
  <c r="B84" i="13"/>
  <c r="B89" i="7"/>
  <c r="D87" i="7"/>
  <c r="C87" i="7"/>
  <c r="D85" i="7"/>
  <c r="C85" i="7"/>
  <c r="B85" i="7"/>
  <c r="E84" i="7"/>
  <c r="D84" i="7"/>
  <c r="C84" i="7"/>
  <c r="B84" i="7"/>
  <c r="E95" i="20"/>
  <c r="D95" i="20"/>
  <c r="C95" i="20"/>
  <c r="D146" i="20"/>
  <c r="H146" i="20" s="1"/>
  <c r="H145" i="20" s="1"/>
  <c r="G133" i="20"/>
  <c r="H133" i="20" s="1"/>
  <c r="G132" i="20"/>
  <c r="D132" i="20"/>
  <c r="C132" i="20"/>
  <c r="G131" i="20"/>
  <c r="H131" i="20" s="1"/>
  <c r="G130" i="20"/>
  <c r="I130" i="20" s="1"/>
  <c r="G127" i="20"/>
  <c r="D127" i="20"/>
  <c r="C127" i="20"/>
  <c r="G126" i="20"/>
  <c r="D126" i="20"/>
  <c r="C126" i="20"/>
  <c r="G125" i="20"/>
  <c r="D125" i="20"/>
  <c r="C125" i="20"/>
  <c r="G124" i="20"/>
  <c r="D124" i="20"/>
  <c r="C124" i="20"/>
  <c r="G123" i="20"/>
  <c r="D123" i="20"/>
  <c r="C123" i="20"/>
  <c r="F116" i="20"/>
  <c r="G116" i="20" s="1"/>
  <c r="F115" i="20"/>
  <c r="F114" i="20"/>
  <c r="F113" i="20"/>
  <c r="G113" i="20" s="1"/>
  <c r="F111" i="20"/>
  <c r="F110" i="20"/>
  <c r="G110" i="20" s="1"/>
  <c r="F109" i="20"/>
  <c r="F108" i="20"/>
  <c r="F107" i="20"/>
  <c r="F106" i="20"/>
  <c r="G106" i="20" s="1"/>
  <c r="K96" i="20"/>
  <c r="J96" i="20"/>
  <c r="I96" i="20"/>
  <c r="H95" i="20"/>
  <c r="J95" i="20" s="1"/>
  <c r="K95" i="20"/>
  <c r="H94" i="20"/>
  <c r="J94" i="20" s="1"/>
  <c r="H93" i="20"/>
  <c r="H92" i="20"/>
  <c r="J92" i="20" s="1"/>
  <c r="H91" i="20"/>
  <c r="K91" i="20" s="1"/>
  <c r="H90" i="20"/>
  <c r="J90" i="20" s="1"/>
  <c r="H89" i="20"/>
  <c r="I89" i="20" s="1"/>
  <c r="H88" i="20"/>
  <c r="K88" i="20" s="1"/>
  <c r="H87" i="20"/>
  <c r="I87" i="20" s="1"/>
  <c r="F68" i="20"/>
  <c r="C68" i="20"/>
  <c r="G68" i="20" s="1"/>
  <c r="F66" i="20"/>
  <c r="C66" i="20"/>
  <c r="F65" i="20"/>
  <c r="G65" i="20" s="1"/>
  <c r="F64" i="20"/>
  <c r="C64" i="20"/>
  <c r="F63" i="20"/>
  <c r="C63" i="20"/>
  <c r="F57" i="20"/>
  <c r="G57" i="20" s="1"/>
  <c r="F56" i="20"/>
  <c r="G56" i="20" s="1"/>
  <c r="F55" i="20"/>
  <c r="G55" i="20" s="1"/>
  <c r="F54" i="20"/>
  <c r="G54" i="20" s="1"/>
  <c r="F53" i="20"/>
  <c r="G53" i="20" s="1"/>
  <c r="F52" i="20"/>
  <c r="G52" i="20" s="1"/>
  <c r="F51" i="20"/>
  <c r="G51" i="20" s="1"/>
  <c r="F50" i="20"/>
  <c r="G50" i="20" s="1"/>
  <c r="F49" i="20"/>
  <c r="G49" i="20" s="1"/>
  <c r="F48" i="20"/>
  <c r="G48" i="20" s="1"/>
  <c r="F47" i="20"/>
  <c r="G47" i="20" s="1"/>
  <c r="F46" i="20"/>
  <c r="G46" i="20" s="1"/>
  <c r="F45" i="20"/>
  <c r="G45" i="20" s="1"/>
  <c r="F44" i="20"/>
  <c r="G44" i="20" s="1"/>
  <c r="F43" i="20"/>
  <c r="G43" i="20" s="1"/>
  <c r="F42" i="20"/>
  <c r="G42" i="20" s="1"/>
  <c r="F41" i="20"/>
  <c r="G41" i="20" s="1"/>
  <c r="F40" i="20"/>
  <c r="G40" i="20" s="1"/>
  <c r="F39" i="20"/>
  <c r="G39" i="20" s="1"/>
  <c r="F36" i="20"/>
  <c r="G36" i="20" s="1"/>
  <c r="F35" i="20"/>
  <c r="G35" i="20" s="1"/>
  <c r="F34" i="20"/>
  <c r="G34" i="20" s="1"/>
  <c r="F33" i="20"/>
  <c r="G33" i="20" s="1"/>
  <c r="F32" i="20"/>
  <c r="G32" i="20" s="1"/>
  <c r="F31" i="20"/>
  <c r="G31" i="20" s="1"/>
  <c r="F30" i="20"/>
  <c r="G30" i="20" s="1"/>
  <c r="F29" i="20"/>
  <c r="G29" i="20" s="1"/>
  <c r="F28" i="20"/>
  <c r="G28" i="20" s="1"/>
  <c r="F27" i="20"/>
  <c r="G27" i="20" s="1"/>
  <c r="F26" i="20"/>
  <c r="G26" i="20" s="1"/>
  <c r="F25" i="20"/>
  <c r="G25" i="20" s="1"/>
  <c r="F24" i="20"/>
  <c r="G24" i="20" s="1"/>
  <c r="F23" i="20"/>
  <c r="G23" i="20" s="1"/>
  <c r="F22" i="20"/>
  <c r="G22" i="20" s="1"/>
  <c r="F21" i="20"/>
  <c r="G21" i="20" s="1"/>
  <c r="F20" i="20"/>
  <c r="G20" i="20" s="1"/>
  <c r="F19" i="20"/>
  <c r="G19" i="20" s="1"/>
  <c r="F18" i="20"/>
  <c r="G18" i="20" s="1"/>
  <c r="F17" i="20"/>
  <c r="G17" i="20" s="1"/>
  <c r="F16" i="20"/>
  <c r="G16" i="20" s="1"/>
  <c r="F15" i="20"/>
  <c r="G15" i="20" s="1"/>
  <c r="F14" i="20"/>
  <c r="G14" i="20" s="1"/>
  <c r="F13" i="20"/>
  <c r="G13" i="20" s="1"/>
  <c r="F12" i="20"/>
  <c r="G12" i="20" s="1"/>
  <c r="F11" i="20"/>
  <c r="G11" i="20" s="1"/>
  <c r="F10" i="20"/>
  <c r="G10" i="20" s="1"/>
  <c r="F9" i="20"/>
  <c r="G9" i="20" s="1"/>
  <c r="F8" i="20"/>
  <c r="G8" i="20" s="1"/>
  <c r="F7" i="20"/>
  <c r="G7" i="20" s="1"/>
  <c r="F6" i="20"/>
  <c r="G6" i="20" s="1"/>
  <c r="F5" i="20"/>
  <c r="G5" i="20" s="1"/>
  <c r="F4" i="20"/>
  <c r="G4" i="20" s="1"/>
  <c r="F3" i="20"/>
  <c r="G3" i="20" s="1"/>
  <c r="D84" i="18" l="1"/>
  <c r="C84" i="18"/>
  <c r="D85" i="18"/>
  <c r="C85" i="18"/>
  <c r="D84" i="14"/>
  <c r="C84" i="14"/>
  <c r="D85" i="14"/>
  <c r="C85" i="14"/>
  <c r="E84" i="17"/>
  <c r="D84" i="17"/>
  <c r="C84" i="17"/>
  <c r="D85" i="17"/>
  <c r="C85" i="17"/>
  <c r="E84" i="13"/>
  <c r="D84" i="13"/>
  <c r="C84" i="13"/>
  <c r="D85" i="13"/>
  <c r="C85" i="13"/>
  <c r="I133" i="20"/>
  <c r="G64" i="20"/>
  <c r="H126" i="20"/>
  <c r="I124" i="20"/>
  <c r="J91" i="20"/>
  <c r="I123" i="20"/>
  <c r="I127" i="20"/>
  <c r="H127" i="20"/>
  <c r="H132" i="20"/>
  <c r="I90" i="20"/>
  <c r="H124" i="20"/>
  <c r="G66" i="20"/>
  <c r="K92" i="20"/>
  <c r="I132" i="20"/>
  <c r="G58" i="20"/>
  <c r="I131" i="20"/>
  <c r="G63" i="20"/>
  <c r="K87" i="20"/>
  <c r="J88" i="20"/>
  <c r="G109" i="20"/>
  <c r="H123" i="20"/>
  <c r="H130" i="20"/>
  <c r="J87" i="20"/>
  <c r="I88" i="20"/>
  <c r="I126" i="20"/>
  <c r="G108" i="20"/>
  <c r="K89" i="20"/>
  <c r="J89" i="20"/>
  <c r="K90" i="20"/>
  <c r="G37" i="20"/>
  <c r="K93" i="20"/>
  <c r="J93" i="20"/>
  <c r="K94" i="20"/>
  <c r="G115" i="20"/>
  <c r="I125" i="20"/>
  <c r="H125" i="20"/>
  <c r="G107" i="20"/>
  <c r="G111" i="20"/>
  <c r="G114" i="20"/>
  <c r="G69" i="20" l="1"/>
  <c r="G59" i="20"/>
  <c r="H122" i="20"/>
  <c r="I129" i="20"/>
  <c r="H129" i="20"/>
  <c r="G112" i="20"/>
  <c r="G118" i="20" s="1"/>
  <c r="J97" i="20"/>
  <c r="J98" i="20" s="1"/>
  <c r="B86" i="13" s="1"/>
  <c r="I122" i="20"/>
  <c r="G105" i="20"/>
  <c r="G117" i="20" s="1"/>
  <c r="K97" i="20"/>
  <c r="K98" i="20" s="1"/>
  <c r="B86" i="17" s="1"/>
  <c r="I91" i="20"/>
  <c r="D86" i="17" l="1"/>
  <c r="C86" i="17"/>
  <c r="E86" i="13"/>
  <c r="D86" i="13"/>
  <c r="C86" i="13"/>
  <c r="I92" i="20"/>
  <c r="I93" i="20" l="1"/>
  <c r="I94" i="20" l="1"/>
  <c r="I95" i="20"/>
  <c r="I97" i="20" l="1"/>
  <c r="I98" i="20" s="1"/>
  <c r="B5" i="16" l="1"/>
  <c r="B6" i="16"/>
  <c r="B7" i="16"/>
  <c r="B8" i="16"/>
  <c r="B9" i="16"/>
  <c r="B10" i="16"/>
  <c r="B11" i="16"/>
  <c r="B12" i="16"/>
  <c r="B13" i="16"/>
  <c r="B14" i="16"/>
  <c r="B15" i="16"/>
  <c r="B16" i="16"/>
  <c r="B17" i="16"/>
  <c r="B4" i="16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4" i="9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4" i="6"/>
  <c r="E78" i="13"/>
  <c r="F11" i="1"/>
  <c r="E25" i="5"/>
  <c r="G25" i="5"/>
  <c r="I25" i="5"/>
  <c r="K25" i="5"/>
  <c r="M25" i="5"/>
  <c r="O25" i="5"/>
  <c r="Q25" i="5"/>
  <c r="S25" i="5"/>
  <c r="U25" i="5"/>
  <c r="W25" i="5"/>
  <c r="D26" i="5"/>
  <c r="AC26" i="5"/>
  <c r="AC41" i="5" s="1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AC42" i="5"/>
  <c r="AC56" i="5" s="1"/>
  <c r="E8" i="13"/>
  <c r="E7" i="13"/>
  <c r="E6" i="13"/>
  <c r="E5" i="13"/>
  <c r="E13" i="13" s="1"/>
  <c r="E19" i="13" s="1"/>
  <c r="O19" i="9"/>
  <c r="AC6" i="5"/>
  <c r="AC25" i="5" s="1"/>
  <c r="B189" i="17"/>
  <c r="B186" i="17"/>
  <c r="B183" i="17"/>
  <c r="B177" i="17"/>
  <c r="B174" i="17"/>
  <c r="B171" i="17"/>
  <c r="B165" i="17"/>
  <c r="B159" i="17"/>
  <c r="B153" i="17"/>
  <c r="B147" i="17"/>
  <c r="E92" i="1"/>
  <c r="F92" i="1" s="1"/>
  <c r="E93" i="1"/>
  <c r="E94" i="1"/>
  <c r="E95" i="1"/>
  <c r="E96" i="1"/>
  <c r="F96" i="1" s="1"/>
  <c r="E97" i="1"/>
  <c r="E98" i="1"/>
  <c r="E99" i="1"/>
  <c r="E100" i="1"/>
  <c r="E101" i="1"/>
  <c r="E102" i="1"/>
  <c r="E103" i="1"/>
  <c r="F103" i="1" s="1"/>
  <c r="E104" i="1"/>
  <c r="D121" i="18"/>
  <c r="C121" i="18"/>
  <c r="B110" i="18"/>
  <c r="B109" i="18"/>
  <c r="B107" i="18"/>
  <c r="B106" i="18"/>
  <c r="B104" i="18"/>
  <c r="B103" i="18"/>
  <c r="B101" i="18"/>
  <c r="B100" i="18"/>
  <c r="B98" i="18"/>
  <c r="B97" i="18"/>
  <c r="D78" i="18"/>
  <c r="B78" i="18"/>
  <c r="B74" i="18"/>
  <c r="B79" i="18" s="1"/>
  <c r="C72" i="18"/>
  <c r="C78" i="18" s="1"/>
  <c r="B67" i="18"/>
  <c r="B66" i="18"/>
  <c r="B64" i="18"/>
  <c r="B59" i="18"/>
  <c r="B57" i="18"/>
  <c r="B54" i="18"/>
  <c r="B40" i="18"/>
  <c r="B36" i="18"/>
  <c r="B24" i="18"/>
  <c r="B23" i="18"/>
  <c r="D8" i="18"/>
  <c r="C8" i="18"/>
  <c r="D7" i="18"/>
  <c r="C7" i="18"/>
  <c r="D6" i="18"/>
  <c r="C6" i="18"/>
  <c r="F121" i="17"/>
  <c r="E121" i="17"/>
  <c r="D121" i="17"/>
  <c r="C121" i="17"/>
  <c r="B110" i="17"/>
  <c r="B109" i="17"/>
  <c r="B107" i="17"/>
  <c r="B106" i="17"/>
  <c r="B104" i="17"/>
  <c r="B103" i="17"/>
  <c r="B101" i="17"/>
  <c r="B100" i="17"/>
  <c r="B98" i="17"/>
  <c r="B97" i="17"/>
  <c r="B96" i="17"/>
  <c r="B95" i="17"/>
  <c r="F78" i="17"/>
  <c r="E78" i="17"/>
  <c r="D78" i="17"/>
  <c r="B78" i="17"/>
  <c r="B74" i="17"/>
  <c r="B79" i="17" s="1"/>
  <c r="C72" i="17"/>
  <c r="C78" i="17" s="1"/>
  <c r="B67" i="17"/>
  <c r="B66" i="17"/>
  <c r="B64" i="17"/>
  <c r="B59" i="17"/>
  <c r="B57" i="17"/>
  <c r="B54" i="17"/>
  <c r="B40" i="17"/>
  <c r="B36" i="17"/>
  <c r="B24" i="17"/>
  <c r="B23" i="17"/>
  <c r="E18" i="17"/>
  <c r="F8" i="17"/>
  <c r="E8" i="17"/>
  <c r="D8" i="17"/>
  <c r="C8" i="17"/>
  <c r="F7" i="17"/>
  <c r="E7" i="17"/>
  <c r="D7" i="17"/>
  <c r="C7" i="17"/>
  <c r="F6" i="17"/>
  <c r="E6" i="17"/>
  <c r="D6" i="17"/>
  <c r="C6" i="17"/>
  <c r="E5" i="17"/>
  <c r="E13" i="17" s="1"/>
  <c r="J29" i="16"/>
  <c r="L29" i="16" s="1"/>
  <c r="L30" i="16" s="1"/>
  <c r="J22" i="16" s="1"/>
  <c r="L22" i="16"/>
  <c r="I22" i="16"/>
  <c r="H22" i="16"/>
  <c r="G22" i="16"/>
  <c r="F22" i="16"/>
  <c r="E22" i="16"/>
  <c r="D22" i="16"/>
  <c r="C22" i="16"/>
  <c r="U18" i="16"/>
  <c r="T18" i="16"/>
  <c r="S18" i="16"/>
  <c r="R18" i="16"/>
  <c r="Q18" i="16"/>
  <c r="P18" i="16"/>
  <c r="Q19" i="16" s="1"/>
  <c r="O18" i="16"/>
  <c r="O20" i="16" s="1"/>
  <c r="N18" i="16"/>
  <c r="L18" i="16"/>
  <c r="L20" i="16" s="1"/>
  <c r="K18" i="16"/>
  <c r="K20" i="16" s="1"/>
  <c r="J18" i="16"/>
  <c r="I18" i="16"/>
  <c r="H18" i="16"/>
  <c r="G18" i="16"/>
  <c r="E18" i="16"/>
  <c r="D18" i="16"/>
  <c r="C18" i="16"/>
  <c r="M17" i="16"/>
  <c r="M16" i="16"/>
  <c r="M15" i="16"/>
  <c r="M14" i="16"/>
  <c r="M13" i="16"/>
  <c r="M12" i="16"/>
  <c r="M11" i="16"/>
  <c r="M10" i="16"/>
  <c r="M9" i="16"/>
  <c r="M8" i="16"/>
  <c r="M7" i="16"/>
  <c r="M6" i="16"/>
  <c r="M5" i="16"/>
  <c r="M4" i="16"/>
  <c r="M18" i="16" s="1"/>
  <c r="B153" i="13"/>
  <c r="B165" i="7"/>
  <c r="B147" i="7"/>
  <c r="D87" i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E76" i="1"/>
  <c r="F76" i="1" s="1"/>
  <c r="E77" i="1"/>
  <c r="F77" i="1" s="1"/>
  <c r="E78" i="1"/>
  <c r="E79" i="1"/>
  <c r="E80" i="1"/>
  <c r="F80" i="1" s="1"/>
  <c r="E81" i="1"/>
  <c r="E82" i="1"/>
  <c r="F82" i="1" s="1"/>
  <c r="E83" i="1"/>
  <c r="E84" i="1"/>
  <c r="F84" i="1" s="1"/>
  <c r="E85" i="1"/>
  <c r="E86" i="1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42" i="5"/>
  <c r="G90" i="13"/>
  <c r="W56" i="5"/>
  <c r="U56" i="5"/>
  <c r="S56" i="5"/>
  <c r="Q56" i="5"/>
  <c r="O56" i="5"/>
  <c r="M56" i="5"/>
  <c r="K56" i="5"/>
  <c r="I56" i="5"/>
  <c r="G56" i="5"/>
  <c r="E56" i="5"/>
  <c r="D105" i="1"/>
  <c r="F104" i="1"/>
  <c r="F97" i="1"/>
  <c r="F94" i="1"/>
  <c r="F93" i="1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6" i="5"/>
  <c r="U19" i="9"/>
  <c r="T19" i="9"/>
  <c r="S19" i="9"/>
  <c r="B189" i="13"/>
  <c r="B186" i="13"/>
  <c r="B183" i="7"/>
  <c r="B183" i="13"/>
  <c r="B177" i="13"/>
  <c r="B174" i="13"/>
  <c r="B171" i="13"/>
  <c r="B165" i="13"/>
  <c r="B159" i="13"/>
  <c r="B147" i="13"/>
  <c r="D121" i="14"/>
  <c r="C121" i="14"/>
  <c r="B110" i="14"/>
  <c r="B109" i="14"/>
  <c r="B107" i="14"/>
  <c r="B106" i="14"/>
  <c r="B104" i="14"/>
  <c r="B103" i="14"/>
  <c r="B101" i="14"/>
  <c r="B100" i="14"/>
  <c r="B98" i="14"/>
  <c r="B97" i="14"/>
  <c r="D78" i="14"/>
  <c r="B78" i="14"/>
  <c r="B74" i="14"/>
  <c r="B79" i="14" s="1"/>
  <c r="C72" i="14"/>
  <c r="C78" i="14" s="1"/>
  <c r="B67" i="14"/>
  <c r="B66" i="14"/>
  <c r="B64" i="14"/>
  <c r="B59" i="14"/>
  <c r="B57" i="14"/>
  <c r="B54" i="14"/>
  <c r="B40" i="14"/>
  <c r="B36" i="14"/>
  <c r="B24" i="14"/>
  <c r="B23" i="14"/>
  <c r="D8" i="14"/>
  <c r="C8" i="14"/>
  <c r="D7" i="14"/>
  <c r="C7" i="14"/>
  <c r="D6" i="14"/>
  <c r="C6" i="14"/>
  <c r="G121" i="13"/>
  <c r="F121" i="13"/>
  <c r="D121" i="13"/>
  <c r="C121" i="13"/>
  <c r="B110" i="13"/>
  <c r="B109" i="13"/>
  <c r="B107" i="13"/>
  <c r="B106" i="13"/>
  <c r="B104" i="13"/>
  <c r="B103" i="13"/>
  <c r="B101" i="13"/>
  <c r="B100" i="13"/>
  <c r="B98" i="13"/>
  <c r="B97" i="13"/>
  <c r="B96" i="13"/>
  <c r="B95" i="13"/>
  <c r="G78" i="13"/>
  <c r="F78" i="13"/>
  <c r="D78" i="13"/>
  <c r="B78" i="13"/>
  <c r="B74" i="13"/>
  <c r="B79" i="13" s="1"/>
  <c r="C72" i="13"/>
  <c r="C78" i="13" s="1"/>
  <c r="B67" i="13"/>
  <c r="B66" i="13"/>
  <c r="B64" i="13"/>
  <c r="B59" i="13"/>
  <c r="B57" i="13"/>
  <c r="B54" i="13"/>
  <c r="B40" i="13"/>
  <c r="B36" i="13"/>
  <c r="B24" i="13"/>
  <c r="B23" i="13"/>
  <c r="F18" i="13"/>
  <c r="G8" i="13"/>
  <c r="F8" i="13"/>
  <c r="D8" i="13"/>
  <c r="C8" i="13"/>
  <c r="G7" i="13"/>
  <c r="F7" i="13"/>
  <c r="D7" i="13"/>
  <c r="C7" i="13"/>
  <c r="G6" i="13"/>
  <c r="F6" i="13"/>
  <c r="D6" i="13"/>
  <c r="C6" i="13"/>
  <c r="F5" i="13"/>
  <c r="F13" i="13" s="1"/>
  <c r="B96" i="7"/>
  <c r="B95" i="7"/>
  <c r="T23" i="6"/>
  <c r="S23" i="6"/>
  <c r="R23" i="6"/>
  <c r="E5" i="7"/>
  <c r="E6" i="7"/>
  <c r="F6" i="7"/>
  <c r="E7" i="7"/>
  <c r="F7" i="7"/>
  <c r="E8" i="7"/>
  <c r="F8" i="7"/>
  <c r="E13" i="7"/>
  <c r="E14" i="7"/>
  <c r="E18" i="7"/>
  <c r="E19" i="7"/>
  <c r="E78" i="7"/>
  <c r="F78" i="7"/>
  <c r="E121" i="7"/>
  <c r="F121" i="7"/>
  <c r="E123" i="7"/>
  <c r="D121" i="12"/>
  <c r="C121" i="12"/>
  <c r="B110" i="12"/>
  <c r="B109" i="12"/>
  <c r="B107" i="12"/>
  <c r="B106" i="12"/>
  <c r="B104" i="12"/>
  <c r="B103" i="12"/>
  <c r="B101" i="12"/>
  <c r="B100" i="12"/>
  <c r="B98" i="12"/>
  <c r="B97" i="12"/>
  <c r="D78" i="12"/>
  <c r="B78" i="12"/>
  <c r="B74" i="12"/>
  <c r="B79" i="12" s="1"/>
  <c r="C72" i="12"/>
  <c r="C78" i="12" s="1"/>
  <c r="B67" i="12"/>
  <c r="B66" i="12"/>
  <c r="B64" i="12"/>
  <c r="B59" i="12"/>
  <c r="B57" i="12"/>
  <c r="B54" i="12"/>
  <c r="B40" i="12"/>
  <c r="B36" i="12"/>
  <c r="B24" i="12"/>
  <c r="B23" i="12"/>
  <c r="D8" i="12"/>
  <c r="C8" i="12"/>
  <c r="D7" i="12"/>
  <c r="C7" i="12"/>
  <c r="D6" i="12"/>
  <c r="C6" i="12"/>
  <c r="E13" i="1"/>
  <c r="B74" i="7"/>
  <c r="B67" i="7"/>
  <c r="B66" i="7"/>
  <c r="D17" i="1"/>
  <c r="C17" i="1"/>
  <c r="E17" i="1" s="1"/>
  <c r="D12" i="1"/>
  <c r="F5" i="17" s="1"/>
  <c r="F13" i="17" s="1"/>
  <c r="E11" i="1"/>
  <c r="D11" i="1"/>
  <c r="B189" i="7"/>
  <c r="B186" i="7"/>
  <c r="B177" i="7"/>
  <c r="B174" i="7"/>
  <c r="B171" i="7"/>
  <c r="D7" i="5"/>
  <c r="J30" i="9"/>
  <c r="L30" i="9" s="1"/>
  <c r="L31" i="9" s="1"/>
  <c r="J23" i="9" s="1"/>
  <c r="I23" i="9"/>
  <c r="H23" i="9"/>
  <c r="G23" i="9"/>
  <c r="F23" i="9"/>
  <c r="E23" i="9"/>
  <c r="D23" i="9"/>
  <c r="C23" i="9"/>
  <c r="V19" i="9"/>
  <c r="R19" i="9"/>
  <c r="Q19" i="9"/>
  <c r="P19" i="9"/>
  <c r="N19" i="9"/>
  <c r="J19" i="9"/>
  <c r="I19" i="9"/>
  <c r="G19" i="9"/>
  <c r="M18" i="9"/>
  <c r="M17" i="9"/>
  <c r="M16" i="9"/>
  <c r="M15" i="9"/>
  <c r="M14" i="9"/>
  <c r="M13" i="9"/>
  <c r="M12" i="9"/>
  <c r="M11" i="9"/>
  <c r="M9" i="9"/>
  <c r="M7" i="9"/>
  <c r="K19" i="9"/>
  <c r="K21" i="9" s="1"/>
  <c r="F19" i="9"/>
  <c r="E19" i="9"/>
  <c r="B159" i="7"/>
  <c r="B153" i="7"/>
  <c r="D121" i="7"/>
  <c r="C121" i="7"/>
  <c r="B110" i="7"/>
  <c r="B109" i="7"/>
  <c r="B107" i="7"/>
  <c r="B106" i="7"/>
  <c r="B104" i="7"/>
  <c r="B103" i="7"/>
  <c r="B101" i="7"/>
  <c r="B100" i="7"/>
  <c r="B98" i="7"/>
  <c r="B97" i="7"/>
  <c r="D78" i="7"/>
  <c r="B78" i="7"/>
  <c r="B79" i="7"/>
  <c r="C72" i="7"/>
  <c r="C78" i="7" s="1"/>
  <c r="B64" i="7"/>
  <c r="B59" i="7"/>
  <c r="B57" i="7"/>
  <c r="B54" i="7"/>
  <c r="B40" i="7"/>
  <c r="B36" i="7"/>
  <c r="B24" i="7"/>
  <c r="B23" i="7"/>
  <c r="D8" i="7"/>
  <c r="C8" i="7"/>
  <c r="D7" i="7"/>
  <c r="C7" i="7"/>
  <c r="D6" i="7"/>
  <c r="C6" i="7"/>
  <c r="J34" i="6"/>
  <c r="L34" i="6" s="1"/>
  <c r="L35" i="6" s="1"/>
  <c r="J27" i="6" s="1"/>
  <c r="I27" i="6"/>
  <c r="H27" i="6"/>
  <c r="G27" i="6"/>
  <c r="F27" i="6"/>
  <c r="E27" i="6"/>
  <c r="D27" i="6"/>
  <c r="C27" i="6"/>
  <c r="U23" i="6"/>
  <c r="Q23" i="6"/>
  <c r="P23" i="6"/>
  <c r="O23" i="6"/>
  <c r="N23" i="6"/>
  <c r="L23" i="6"/>
  <c r="K23" i="6"/>
  <c r="J23" i="6"/>
  <c r="I23" i="6"/>
  <c r="H23" i="6"/>
  <c r="G23" i="6"/>
  <c r="F23" i="6"/>
  <c r="E23" i="6"/>
  <c r="D23" i="6"/>
  <c r="C23" i="6"/>
  <c r="M4" i="6"/>
  <c r="W41" i="5"/>
  <c r="S41" i="5"/>
  <c r="Q41" i="5"/>
  <c r="M41" i="5"/>
  <c r="U41" i="5"/>
  <c r="K41" i="5"/>
  <c r="I41" i="5"/>
  <c r="J83" i="1"/>
  <c r="K82" i="1"/>
  <c r="L82" i="1" s="1"/>
  <c r="K81" i="1"/>
  <c r="L81" i="1" s="1"/>
  <c r="K80" i="1"/>
  <c r="K79" i="1"/>
  <c r="L79" i="1" s="1"/>
  <c r="K78" i="1"/>
  <c r="L78" i="1" s="1"/>
  <c r="K77" i="1"/>
  <c r="L77" i="1" s="1"/>
  <c r="K76" i="1"/>
  <c r="L76" i="1" s="1"/>
  <c r="K75" i="1"/>
  <c r="K74" i="1"/>
  <c r="L74" i="1" s="1"/>
  <c r="K73" i="1"/>
  <c r="L73" i="1" s="1"/>
  <c r="K72" i="1"/>
  <c r="K71" i="1"/>
  <c r="L71" i="1" s="1"/>
  <c r="K70" i="1"/>
  <c r="L70" i="1" s="1"/>
  <c r="K69" i="1"/>
  <c r="L69" i="1" s="1"/>
  <c r="E51" i="1"/>
  <c r="E24" i="1"/>
  <c r="E23" i="1"/>
  <c r="E21" i="1"/>
  <c r="E16" i="1"/>
  <c r="E87" i="1" l="1"/>
  <c r="P21" i="9"/>
  <c r="K23" i="9"/>
  <c r="L23" i="9"/>
  <c r="O19" i="16"/>
  <c r="K22" i="16"/>
  <c r="K84" i="1"/>
  <c r="P20" i="9"/>
  <c r="B172" i="13" s="1"/>
  <c r="M23" i="6"/>
  <c r="O25" i="6"/>
  <c r="K27" i="6"/>
  <c r="L27" i="6"/>
  <c r="L28" i="6" s="1"/>
  <c r="E39" i="13"/>
  <c r="C39" i="18"/>
  <c r="F39" i="17"/>
  <c r="E39" i="17"/>
  <c r="C39" i="17"/>
  <c r="E40" i="17"/>
  <c r="F40" i="13"/>
  <c r="B41" i="18"/>
  <c r="B41" i="17"/>
  <c r="B42" i="18"/>
  <c r="B42" i="17"/>
  <c r="B65" i="18"/>
  <c r="B65" i="17"/>
  <c r="C5" i="18"/>
  <c r="C13" i="18" s="1"/>
  <c r="C5" i="17"/>
  <c r="C13" i="17" s="1"/>
  <c r="D5" i="18"/>
  <c r="D13" i="18" s="1"/>
  <c r="D5" i="17"/>
  <c r="D13" i="17" s="1"/>
  <c r="D39" i="18"/>
  <c r="D39" i="17"/>
  <c r="F91" i="17"/>
  <c r="F127" i="17" s="1"/>
  <c r="J26" i="6"/>
  <c r="J25" i="6"/>
  <c r="E23" i="13"/>
  <c r="E123" i="13"/>
  <c r="E59" i="13"/>
  <c r="E57" i="13"/>
  <c r="E54" i="13"/>
  <c r="E24" i="13"/>
  <c r="E105" i="1"/>
  <c r="B190" i="17"/>
  <c r="B187" i="17"/>
  <c r="B178" i="17"/>
  <c r="B175" i="17"/>
  <c r="B172" i="17"/>
  <c r="B166" i="17"/>
  <c r="B160" i="17"/>
  <c r="B154" i="17"/>
  <c r="B148" i="17"/>
  <c r="C14" i="18"/>
  <c r="C19" i="18" s="1"/>
  <c r="D14" i="18"/>
  <c r="D19" i="18" s="1"/>
  <c r="B25" i="18"/>
  <c r="B46" i="18" s="1"/>
  <c r="D23" i="18"/>
  <c r="C23" i="18"/>
  <c r="B58" i="18"/>
  <c r="B47" i="18"/>
  <c r="D41" i="18"/>
  <c r="C41" i="18"/>
  <c r="D42" i="18"/>
  <c r="C42" i="18"/>
  <c r="B55" i="18"/>
  <c r="B69" i="18"/>
  <c r="B77" i="18" s="1"/>
  <c r="C14" i="17"/>
  <c r="C19" i="17" s="1"/>
  <c r="D14" i="17"/>
  <c r="D19" i="17" s="1"/>
  <c r="E14" i="17"/>
  <c r="E19" i="17" s="1"/>
  <c r="F14" i="17"/>
  <c r="F19" i="17" s="1"/>
  <c r="B25" i="17"/>
  <c r="B46" i="17" s="1"/>
  <c r="F23" i="17"/>
  <c r="E23" i="17"/>
  <c r="D23" i="17"/>
  <c r="C23" i="17"/>
  <c r="B58" i="17"/>
  <c r="B47" i="17"/>
  <c r="F41" i="17"/>
  <c r="E41" i="17"/>
  <c r="D41" i="17"/>
  <c r="C41" i="17"/>
  <c r="F42" i="17"/>
  <c r="E42" i="17"/>
  <c r="D42" i="17"/>
  <c r="C42" i="17"/>
  <c r="B55" i="17"/>
  <c r="B69" i="17"/>
  <c r="B77" i="17" s="1"/>
  <c r="B184" i="17"/>
  <c r="C20" i="16"/>
  <c r="D20" i="16"/>
  <c r="E20" i="16"/>
  <c r="F20" i="16"/>
  <c r="G20" i="16"/>
  <c r="H20" i="16"/>
  <c r="I20" i="16"/>
  <c r="J21" i="16"/>
  <c r="J20" i="16"/>
  <c r="C23" i="16"/>
  <c r="D23" i="16"/>
  <c r="E23" i="16"/>
  <c r="F23" i="16"/>
  <c r="G23" i="16"/>
  <c r="H23" i="16"/>
  <c r="I23" i="16"/>
  <c r="J23" i="16"/>
  <c r="K23" i="16"/>
  <c r="L23" i="16"/>
  <c r="J21" i="9"/>
  <c r="J22" i="9"/>
  <c r="F91" i="1"/>
  <c r="F105" i="1" s="1"/>
  <c r="D106" i="1" s="1"/>
  <c r="C39" i="14"/>
  <c r="G39" i="13"/>
  <c r="F39" i="13"/>
  <c r="C39" i="13"/>
  <c r="E40" i="7"/>
  <c r="B41" i="12"/>
  <c r="B41" i="14"/>
  <c r="B41" i="13"/>
  <c r="E41" i="13" s="1"/>
  <c r="B42" i="12"/>
  <c r="B42" i="14"/>
  <c r="B42" i="13"/>
  <c r="E42" i="13" s="1"/>
  <c r="B65" i="14"/>
  <c r="B65" i="13"/>
  <c r="C5" i="14"/>
  <c r="C13" i="14" s="1"/>
  <c r="C5" i="13"/>
  <c r="C13" i="13" s="1"/>
  <c r="D5" i="14"/>
  <c r="D13" i="14" s="1"/>
  <c r="D5" i="13"/>
  <c r="D13" i="13" s="1"/>
  <c r="F5" i="7"/>
  <c r="F13" i="7" s="1"/>
  <c r="G5" i="13"/>
  <c r="G13" i="13" s="1"/>
  <c r="D39" i="14"/>
  <c r="D39" i="13"/>
  <c r="R20" i="9"/>
  <c r="C14" i="14"/>
  <c r="C19" i="14" s="1"/>
  <c r="D14" i="14"/>
  <c r="D19" i="14" s="1"/>
  <c r="B25" i="14"/>
  <c r="B46" i="14" s="1"/>
  <c r="D23" i="14"/>
  <c r="C23" i="14"/>
  <c r="B58" i="14"/>
  <c r="B47" i="14"/>
  <c r="D41" i="14"/>
  <c r="C41" i="14"/>
  <c r="D42" i="14"/>
  <c r="C42" i="14"/>
  <c r="B55" i="14"/>
  <c r="B69" i="14"/>
  <c r="B77" i="14" s="1"/>
  <c r="C14" i="13"/>
  <c r="C19" i="13" s="1"/>
  <c r="D14" i="13"/>
  <c r="D19" i="13" s="1"/>
  <c r="F14" i="13"/>
  <c r="F19" i="13" s="1"/>
  <c r="G14" i="13"/>
  <c r="G19" i="13" s="1"/>
  <c r="B25" i="13"/>
  <c r="B46" i="13" s="1"/>
  <c r="G23" i="13"/>
  <c r="F23" i="13"/>
  <c r="D23" i="13"/>
  <c r="C23" i="13"/>
  <c r="B58" i="13"/>
  <c r="E58" i="13" s="1"/>
  <c r="B47" i="13"/>
  <c r="G41" i="13"/>
  <c r="F41" i="13"/>
  <c r="D41" i="13"/>
  <c r="C41" i="13"/>
  <c r="G42" i="13"/>
  <c r="F42" i="13"/>
  <c r="D42" i="13"/>
  <c r="C42" i="13"/>
  <c r="B55" i="13"/>
  <c r="E55" i="13" s="1"/>
  <c r="B69" i="13"/>
  <c r="B77" i="13" s="1"/>
  <c r="B184" i="13"/>
  <c r="E39" i="7"/>
  <c r="F39" i="7"/>
  <c r="C39" i="12"/>
  <c r="C39" i="7"/>
  <c r="B65" i="12"/>
  <c r="B65" i="7"/>
  <c r="C5" i="12"/>
  <c r="C13" i="12" s="1"/>
  <c r="C5" i="7"/>
  <c r="C13" i="7" s="1"/>
  <c r="D5" i="12"/>
  <c r="D13" i="12" s="1"/>
  <c r="D5" i="7"/>
  <c r="D13" i="7" s="1"/>
  <c r="F14" i="7"/>
  <c r="F19" i="7"/>
  <c r="F123" i="7" s="1"/>
  <c r="D39" i="12"/>
  <c r="D39" i="7"/>
  <c r="E23" i="7"/>
  <c r="F23" i="7"/>
  <c r="E24" i="7"/>
  <c r="F24" i="7"/>
  <c r="E54" i="7"/>
  <c r="F54" i="7"/>
  <c r="E57" i="7"/>
  <c r="F57" i="7"/>
  <c r="E59" i="7"/>
  <c r="F59" i="7"/>
  <c r="B184" i="7"/>
  <c r="C14" i="12"/>
  <c r="C19" i="12" s="1"/>
  <c r="D14" i="12"/>
  <c r="D19" i="12" s="1"/>
  <c r="B25" i="12"/>
  <c r="B46" i="12" s="1"/>
  <c r="D23" i="12"/>
  <c r="C23" i="12"/>
  <c r="B58" i="12"/>
  <c r="B47" i="12"/>
  <c r="D41" i="12"/>
  <c r="C41" i="12"/>
  <c r="D42" i="12"/>
  <c r="C42" i="12"/>
  <c r="B55" i="12"/>
  <c r="B69" i="12"/>
  <c r="B77" i="12" s="1"/>
  <c r="O24" i="6"/>
  <c r="Q24" i="6"/>
  <c r="B41" i="7"/>
  <c r="B42" i="7"/>
  <c r="F68" i="1"/>
  <c r="L68" i="1"/>
  <c r="O41" i="5"/>
  <c r="G41" i="5"/>
  <c r="C25" i="6"/>
  <c r="D25" i="6"/>
  <c r="E25" i="6"/>
  <c r="F25" i="6"/>
  <c r="G25" i="6"/>
  <c r="H25" i="6"/>
  <c r="I25" i="6"/>
  <c r="K25" i="6"/>
  <c r="L25" i="6"/>
  <c r="C28" i="6"/>
  <c r="D28" i="6"/>
  <c r="E28" i="6"/>
  <c r="F28" i="6"/>
  <c r="G28" i="6"/>
  <c r="H28" i="6"/>
  <c r="I28" i="6"/>
  <c r="J28" i="6"/>
  <c r="K28" i="6"/>
  <c r="B25" i="7"/>
  <c r="B46" i="7" s="1"/>
  <c r="B58" i="7"/>
  <c r="B47" i="7"/>
  <c r="B55" i="7"/>
  <c r="B69" i="7"/>
  <c r="B77" i="7" s="1"/>
  <c r="H19" i="9"/>
  <c r="M4" i="9"/>
  <c r="D19" i="9"/>
  <c r="M5" i="9"/>
  <c r="E21" i="9"/>
  <c r="F21" i="9"/>
  <c r="C19" i="9"/>
  <c r="M6" i="9"/>
  <c r="M8" i="9"/>
  <c r="G21" i="9"/>
  <c r="I21" i="9"/>
  <c r="C24" i="9"/>
  <c r="D24" i="9"/>
  <c r="E24" i="9"/>
  <c r="F24" i="9"/>
  <c r="G24" i="9"/>
  <c r="H24" i="9"/>
  <c r="I24" i="9"/>
  <c r="J24" i="9"/>
  <c r="K24" i="9"/>
  <c r="L24" i="9"/>
  <c r="B166" i="7" l="1"/>
  <c r="I99" i="20"/>
  <c r="B86" i="7" s="1"/>
  <c r="B160" i="7"/>
  <c r="B175" i="7"/>
  <c r="B178" i="7"/>
  <c r="B154" i="7"/>
  <c r="B166" i="13"/>
  <c r="B178" i="13"/>
  <c r="B160" i="13"/>
  <c r="B175" i="13"/>
  <c r="B172" i="7"/>
  <c r="L84" i="1"/>
  <c r="J84" i="1" s="1"/>
  <c r="B38" i="13" s="1"/>
  <c r="E38" i="13" s="1"/>
  <c r="E44" i="13" s="1"/>
  <c r="E48" i="13" s="1"/>
  <c r="B38" i="17"/>
  <c r="B38" i="18"/>
  <c r="B148" i="7"/>
  <c r="E25" i="13"/>
  <c r="B154" i="13"/>
  <c r="B148" i="13"/>
  <c r="F87" i="1"/>
  <c r="D88" i="1" s="1"/>
  <c r="D55" i="18"/>
  <c r="C55" i="18"/>
  <c r="B60" i="18"/>
  <c r="D58" i="18"/>
  <c r="C58" i="18"/>
  <c r="D123" i="18"/>
  <c r="D59" i="18"/>
  <c r="D57" i="18"/>
  <c r="D54" i="18"/>
  <c r="D24" i="18"/>
  <c r="D25" i="18" s="1"/>
  <c r="C123" i="18"/>
  <c r="C59" i="18"/>
  <c r="C57" i="18"/>
  <c r="C54" i="18"/>
  <c r="C24" i="18"/>
  <c r="C25" i="18" s="1"/>
  <c r="F55" i="17"/>
  <c r="E55" i="17"/>
  <c r="D55" i="17"/>
  <c r="C55" i="17"/>
  <c r="B60" i="17"/>
  <c r="F58" i="17"/>
  <c r="E58" i="17"/>
  <c r="D58" i="17"/>
  <c r="C58" i="17"/>
  <c r="F123" i="17"/>
  <c r="F59" i="17"/>
  <c r="F57" i="17"/>
  <c r="F54" i="17"/>
  <c r="F24" i="17"/>
  <c r="F25" i="17" s="1"/>
  <c r="E123" i="17"/>
  <c r="E59" i="17"/>
  <c r="E57" i="17"/>
  <c r="E54" i="17"/>
  <c r="E24" i="17"/>
  <c r="E25" i="17" s="1"/>
  <c r="D123" i="17"/>
  <c r="D59" i="17"/>
  <c r="D57" i="17"/>
  <c r="D54" i="17"/>
  <c r="D24" i="17"/>
  <c r="D25" i="17" s="1"/>
  <c r="C123" i="17"/>
  <c r="C59" i="17"/>
  <c r="C57" i="17"/>
  <c r="C54" i="17"/>
  <c r="C24" i="17"/>
  <c r="C25" i="17" s="1"/>
  <c r="M20" i="16"/>
  <c r="B38" i="14"/>
  <c r="C38" i="14" s="1"/>
  <c r="C44" i="14" s="1"/>
  <c r="C48" i="14" s="1"/>
  <c r="D38" i="14"/>
  <c r="D44" i="14" s="1"/>
  <c r="D48" i="14" s="1"/>
  <c r="B190" i="13"/>
  <c r="B187" i="13"/>
  <c r="D55" i="14"/>
  <c r="C55" i="14"/>
  <c r="B60" i="14"/>
  <c r="D58" i="14"/>
  <c r="C58" i="14"/>
  <c r="D123" i="14"/>
  <c r="D59" i="14"/>
  <c r="D57" i="14"/>
  <c r="D54" i="14"/>
  <c r="D24" i="14"/>
  <c r="D25" i="14" s="1"/>
  <c r="C123" i="14"/>
  <c r="C59" i="14"/>
  <c r="C57" i="14"/>
  <c r="C54" i="14"/>
  <c r="C24" i="14"/>
  <c r="C25" i="14" s="1"/>
  <c r="G55" i="13"/>
  <c r="F55" i="13"/>
  <c r="D55" i="13"/>
  <c r="C55" i="13"/>
  <c r="B60" i="13"/>
  <c r="G58" i="13"/>
  <c r="F58" i="13"/>
  <c r="D58" i="13"/>
  <c r="C58" i="13"/>
  <c r="G123" i="13"/>
  <c r="G59" i="13"/>
  <c r="G57" i="13"/>
  <c r="G54" i="13"/>
  <c r="G24" i="13"/>
  <c r="G25" i="13" s="1"/>
  <c r="F123" i="13"/>
  <c r="F59" i="13"/>
  <c r="F57" i="13"/>
  <c r="F54" i="13"/>
  <c r="F24" i="13"/>
  <c r="F25" i="13" s="1"/>
  <c r="D123" i="13"/>
  <c r="D59" i="13"/>
  <c r="D57" i="13"/>
  <c r="D54" i="13"/>
  <c r="D24" i="13"/>
  <c r="D25" i="13" s="1"/>
  <c r="C123" i="13"/>
  <c r="C59" i="13"/>
  <c r="C57" i="13"/>
  <c r="C54" i="13"/>
  <c r="C24" i="13"/>
  <c r="C25" i="13" s="1"/>
  <c r="E55" i="7"/>
  <c r="F55" i="7"/>
  <c r="E58" i="7"/>
  <c r="F58" i="7"/>
  <c r="E42" i="7"/>
  <c r="F42" i="7"/>
  <c r="E41" i="7"/>
  <c r="F41" i="7"/>
  <c r="F25" i="7"/>
  <c r="E25" i="7"/>
  <c r="D55" i="12"/>
  <c r="C55" i="12"/>
  <c r="B60" i="12"/>
  <c r="D58" i="12"/>
  <c r="C58" i="12"/>
  <c r="D123" i="12"/>
  <c r="D59" i="12"/>
  <c r="D57" i="12"/>
  <c r="D54" i="12"/>
  <c r="D24" i="12"/>
  <c r="D25" i="12" s="1"/>
  <c r="C123" i="12"/>
  <c r="C59" i="12"/>
  <c r="C57" i="12"/>
  <c r="C54" i="12"/>
  <c r="C24" i="12"/>
  <c r="C25" i="12" s="1"/>
  <c r="B187" i="7"/>
  <c r="B190" i="7"/>
  <c r="L19" i="9"/>
  <c r="M10" i="9"/>
  <c r="M19" i="9" s="1"/>
  <c r="C21" i="9"/>
  <c r="D21" i="9"/>
  <c r="H21" i="9"/>
  <c r="B60" i="7"/>
  <c r="M25" i="6"/>
  <c r="D42" i="7"/>
  <c r="C42" i="7"/>
  <c r="D41" i="7"/>
  <c r="C41" i="7"/>
  <c r="D86" i="7" l="1"/>
  <c r="C86" i="7"/>
  <c r="G91" i="13"/>
  <c r="G127" i="13" s="1"/>
  <c r="F91" i="7"/>
  <c r="F127" i="7" s="1"/>
  <c r="L26" i="6"/>
  <c r="K26" i="6"/>
  <c r="C26" i="6"/>
  <c r="D26" i="6"/>
  <c r="E26" i="6"/>
  <c r="F26" i="6"/>
  <c r="G26" i="6"/>
  <c r="H26" i="6"/>
  <c r="I26" i="6"/>
  <c r="E46" i="13"/>
  <c r="E29" i="13"/>
  <c r="E30" i="13"/>
  <c r="E31" i="13"/>
  <c r="E32" i="13"/>
  <c r="E33" i="13"/>
  <c r="E34" i="13"/>
  <c r="E35" i="13"/>
  <c r="E56" i="13" s="1"/>
  <c r="E60" i="13" s="1"/>
  <c r="E125" i="13" s="1"/>
  <c r="E28" i="13"/>
  <c r="E36" i="13" s="1"/>
  <c r="F38" i="17"/>
  <c r="F44" i="17" s="1"/>
  <c r="F48" i="17" s="1"/>
  <c r="E38" i="17"/>
  <c r="E44" i="17" s="1"/>
  <c r="E48" i="17" s="1"/>
  <c r="D38" i="17"/>
  <c r="D44" i="17" s="1"/>
  <c r="D48" i="17" s="1"/>
  <c r="C38" i="17"/>
  <c r="C44" i="17" s="1"/>
  <c r="C48" i="17" s="1"/>
  <c r="D38" i="18"/>
  <c r="D44" i="18" s="1"/>
  <c r="D48" i="18" s="1"/>
  <c r="C38" i="18"/>
  <c r="C44" i="18" s="1"/>
  <c r="C48" i="18" s="1"/>
  <c r="B38" i="12"/>
  <c r="D38" i="12" s="1"/>
  <c r="D44" i="12" s="1"/>
  <c r="D48" i="12" s="1"/>
  <c r="B38" i="7"/>
  <c r="C46" i="18"/>
  <c r="C35" i="18"/>
  <c r="C56" i="18" s="1"/>
  <c r="C34" i="18"/>
  <c r="C33" i="18"/>
  <c r="C32" i="18"/>
  <c r="C31" i="18"/>
  <c r="C30" i="18"/>
  <c r="C29" i="18"/>
  <c r="C28" i="18"/>
  <c r="C36" i="18" s="1"/>
  <c r="C60" i="18"/>
  <c r="C125" i="18" s="1"/>
  <c r="D46" i="18"/>
  <c r="D35" i="18"/>
  <c r="D56" i="18" s="1"/>
  <c r="D34" i="18"/>
  <c r="D33" i="18"/>
  <c r="D32" i="18"/>
  <c r="D31" i="18"/>
  <c r="D30" i="18"/>
  <c r="D29" i="18"/>
  <c r="D28" i="18"/>
  <c r="D36" i="18" s="1"/>
  <c r="D60" i="18"/>
  <c r="D125" i="18" s="1"/>
  <c r="C46" i="17"/>
  <c r="C35" i="17"/>
  <c r="C56" i="17" s="1"/>
  <c r="C34" i="17"/>
  <c r="C33" i="17"/>
  <c r="C32" i="17"/>
  <c r="C31" i="17"/>
  <c r="C30" i="17"/>
  <c r="C29" i="17"/>
  <c r="C28" i="17"/>
  <c r="C36" i="17" s="1"/>
  <c r="C60" i="17"/>
  <c r="C125" i="17" s="1"/>
  <c r="D46" i="17"/>
  <c r="D35" i="17"/>
  <c r="D56" i="17" s="1"/>
  <c r="D34" i="17"/>
  <c r="D33" i="17"/>
  <c r="D32" i="17"/>
  <c r="D31" i="17"/>
  <c r="D30" i="17"/>
  <c r="D29" i="17"/>
  <c r="D28" i="17"/>
  <c r="D36" i="17" s="1"/>
  <c r="D60" i="17"/>
  <c r="D125" i="17" s="1"/>
  <c r="E46" i="17"/>
  <c r="E35" i="17"/>
  <c r="E56" i="17" s="1"/>
  <c r="E34" i="17"/>
  <c r="E33" i="17"/>
  <c r="E32" i="17"/>
  <c r="E31" i="17"/>
  <c r="E30" i="17"/>
  <c r="E29" i="17"/>
  <c r="E28" i="17"/>
  <c r="E36" i="17" s="1"/>
  <c r="E60" i="17"/>
  <c r="E125" i="17" s="1"/>
  <c r="F46" i="17"/>
  <c r="F35" i="17"/>
  <c r="F56" i="17" s="1"/>
  <c r="F34" i="17"/>
  <c r="F33" i="17"/>
  <c r="F32" i="17"/>
  <c r="F31" i="17"/>
  <c r="F30" i="17"/>
  <c r="F29" i="17"/>
  <c r="F28" i="17"/>
  <c r="F36" i="17" s="1"/>
  <c r="F60" i="17"/>
  <c r="F125" i="17" s="1"/>
  <c r="L21" i="16"/>
  <c r="K21" i="16"/>
  <c r="C21" i="16"/>
  <c r="D21" i="16"/>
  <c r="E21" i="16"/>
  <c r="F21" i="16"/>
  <c r="G21" i="16"/>
  <c r="H21" i="16"/>
  <c r="I21" i="16"/>
  <c r="G38" i="13"/>
  <c r="G44" i="13" s="1"/>
  <c r="G48" i="13" s="1"/>
  <c r="F38" i="13"/>
  <c r="F44" i="13" s="1"/>
  <c r="F48" i="13" s="1"/>
  <c r="D38" i="13"/>
  <c r="D44" i="13" s="1"/>
  <c r="D48" i="13" s="1"/>
  <c r="C38" i="13"/>
  <c r="C44" i="13" s="1"/>
  <c r="C48" i="13" s="1"/>
  <c r="C46" i="14"/>
  <c r="C35" i="14"/>
  <c r="C56" i="14" s="1"/>
  <c r="C34" i="14"/>
  <c r="C33" i="14"/>
  <c r="C32" i="14"/>
  <c r="C31" i="14"/>
  <c r="C30" i="14"/>
  <c r="C29" i="14"/>
  <c r="C28" i="14"/>
  <c r="C36" i="14" s="1"/>
  <c r="C60" i="14"/>
  <c r="C125" i="14" s="1"/>
  <c r="D46" i="14"/>
  <c r="D35" i="14"/>
  <c r="D56" i="14" s="1"/>
  <c r="D34" i="14"/>
  <c r="D33" i="14"/>
  <c r="D32" i="14"/>
  <c r="D31" i="14"/>
  <c r="D30" i="14"/>
  <c r="D29" i="14"/>
  <c r="D28" i="14"/>
  <c r="D36" i="14" s="1"/>
  <c r="D60" i="14"/>
  <c r="D125" i="14" s="1"/>
  <c r="C46" i="13"/>
  <c r="C35" i="13"/>
  <c r="C56" i="13" s="1"/>
  <c r="C34" i="13"/>
  <c r="C33" i="13"/>
  <c r="C32" i="13"/>
  <c r="C31" i="13"/>
  <c r="C30" i="13"/>
  <c r="C29" i="13"/>
  <c r="C28" i="13"/>
  <c r="C36" i="13" s="1"/>
  <c r="C60" i="13"/>
  <c r="C125" i="13" s="1"/>
  <c r="D46" i="13"/>
  <c r="D35" i="13"/>
  <c r="D56" i="13" s="1"/>
  <c r="D34" i="13"/>
  <c r="D33" i="13"/>
  <c r="D32" i="13"/>
  <c r="D31" i="13"/>
  <c r="D30" i="13"/>
  <c r="D29" i="13"/>
  <c r="D28" i="13"/>
  <c r="D36" i="13" s="1"/>
  <c r="D60" i="13"/>
  <c r="D125" i="13" s="1"/>
  <c r="F46" i="13"/>
  <c r="F35" i="13"/>
  <c r="F56" i="13" s="1"/>
  <c r="F34" i="13"/>
  <c r="F33" i="13"/>
  <c r="F32" i="13"/>
  <c r="F31" i="13"/>
  <c r="F30" i="13"/>
  <c r="F29" i="13"/>
  <c r="F28" i="13"/>
  <c r="F36" i="13" s="1"/>
  <c r="F60" i="13"/>
  <c r="F125" i="13" s="1"/>
  <c r="G46" i="13"/>
  <c r="G35" i="13"/>
  <c r="G56" i="13" s="1"/>
  <c r="G34" i="13"/>
  <c r="G33" i="13"/>
  <c r="G32" i="13"/>
  <c r="G31" i="13"/>
  <c r="G30" i="13"/>
  <c r="G29" i="13"/>
  <c r="G28" i="13"/>
  <c r="G36" i="13" s="1"/>
  <c r="G60" i="13"/>
  <c r="G125" i="13" s="1"/>
  <c r="C38" i="12"/>
  <c r="C44" i="12" s="1"/>
  <c r="C48" i="12" s="1"/>
  <c r="E28" i="7"/>
  <c r="E29" i="7"/>
  <c r="E30" i="7"/>
  <c r="E31" i="7"/>
  <c r="E32" i="7"/>
  <c r="E33" i="7"/>
  <c r="E34" i="7"/>
  <c r="E35" i="7"/>
  <c r="E56" i="7" s="1"/>
  <c r="E60" i="7" s="1"/>
  <c r="E125" i="7" s="1"/>
  <c r="E46" i="7"/>
  <c r="F28" i="7"/>
  <c r="F29" i="7"/>
  <c r="F30" i="7"/>
  <c r="F31" i="7"/>
  <c r="F32" i="7"/>
  <c r="F33" i="7"/>
  <c r="F34" i="7"/>
  <c r="F35" i="7"/>
  <c r="F56" i="7" s="1"/>
  <c r="F60" i="7" s="1"/>
  <c r="F125" i="7" s="1"/>
  <c r="F46" i="7"/>
  <c r="C46" i="12"/>
  <c r="C35" i="12"/>
  <c r="C56" i="12" s="1"/>
  <c r="C34" i="12"/>
  <c r="C33" i="12"/>
  <c r="C32" i="12"/>
  <c r="C31" i="12"/>
  <c r="C30" i="12"/>
  <c r="C29" i="12"/>
  <c r="C28" i="12"/>
  <c r="C36" i="12" s="1"/>
  <c r="C60" i="12"/>
  <c r="C125" i="12" s="1"/>
  <c r="D46" i="12"/>
  <c r="D35" i="12"/>
  <c r="D56" i="12" s="1"/>
  <c r="D34" i="12"/>
  <c r="D33" i="12"/>
  <c r="D32" i="12"/>
  <c r="D31" i="12"/>
  <c r="D30" i="12"/>
  <c r="D29" i="12"/>
  <c r="D28" i="12"/>
  <c r="D36" i="12" s="1"/>
  <c r="D60" i="12"/>
  <c r="D125" i="12" s="1"/>
  <c r="C14" i="7"/>
  <c r="C19" i="7" s="1"/>
  <c r="D14" i="7"/>
  <c r="D19" i="7" s="1"/>
  <c r="D38" i="7"/>
  <c r="D44" i="7" s="1"/>
  <c r="D48" i="7" s="1"/>
  <c r="C38" i="7"/>
  <c r="C44" i="7" s="1"/>
  <c r="C48" i="7" s="1"/>
  <c r="L21" i="9"/>
  <c r="M21" i="9" s="1"/>
  <c r="M21" i="16" l="1"/>
  <c r="E91" i="13"/>
  <c r="E127" i="13" s="1"/>
  <c r="M26" i="6"/>
  <c r="E47" i="13"/>
  <c r="E74" i="13"/>
  <c r="E79" i="13" s="1"/>
  <c r="E49" i="13"/>
  <c r="E38" i="7"/>
  <c r="E44" i="7" s="1"/>
  <c r="E48" i="7" s="1"/>
  <c r="F38" i="7"/>
  <c r="F44" i="7" s="1"/>
  <c r="F48" i="7" s="1"/>
  <c r="D91" i="17"/>
  <c r="D127" i="17" s="1"/>
  <c r="C91" i="17"/>
  <c r="C127" i="17" s="1"/>
  <c r="D91" i="18"/>
  <c r="D127" i="18" s="1"/>
  <c r="C91" i="18"/>
  <c r="C127" i="18" s="1"/>
  <c r="D47" i="18"/>
  <c r="D74" i="18"/>
  <c r="D79" i="18" s="1"/>
  <c r="D49" i="18"/>
  <c r="C47" i="18"/>
  <c r="C74" i="18"/>
  <c r="C79" i="18" s="1"/>
  <c r="C49" i="18"/>
  <c r="F47" i="17"/>
  <c r="F74" i="17"/>
  <c r="F79" i="17" s="1"/>
  <c r="F49" i="17"/>
  <c r="E47" i="17"/>
  <c r="E74" i="17"/>
  <c r="E79" i="17" s="1"/>
  <c r="E49" i="17"/>
  <c r="D47" i="17"/>
  <c r="D74" i="17"/>
  <c r="D79" i="17" s="1"/>
  <c r="D49" i="17"/>
  <c r="C47" i="17"/>
  <c r="C74" i="17"/>
  <c r="C79" i="17" s="1"/>
  <c r="C49" i="17"/>
  <c r="L22" i="9"/>
  <c r="K22" i="9"/>
  <c r="E22" i="9"/>
  <c r="F22" i="9"/>
  <c r="G22" i="9"/>
  <c r="I22" i="9"/>
  <c r="C22" i="9"/>
  <c r="D22" i="9"/>
  <c r="H22" i="9"/>
  <c r="D91" i="14"/>
  <c r="D127" i="14" s="1"/>
  <c r="C91" i="14"/>
  <c r="C127" i="14" s="1"/>
  <c r="C91" i="13"/>
  <c r="C127" i="13" s="1"/>
  <c r="D91" i="13"/>
  <c r="D127" i="13" s="1"/>
  <c r="D47" i="14"/>
  <c r="D74" i="14"/>
  <c r="D79" i="14" s="1"/>
  <c r="D49" i="14"/>
  <c r="C47" i="14"/>
  <c r="C74" i="14"/>
  <c r="C79" i="14" s="1"/>
  <c r="C49" i="14"/>
  <c r="G47" i="13"/>
  <c r="G74" i="13"/>
  <c r="G79" i="13" s="1"/>
  <c r="G49" i="13"/>
  <c r="F47" i="13"/>
  <c r="F74" i="13"/>
  <c r="F79" i="13" s="1"/>
  <c r="F49" i="13"/>
  <c r="D47" i="13"/>
  <c r="D74" i="13"/>
  <c r="D79" i="13" s="1"/>
  <c r="D49" i="13"/>
  <c r="C47" i="13"/>
  <c r="C74" i="13"/>
  <c r="C79" i="13" s="1"/>
  <c r="C49" i="13"/>
  <c r="F36" i="7"/>
  <c r="E36" i="7"/>
  <c r="D59" i="7"/>
  <c r="D57" i="7"/>
  <c r="D54" i="7"/>
  <c r="D55" i="7"/>
  <c r="D58" i="7"/>
  <c r="D47" i="12"/>
  <c r="D74" i="12"/>
  <c r="D79" i="12" s="1"/>
  <c r="D49" i="12"/>
  <c r="C47" i="12"/>
  <c r="C74" i="12"/>
  <c r="C79" i="12" s="1"/>
  <c r="C49" i="12"/>
  <c r="D123" i="7"/>
  <c r="D24" i="7"/>
  <c r="D23" i="7"/>
  <c r="D25" i="7" s="1"/>
  <c r="C123" i="7"/>
  <c r="C59" i="7"/>
  <c r="C57" i="7"/>
  <c r="C54" i="7"/>
  <c r="C24" i="7"/>
  <c r="C23" i="7"/>
  <c r="C25" i="7" s="1"/>
  <c r="C55" i="7"/>
  <c r="C58" i="7"/>
  <c r="E124" i="13" l="1"/>
  <c r="E65" i="13"/>
  <c r="E66" i="13"/>
  <c r="E67" i="13"/>
  <c r="E64" i="13"/>
  <c r="C124" i="18"/>
  <c r="C64" i="18"/>
  <c r="C65" i="18"/>
  <c r="C66" i="18"/>
  <c r="C67" i="18"/>
  <c r="D124" i="18"/>
  <c r="D64" i="18"/>
  <c r="D65" i="18"/>
  <c r="D66" i="18"/>
  <c r="D67" i="18"/>
  <c r="C124" i="17"/>
  <c r="C64" i="17"/>
  <c r="C65" i="17"/>
  <c r="C66" i="17"/>
  <c r="C67" i="17"/>
  <c r="D124" i="17"/>
  <c r="D64" i="17"/>
  <c r="D65" i="17"/>
  <c r="D66" i="17"/>
  <c r="D67" i="17"/>
  <c r="E124" i="17"/>
  <c r="E88" i="17" s="1"/>
  <c r="E64" i="17"/>
  <c r="E65" i="17"/>
  <c r="E66" i="17"/>
  <c r="E67" i="17"/>
  <c r="E68" i="17"/>
  <c r="F124" i="17"/>
  <c r="F64" i="17"/>
  <c r="F65" i="17"/>
  <c r="F66" i="17"/>
  <c r="F67" i="17"/>
  <c r="D85" i="12"/>
  <c r="D91" i="12" s="1"/>
  <c r="D127" i="12" s="1"/>
  <c r="C85" i="12"/>
  <c r="C91" i="12" s="1"/>
  <c r="C127" i="12" s="1"/>
  <c r="D91" i="7"/>
  <c r="D127" i="7" s="1"/>
  <c r="C91" i="7"/>
  <c r="C127" i="7" s="1"/>
  <c r="M22" i="9"/>
  <c r="C124" i="14"/>
  <c r="C64" i="14"/>
  <c r="C65" i="14"/>
  <c r="C66" i="14"/>
  <c r="C67" i="14"/>
  <c r="D124" i="14"/>
  <c r="D64" i="14"/>
  <c r="D65" i="14"/>
  <c r="D66" i="14"/>
  <c r="D67" i="14"/>
  <c r="C124" i="13"/>
  <c r="C64" i="13"/>
  <c r="C65" i="13"/>
  <c r="C66" i="13"/>
  <c r="C67" i="13"/>
  <c r="D124" i="13"/>
  <c r="D64" i="13"/>
  <c r="D65" i="13"/>
  <c r="D66" i="13"/>
  <c r="D67" i="13"/>
  <c r="F124" i="13"/>
  <c r="F88" i="13" s="1"/>
  <c r="F64" i="13"/>
  <c r="F65" i="13"/>
  <c r="F66" i="13"/>
  <c r="F67" i="13"/>
  <c r="F68" i="13"/>
  <c r="G124" i="13"/>
  <c r="G64" i="13"/>
  <c r="G65" i="13"/>
  <c r="G66" i="13"/>
  <c r="G67" i="13"/>
  <c r="E47" i="7"/>
  <c r="E49" i="7" s="1"/>
  <c r="E74" i="7"/>
  <c r="E79" i="7" s="1"/>
  <c r="F47" i="7"/>
  <c r="F49" i="7" s="1"/>
  <c r="F74" i="7"/>
  <c r="F79" i="7" s="1"/>
  <c r="C124" i="12"/>
  <c r="C64" i="12"/>
  <c r="C65" i="12"/>
  <c r="C66" i="12"/>
  <c r="C67" i="12"/>
  <c r="D124" i="12"/>
  <c r="D64" i="12"/>
  <c r="D65" i="12"/>
  <c r="D66" i="12"/>
  <c r="D67" i="12"/>
  <c r="C46" i="7"/>
  <c r="C35" i="7"/>
  <c r="C56" i="7" s="1"/>
  <c r="C34" i="7"/>
  <c r="C33" i="7"/>
  <c r="C32" i="7"/>
  <c r="C31" i="7"/>
  <c r="C30" i="7"/>
  <c r="C29" i="7"/>
  <c r="C28" i="7"/>
  <c r="C36" i="7" s="1"/>
  <c r="C60" i="7"/>
  <c r="C125" i="7" s="1"/>
  <c r="D46" i="7"/>
  <c r="D35" i="7"/>
  <c r="D56" i="7" s="1"/>
  <c r="D34" i="7"/>
  <c r="D33" i="7"/>
  <c r="D32" i="7"/>
  <c r="D31" i="7"/>
  <c r="D30" i="7"/>
  <c r="D29" i="7"/>
  <c r="D28" i="7"/>
  <c r="D36" i="7" s="1"/>
  <c r="D60" i="7"/>
  <c r="D125" i="7" s="1"/>
  <c r="E69" i="13" l="1"/>
  <c r="E77" i="13" s="1"/>
  <c r="E80" i="13" s="1"/>
  <c r="E126" i="13" s="1"/>
  <c r="E128" i="13" s="1"/>
  <c r="E95" i="13"/>
  <c r="D69" i="18"/>
  <c r="D77" i="18" s="1"/>
  <c r="D80" i="18" s="1"/>
  <c r="C69" i="18"/>
  <c r="C77" i="18" s="1"/>
  <c r="C80" i="18" s="1"/>
  <c r="F69" i="17"/>
  <c r="E69" i="17"/>
  <c r="E77" i="17" s="1"/>
  <c r="E80" i="17" s="1"/>
  <c r="E91" i="17"/>
  <c r="E127" i="17" s="1"/>
  <c r="D69" i="17"/>
  <c r="D77" i="17" s="1"/>
  <c r="D80" i="17" s="1"/>
  <c r="C69" i="17"/>
  <c r="C77" i="17" s="1"/>
  <c r="C80" i="17" s="1"/>
  <c r="D69" i="14"/>
  <c r="D77" i="14" s="1"/>
  <c r="D80" i="14" s="1"/>
  <c r="C69" i="14"/>
  <c r="C77" i="14" s="1"/>
  <c r="C80" i="14" s="1"/>
  <c r="G69" i="13"/>
  <c r="F69" i="13"/>
  <c r="F77" i="13" s="1"/>
  <c r="F80" i="13" s="1"/>
  <c r="D69" i="13"/>
  <c r="D77" i="13" s="1"/>
  <c r="D80" i="13" s="1"/>
  <c r="D95" i="13" s="1"/>
  <c r="C69" i="13"/>
  <c r="C77" i="13" s="1"/>
  <c r="C80" i="13" s="1"/>
  <c r="F124" i="7"/>
  <c r="F64" i="7"/>
  <c r="F65" i="7"/>
  <c r="F66" i="7"/>
  <c r="F67" i="7"/>
  <c r="E68" i="7"/>
  <c r="E124" i="7"/>
  <c r="E88" i="7" s="1"/>
  <c r="E64" i="7"/>
  <c r="E65" i="7"/>
  <c r="E66" i="7"/>
  <c r="E67" i="7"/>
  <c r="D69" i="12"/>
  <c r="D77" i="12" s="1"/>
  <c r="D80" i="12" s="1"/>
  <c r="C69" i="12"/>
  <c r="C77" i="12" s="1"/>
  <c r="C80" i="12" s="1"/>
  <c r="D47" i="7"/>
  <c r="D74" i="7"/>
  <c r="D79" i="7" s="1"/>
  <c r="D49" i="7"/>
  <c r="C47" i="7"/>
  <c r="C74" i="7"/>
  <c r="C79" i="7" s="1"/>
  <c r="C49" i="7"/>
  <c r="E96" i="13" l="1"/>
  <c r="C126" i="18"/>
  <c r="C128" i="18" s="1"/>
  <c r="C95" i="18"/>
  <c r="D126" i="18"/>
  <c r="D128" i="18" s="1"/>
  <c r="D95" i="18"/>
  <c r="C126" i="17"/>
  <c r="C128" i="17" s="1"/>
  <c r="C95" i="17"/>
  <c r="D126" i="17"/>
  <c r="D128" i="17" s="1"/>
  <c r="D95" i="17"/>
  <c r="E126" i="17"/>
  <c r="E128" i="17" s="1"/>
  <c r="E95" i="17"/>
  <c r="F126" i="17"/>
  <c r="F128" i="17" s="1"/>
  <c r="F77" i="17"/>
  <c r="F80" i="17" s="1"/>
  <c r="C126" i="14"/>
  <c r="C128" i="14" s="1"/>
  <c r="C95" i="14"/>
  <c r="D126" i="14"/>
  <c r="D128" i="14" s="1"/>
  <c r="D95" i="14"/>
  <c r="C126" i="13"/>
  <c r="C128" i="13" s="1"/>
  <c r="C95" i="13"/>
  <c r="D126" i="13"/>
  <c r="D128" i="13" s="1"/>
  <c r="F126" i="13"/>
  <c r="G126" i="13"/>
  <c r="G128" i="13" s="1"/>
  <c r="G77" i="13"/>
  <c r="G80" i="13" s="1"/>
  <c r="E69" i="7"/>
  <c r="E77" i="7" s="1"/>
  <c r="E80" i="7" s="1"/>
  <c r="E91" i="7"/>
  <c r="E127" i="7" s="1"/>
  <c r="F69" i="7"/>
  <c r="C126" i="12"/>
  <c r="C128" i="12" s="1"/>
  <c r="C95" i="12"/>
  <c r="D126" i="12"/>
  <c r="D128" i="12" s="1"/>
  <c r="D95" i="12"/>
  <c r="C124" i="7"/>
  <c r="C64" i="7"/>
  <c r="C65" i="7"/>
  <c r="C66" i="7"/>
  <c r="C67" i="7"/>
  <c r="D124" i="7"/>
  <c r="D64" i="7"/>
  <c r="D65" i="7"/>
  <c r="D66" i="7"/>
  <c r="D67" i="7"/>
  <c r="E111" i="13" l="1"/>
  <c r="E110" i="13"/>
  <c r="E109" i="13"/>
  <c r="E116" i="13" s="1"/>
  <c r="E133" i="13" s="1"/>
  <c r="E138" i="13" s="1"/>
  <c r="E108" i="13"/>
  <c r="E107" i="13"/>
  <c r="E106" i="13"/>
  <c r="E115" i="13" s="1"/>
  <c r="E132" i="13" s="1"/>
  <c r="E137" i="13" s="1"/>
  <c r="E105" i="13"/>
  <c r="E104" i="13"/>
  <c r="E103" i="13"/>
  <c r="E114" i="13" s="1"/>
  <c r="E131" i="13" s="1"/>
  <c r="E136" i="13" s="1"/>
  <c r="E102" i="13"/>
  <c r="E101" i="13"/>
  <c r="E100" i="13"/>
  <c r="E113" i="13" s="1"/>
  <c r="E130" i="13" s="1"/>
  <c r="E135" i="13" s="1"/>
  <c r="E99" i="13"/>
  <c r="E98" i="13"/>
  <c r="E97" i="13"/>
  <c r="E112" i="13" s="1"/>
  <c r="E129" i="13" s="1"/>
  <c r="E134" i="13" s="1"/>
  <c r="D96" i="18"/>
  <c r="C96" i="18"/>
  <c r="F95" i="17"/>
  <c r="E96" i="17"/>
  <c r="D96" i="17"/>
  <c r="C96" i="17"/>
  <c r="D96" i="14"/>
  <c r="C96" i="14"/>
  <c r="G95" i="13"/>
  <c r="D96" i="13"/>
  <c r="C96" i="13"/>
  <c r="F77" i="7"/>
  <c r="F80" i="7" s="1"/>
  <c r="F126" i="7"/>
  <c r="F128" i="7" s="1"/>
  <c r="E126" i="7"/>
  <c r="E128" i="7" s="1"/>
  <c r="E95" i="7"/>
  <c r="E96" i="7"/>
  <c r="E99" i="7" s="1"/>
  <c r="E97" i="7"/>
  <c r="E106" i="7"/>
  <c r="E108" i="7"/>
  <c r="D96" i="12"/>
  <c r="C96" i="12"/>
  <c r="D69" i="7"/>
  <c r="C69" i="7"/>
  <c r="E102" i="7" l="1"/>
  <c r="E98" i="7"/>
  <c r="E101" i="7"/>
  <c r="E110" i="7"/>
  <c r="E105" i="7"/>
  <c r="E100" i="7"/>
  <c r="E109" i="7"/>
  <c r="E116" i="7" s="1"/>
  <c r="E133" i="7" s="1"/>
  <c r="E138" i="7" s="1"/>
  <c r="K183" i="7" s="1"/>
  <c r="E104" i="7"/>
  <c r="E111" i="7"/>
  <c r="E107" i="7"/>
  <c r="E103" i="7"/>
  <c r="E114" i="7" s="1"/>
  <c r="E131" i="7" s="1"/>
  <c r="E136" i="7" s="1"/>
  <c r="G183" i="7" s="1"/>
  <c r="C111" i="18"/>
  <c r="C110" i="18"/>
  <c r="C109" i="18"/>
  <c r="C116" i="18" s="1"/>
  <c r="C133" i="18" s="1"/>
  <c r="C138" i="18" s="1"/>
  <c r="C108" i="18"/>
  <c r="C107" i="18"/>
  <c r="C106" i="18"/>
  <c r="C115" i="18" s="1"/>
  <c r="C132" i="18" s="1"/>
  <c r="C137" i="18" s="1"/>
  <c r="C105" i="18"/>
  <c r="C104" i="18"/>
  <c r="C103" i="18"/>
  <c r="C114" i="18" s="1"/>
  <c r="C131" i="18" s="1"/>
  <c r="C136" i="18" s="1"/>
  <c r="C141" i="18" s="1"/>
  <c r="C102" i="18"/>
  <c r="C101" i="18"/>
  <c r="C100" i="18"/>
  <c r="C113" i="18" s="1"/>
  <c r="C130" i="18" s="1"/>
  <c r="C135" i="18" s="1"/>
  <c r="C99" i="18"/>
  <c r="C98" i="18"/>
  <c r="C97" i="18"/>
  <c r="C112" i="18" s="1"/>
  <c r="C129" i="18" s="1"/>
  <c r="C134" i="18" s="1"/>
  <c r="C139" i="18" s="1"/>
  <c r="D111" i="18"/>
  <c r="D110" i="18"/>
  <c r="D109" i="18"/>
  <c r="D116" i="18" s="1"/>
  <c r="D133" i="18" s="1"/>
  <c r="D138" i="18" s="1"/>
  <c r="D108" i="18"/>
  <c r="D107" i="18"/>
  <c r="D106" i="18"/>
  <c r="D115" i="18" s="1"/>
  <c r="D132" i="18" s="1"/>
  <c r="D137" i="18" s="1"/>
  <c r="D105" i="18"/>
  <c r="D104" i="18"/>
  <c r="D103" i="18"/>
  <c r="D114" i="18" s="1"/>
  <c r="D131" i="18" s="1"/>
  <c r="D136" i="18" s="1"/>
  <c r="D102" i="18"/>
  <c r="D101" i="18"/>
  <c r="D100" i="18"/>
  <c r="D113" i="18" s="1"/>
  <c r="D130" i="18" s="1"/>
  <c r="D135" i="18" s="1"/>
  <c r="D99" i="18"/>
  <c r="D98" i="18"/>
  <c r="D97" i="18"/>
  <c r="D112" i="18" s="1"/>
  <c r="D129" i="18" s="1"/>
  <c r="D134" i="18" s="1"/>
  <c r="C111" i="17"/>
  <c r="C110" i="17"/>
  <c r="C109" i="17"/>
  <c r="C116" i="17" s="1"/>
  <c r="C133" i="17" s="1"/>
  <c r="C138" i="17" s="1"/>
  <c r="C108" i="17"/>
  <c r="C107" i="17"/>
  <c r="C106" i="17"/>
  <c r="C115" i="17" s="1"/>
  <c r="C132" i="17" s="1"/>
  <c r="C137" i="17" s="1"/>
  <c r="C105" i="17"/>
  <c r="C104" i="17"/>
  <c r="C103" i="17"/>
  <c r="C114" i="17" s="1"/>
  <c r="C131" i="17" s="1"/>
  <c r="C136" i="17" s="1"/>
  <c r="C102" i="17"/>
  <c r="C101" i="17"/>
  <c r="C100" i="17"/>
  <c r="C113" i="17" s="1"/>
  <c r="C130" i="17" s="1"/>
  <c r="C135" i="17" s="1"/>
  <c r="C99" i="17"/>
  <c r="C98" i="17"/>
  <c r="C97" i="17"/>
  <c r="C112" i="17" s="1"/>
  <c r="C129" i="17" s="1"/>
  <c r="C134" i="17" s="1"/>
  <c r="D111" i="17"/>
  <c r="D110" i="17"/>
  <c r="D109" i="17"/>
  <c r="D116" i="17" s="1"/>
  <c r="D133" i="17" s="1"/>
  <c r="D138" i="17" s="1"/>
  <c r="D108" i="17"/>
  <c r="D107" i="17"/>
  <c r="D106" i="17"/>
  <c r="D115" i="17" s="1"/>
  <c r="D132" i="17" s="1"/>
  <c r="D137" i="17" s="1"/>
  <c r="D105" i="17"/>
  <c r="D104" i="17"/>
  <c r="D103" i="17"/>
  <c r="D114" i="17" s="1"/>
  <c r="D131" i="17" s="1"/>
  <c r="D136" i="17" s="1"/>
  <c r="D102" i="17"/>
  <c r="D101" i="17"/>
  <c r="D100" i="17"/>
  <c r="D113" i="17" s="1"/>
  <c r="D130" i="17" s="1"/>
  <c r="D135" i="17" s="1"/>
  <c r="D99" i="17"/>
  <c r="D98" i="17"/>
  <c r="D97" i="17"/>
  <c r="D112" i="17" s="1"/>
  <c r="D129" i="17" s="1"/>
  <c r="D134" i="17" s="1"/>
  <c r="E111" i="17"/>
  <c r="E110" i="17"/>
  <c r="E109" i="17"/>
  <c r="E116" i="17" s="1"/>
  <c r="E133" i="17" s="1"/>
  <c r="E138" i="17" s="1"/>
  <c r="K183" i="17" s="1"/>
  <c r="E108" i="17"/>
  <c r="E107" i="17"/>
  <c r="E106" i="17"/>
  <c r="E115" i="17" s="1"/>
  <c r="E132" i="17" s="1"/>
  <c r="E137" i="17" s="1"/>
  <c r="I183" i="17" s="1"/>
  <c r="E105" i="17"/>
  <c r="E104" i="17"/>
  <c r="E103" i="17"/>
  <c r="E114" i="17" s="1"/>
  <c r="E131" i="17" s="1"/>
  <c r="E136" i="17" s="1"/>
  <c r="G183" i="17" s="1"/>
  <c r="E102" i="17"/>
  <c r="E101" i="17"/>
  <c r="E100" i="17"/>
  <c r="E113" i="17" s="1"/>
  <c r="E130" i="17" s="1"/>
  <c r="E135" i="17" s="1"/>
  <c r="E183" i="17" s="1"/>
  <c r="E99" i="17"/>
  <c r="E98" i="17"/>
  <c r="E97" i="17"/>
  <c r="E112" i="17" s="1"/>
  <c r="E129" i="17" s="1"/>
  <c r="E134" i="17" s="1"/>
  <c r="C183" i="17" s="1"/>
  <c r="F96" i="17"/>
  <c r="C111" i="14"/>
  <c r="C110" i="14"/>
  <c r="C109" i="14"/>
  <c r="C116" i="14" s="1"/>
  <c r="C133" i="14" s="1"/>
  <c r="C138" i="14" s="1"/>
  <c r="C108" i="14"/>
  <c r="C107" i="14"/>
  <c r="C106" i="14"/>
  <c r="C115" i="14" s="1"/>
  <c r="C132" i="14" s="1"/>
  <c r="C137" i="14" s="1"/>
  <c r="C142" i="14" s="1"/>
  <c r="AB30" i="5" s="1"/>
  <c r="C105" i="14"/>
  <c r="C104" i="14"/>
  <c r="C103" i="14"/>
  <c r="C114" i="14" s="1"/>
  <c r="C131" i="14" s="1"/>
  <c r="C136" i="14" s="1"/>
  <c r="C102" i="14"/>
  <c r="C101" i="14"/>
  <c r="C100" i="14"/>
  <c r="C113" i="14" s="1"/>
  <c r="C130" i="14" s="1"/>
  <c r="C135" i="14" s="1"/>
  <c r="C140" i="14" s="1"/>
  <c r="AB27" i="5" s="1"/>
  <c r="C99" i="14"/>
  <c r="C98" i="14"/>
  <c r="C97" i="14"/>
  <c r="C112" i="14" s="1"/>
  <c r="C129" i="14" s="1"/>
  <c r="C134" i="14" s="1"/>
  <c r="C139" i="14" s="1"/>
  <c r="D111" i="14"/>
  <c r="D110" i="14"/>
  <c r="D109" i="14"/>
  <c r="D116" i="14" s="1"/>
  <c r="D133" i="14" s="1"/>
  <c r="D138" i="14" s="1"/>
  <c r="D108" i="14"/>
  <c r="D107" i="14"/>
  <c r="D106" i="14"/>
  <c r="D115" i="14" s="1"/>
  <c r="D132" i="14" s="1"/>
  <c r="D137" i="14" s="1"/>
  <c r="D105" i="14"/>
  <c r="D104" i="14"/>
  <c r="D103" i="14"/>
  <c r="D114" i="14" s="1"/>
  <c r="D131" i="14" s="1"/>
  <c r="D136" i="14" s="1"/>
  <c r="D102" i="14"/>
  <c r="D101" i="14"/>
  <c r="D100" i="14"/>
  <c r="D113" i="14" s="1"/>
  <c r="D130" i="14" s="1"/>
  <c r="D135" i="14" s="1"/>
  <c r="D99" i="14"/>
  <c r="D98" i="14"/>
  <c r="D97" i="14"/>
  <c r="D112" i="14" s="1"/>
  <c r="D129" i="14" s="1"/>
  <c r="D134" i="14" s="1"/>
  <c r="C111" i="13"/>
  <c r="C110" i="13"/>
  <c r="C109" i="13"/>
  <c r="C116" i="13" s="1"/>
  <c r="C133" i="13" s="1"/>
  <c r="C138" i="13" s="1"/>
  <c r="C108" i="13"/>
  <c r="C107" i="13"/>
  <c r="C106" i="13"/>
  <c r="C115" i="13" s="1"/>
  <c r="C132" i="13" s="1"/>
  <c r="C137" i="13" s="1"/>
  <c r="C105" i="13"/>
  <c r="C104" i="13"/>
  <c r="C103" i="13"/>
  <c r="C114" i="13" s="1"/>
  <c r="C131" i="13" s="1"/>
  <c r="C136" i="13" s="1"/>
  <c r="C102" i="13"/>
  <c r="C101" i="13"/>
  <c r="C100" i="13"/>
  <c r="C113" i="13" s="1"/>
  <c r="C130" i="13" s="1"/>
  <c r="C135" i="13" s="1"/>
  <c r="C99" i="13"/>
  <c r="C98" i="13"/>
  <c r="C97" i="13"/>
  <c r="C112" i="13" s="1"/>
  <c r="C129" i="13" s="1"/>
  <c r="C134" i="13" s="1"/>
  <c r="D111" i="13"/>
  <c r="D110" i="13"/>
  <c r="D109" i="13"/>
  <c r="D116" i="13" s="1"/>
  <c r="D133" i="13" s="1"/>
  <c r="D138" i="13" s="1"/>
  <c r="D108" i="13"/>
  <c r="D107" i="13"/>
  <c r="D106" i="13"/>
  <c r="D115" i="13" s="1"/>
  <c r="D132" i="13" s="1"/>
  <c r="D137" i="13" s="1"/>
  <c r="D105" i="13"/>
  <c r="D104" i="13"/>
  <c r="D103" i="13"/>
  <c r="D114" i="13" s="1"/>
  <c r="D131" i="13" s="1"/>
  <c r="D136" i="13" s="1"/>
  <c r="D102" i="13"/>
  <c r="D101" i="13"/>
  <c r="D100" i="13"/>
  <c r="D113" i="13" s="1"/>
  <c r="D130" i="13" s="1"/>
  <c r="D135" i="13" s="1"/>
  <c r="D99" i="13"/>
  <c r="D98" i="13"/>
  <c r="D97" i="13"/>
  <c r="D112" i="13" s="1"/>
  <c r="D129" i="13" s="1"/>
  <c r="D134" i="13" s="1"/>
  <c r="G96" i="13"/>
  <c r="E112" i="7"/>
  <c r="E129" i="7" s="1"/>
  <c r="E134" i="7" s="1"/>
  <c r="C183" i="7" s="1"/>
  <c r="E113" i="7"/>
  <c r="E130" i="7" s="1"/>
  <c r="E135" i="7" s="1"/>
  <c r="E183" i="7" s="1"/>
  <c r="E115" i="7"/>
  <c r="E132" i="7" s="1"/>
  <c r="E137" i="7"/>
  <c r="I183" i="7" s="1"/>
  <c r="F95" i="7"/>
  <c r="F96" i="7" s="1"/>
  <c r="F99" i="7" s="1"/>
  <c r="C111" i="12"/>
  <c r="C110" i="12"/>
  <c r="C109" i="12"/>
  <c r="C116" i="12" s="1"/>
  <c r="C133" i="12" s="1"/>
  <c r="C138" i="12" s="1"/>
  <c r="C108" i="12"/>
  <c r="C107" i="12"/>
  <c r="C106" i="12"/>
  <c r="C115" i="12" s="1"/>
  <c r="C132" i="12" s="1"/>
  <c r="C137" i="12" s="1"/>
  <c r="C105" i="12"/>
  <c r="C104" i="12"/>
  <c r="C103" i="12"/>
  <c r="C114" i="12" s="1"/>
  <c r="C131" i="12" s="1"/>
  <c r="C136" i="12" s="1"/>
  <c r="C102" i="12"/>
  <c r="C101" i="12"/>
  <c r="C100" i="12"/>
  <c r="C113" i="12" s="1"/>
  <c r="C130" i="12" s="1"/>
  <c r="C135" i="12" s="1"/>
  <c r="C99" i="12"/>
  <c r="C98" i="12"/>
  <c r="C97" i="12"/>
  <c r="C112" i="12" s="1"/>
  <c r="C129" i="12" s="1"/>
  <c r="C134" i="12" s="1"/>
  <c r="D111" i="12"/>
  <c r="D110" i="12"/>
  <c r="D109" i="12"/>
  <c r="D116" i="12" s="1"/>
  <c r="D133" i="12" s="1"/>
  <c r="D138" i="12" s="1"/>
  <c r="D108" i="12"/>
  <c r="D107" i="12"/>
  <c r="D106" i="12"/>
  <c r="D115" i="12" s="1"/>
  <c r="D132" i="12" s="1"/>
  <c r="D137" i="12" s="1"/>
  <c r="D105" i="12"/>
  <c r="D104" i="12"/>
  <c r="D103" i="12"/>
  <c r="D114" i="12" s="1"/>
  <c r="D131" i="12" s="1"/>
  <c r="D136" i="12" s="1"/>
  <c r="D102" i="12"/>
  <c r="D101" i="12"/>
  <c r="D100" i="12"/>
  <c r="D113" i="12" s="1"/>
  <c r="D130" i="12" s="1"/>
  <c r="D135" i="12" s="1"/>
  <c r="D99" i="12"/>
  <c r="D98" i="12"/>
  <c r="D97" i="12"/>
  <c r="D112" i="12" s="1"/>
  <c r="D129" i="12" s="1"/>
  <c r="D134" i="12" s="1"/>
  <c r="C77" i="7"/>
  <c r="C80" i="7" s="1"/>
  <c r="D77" i="7"/>
  <c r="D80" i="7" s="1"/>
  <c r="F105" i="7" l="1"/>
  <c r="F97" i="7"/>
  <c r="F104" i="7"/>
  <c r="F109" i="7"/>
  <c r="F116" i="7" s="1"/>
  <c r="F133" i="7" s="1"/>
  <c r="F138" i="7" s="1"/>
  <c r="F98" i="7"/>
  <c r="F108" i="7"/>
  <c r="F100" i="7"/>
  <c r="F113" i="7" s="1"/>
  <c r="F130" i="7" s="1"/>
  <c r="F135" i="7" s="1"/>
  <c r="F101" i="7"/>
  <c r="F111" i="7"/>
  <c r="F107" i="7"/>
  <c r="F103" i="7"/>
  <c r="F114" i="7" s="1"/>
  <c r="F131" i="7" s="1"/>
  <c r="F136" i="7" s="1"/>
  <c r="F110" i="7"/>
  <c r="F106" i="7"/>
  <c r="F115" i="7" s="1"/>
  <c r="F132" i="7" s="1"/>
  <c r="F137" i="7" s="1"/>
  <c r="F102" i="7"/>
  <c r="Z12" i="5"/>
  <c r="Z15" i="5"/>
  <c r="Z9" i="5"/>
  <c r="Z27" i="5"/>
  <c r="Z30" i="5"/>
  <c r="E165" i="13"/>
  <c r="F165" i="13" s="1"/>
  <c r="Z42" i="5"/>
  <c r="Z48" i="5"/>
  <c r="C140" i="18"/>
  <c r="Z46" i="5"/>
  <c r="AB50" i="5"/>
  <c r="C142" i="18"/>
  <c r="Z47" i="5"/>
  <c r="C143" i="18"/>
  <c r="Z44" i="5"/>
  <c r="Z43" i="5"/>
  <c r="Z18" i="5"/>
  <c r="Z17" i="5"/>
  <c r="Z11" i="5"/>
  <c r="Z14" i="5"/>
  <c r="Z10" i="5"/>
  <c r="Z8" i="5"/>
  <c r="Z29" i="5"/>
  <c r="Z36" i="5"/>
  <c r="Z37" i="5"/>
  <c r="Z39" i="5"/>
  <c r="C143" i="14"/>
  <c r="Z28" i="5"/>
  <c r="Z31" i="5"/>
  <c r="F111" i="17"/>
  <c r="F110" i="17"/>
  <c r="F109" i="17"/>
  <c r="F116" i="17" s="1"/>
  <c r="F133" i="17" s="1"/>
  <c r="F138" i="17" s="1"/>
  <c r="F108" i="17"/>
  <c r="F107" i="17"/>
  <c r="F106" i="17"/>
  <c r="F115" i="17" s="1"/>
  <c r="F132" i="17" s="1"/>
  <c r="F137" i="17" s="1"/>
  <c r="F105" i="17"/>
  <c r="F104" i="17"/>
  <c r="F103" i="17"/>
  <c r="F114" i="17" s="1"/>
  <c r="F131" i="17" s="1"/>
  <c r="F136" i="17" s="1"/>
  <c r="F102" i="17"/>
  <c r="F101" i="17"/>
  <c r="F100" i="17"/>
  <c r="F113" i="17" s="1"/>
  <c r="F130" i="17" s="1"/>
  <c r="F135" i="17" s="1"/>
  <c r="F99" i="17"/>
  <c r="F98" i="17"/>
  <c r="F97" i="17"/>
  <c r="F112" i="17" s="1"/>
  <c r="F129" i="17" s="1"/>
  <c r="F134" i="17" s="1"/>
  <c r="C189" i="17"/>
  <c r="D189" i="17" s="1"/>
  <c r="C186" i="17"/>
  <c r="D186" i="17" s="1"/>
  <c r="D183" i="17"/>
  <c r="C177" i="17"/>
  <c r="D177" i="17" s="1"/>
  <c r="C174" i="17"/>
  <c r="D174" i="17" s="1"/>
  <c r="C171" i="17"/>
  <c r="D171" i="17" s="1"/>
  <c r="C165" i="17"/>
  <c r="D165" i="17" s="1"/>
  <c r="C159" i="17"/>
  <c r="D159" i="17" s="1"/>
  <c r="C153" i="17"/>
  <c r="D153" i="17" s="1"/>
  <c r="C147" i="17"/>
  <c r="D147" i="17" s="1"/>
  <c r="C139" i="17"/>
  <c r="E189" i="17"/>
  <c r="F189" i="17" s="1"/>
  <c r="E186" i="17"/>
  <c r="F186" i="17" s="1"/>
  <c r="F183" i="17"/>
  <c r="E177" i="17"/>
  <c r="F177" i="17" s="1"/>
  <c r="E174" i="17"/>
  <c r="F174" i="17" s="1"/>
  <c r="E171" i="17"/>
  <c r="F171" i="17" s="1"/>
  <c r="E165" i="17"/>
  <c r="F165" i="17" s="1"/>
  <c r="E159" i="17"/>
  <c r="F159" i="17" s="1"/>
  <c r="E153" i="17"/>
  <c r="F153" i="17" s="1"/>
  <c r="E147" i="17"/>
  <c r="F147" i="17" s="1"/>
  <c r="C140" i="17"/>
  <c r="G189" i="17"/>
  <c r="H189" i="17" s="1"/>
  <c r="G186" i="17"/>
  <c r="H186" i="17" s="1"/>
  <c r="H183" i="17"/>
  <c r="G177" i="17"/>
  <c r="H177" i="17" s="1"/>
  <c r="G174" i="17"/>
  <c r="H174" i="17" s="1"/>
  <c r="G171" i="17"/>
  <c r="H171" i="17" s="1"/>
  <c r="G165" i="17"/>
  <c r="H165" i="17" s="1"/>
  <c r="G159" i="17"/>
  <c r="H159" i="17" s="1"/>
  <c r="G153" i="17"/>
  <c r="H153" i="17" s="1"/>
  <c r="G147" i="17"/>
  <c r="H147" i="17" s="1"/>
  <c r="C141" i="17"/>
  <c r="AA50" i="5" s="1"/>
  <c r="I189" i="17"/>
  <c r="J189" i="17" s="1"/>
  <c r="I186" i="17"/>
  <c r="J186" i="17" s="1"/>
  <c r="J183" i="17"/>
  <c r="I177" i="17"/>
  <c r="J177" i="17" s="1"/>
  <c r="I174" i="17"/>
  <c r="J174" i="17" s="1"/>
  <c r="I171" i="17"/>
  <c r="J171" i="17" s="1"/>
  <c r="I165" i="17"/>
  <c r="J165" i="17" s="1"/>
  <c r="I159" i="17"/>
  <c r="J159" i="17" s="1"/>
  <c r="I153" i="17"/>
  <c r="J153" i="17" s="1"/>
  <c r="I147" i="17"/>
  <c r="J147" i="17" s="1"/>
  <c r="C142" i="17"/>
  <c r="K189" i="17"/>
  <c r="L189" i="17" s="1"/>
  <c r="K186" i="17"/>
  <c r="L186" i="17" s="1"/>
  <c r="L183" i="17"/>
  <c r="K177" i="17"/>
  <c r="L177" i="17" s="1"/>
  <c r="K174" i="17"/>
  <c r="L174" i="17" s="1"/>
  <c r="K171" i="17"/>
  <c r="L171" i="17" s="1"/>
  <c r="K165" i="17"/>
  <c r="L165" i="17" s="1"/>
  <c r="K159" i="17"/>
  <c r="L159" i="17" s="1"/>
  <c r="K153" i="17"/>
  <c r="L153" i="17" s="1"/>
  <c r="K147" i="17"/>
  <c r="L147" i="17" s="1"/>
  <c r="C143" i="17"/>
  <c r="C141" i="14"/>
  <c r="G111" i="13"/>
  <c r="G110" i="13"/>
  <c r="G109" i="13"/>
  <c r="G116" i="13" s="1"/>
  <c r="G133" i="13" s="1"/>
  <c r="G138" i="13" s="1"/>
  <c r="G108" i="13"/>
  <c r="G107" i="13"/>
  <c r="G106" i="13"/>
  <c r="G115" i="13" s="1"/>
  <c r="G132" i="13" s="1"/>
  <c r="G137" i="13" s="1"/>
  <c r="G105" i="13"/>
  <c r="G104" i="13"/>
  <c r="G103" i="13"/>
  <c r="G114" i="13" s="1"/>
  <c r="G131" i="13" s="1"/>
  <c r="G136" i="13" s="1"/>
  <c r="G102" i="13"/>
  <c r="G101" i="13"/>
  <c r="G100" i="13"/>
  <c r="G113" i="13" s="1"/>
  <c r="G130" i="13" s="1"/>
  <c r="G135" i="13" s="1"/>
  <c r="G99" i="13"/>
  <c r="G98" i="13"/>
  <c r="G97" i="13"/>
  <c r="G112" i="13" s="1"/>
  <c r="G129" i="13" s="1"/>
  <c r="G134" i="13" s="1"/>
  <c r="C189" i="13"/>
  <c r="D189" i="13" s="1"/>
  <c r="C186" i="13"/>
  <c r="D186" i="13" s="1"/>
  <c r="C177" i="13"/>
  <c r="D177" i="13" s="1"/>
  <c r="C174" i="13"/>
  <c r="D174" i="13" s="1"/>
  <c r="C171" i="13"/>
  <c r="D171" i="13" s="1"/>
  <c r="C165" i="13"/>
  <c r="D165" i="13" s="1"/>
  <c r="C159" i="13"/>
  <c r="D159" i="13" s="1"/>
  <c r="C153" i="13"/>
  <c r="D153" i="13" s="1"/>
  <c r="C147" i="13"/>
  <c r="D147" i="13" s="1"/>
  <c r="C139" i="13"/>
  <c r="E189" i="13"/>
  <c r="F189" i="13" s="1"/>
  <c r="E186" i="13"/>
  <c r="F186" i="13" s="1"/>
  <c r="E177" i="13"/>
  <c r="F177" i="13" s="1"/>
  <c r="E174" i="13"/>
  <c r="F174" i="13" s="1"/>
  <c r="E171" i="13"/>
  <c r="F171" i="13" s="1"/>
  <c r="E159" i="13"/>
  <c r="F159" i="13" s="1"/>
  <c r="E153" i="13"/>
  <c r="F153" i="13" s="1"/>
  <c r="E147" i="13"/>
  <c r="F147" i="13" s="1"/>
  <c r="C140" i="13"/>
  <c r="AA27" i="5" s="1"/>
  <c r="G189" i="13"/>
  <c r="H189" i="13" s="1"/>
  <c r="G186" i="13"/>
  <c r="H186" i="13" s="1"/>
  <c r="G177" i="13"/>
  <c r="H177" i="13" s="1"/>
  <c r="G174" i="13"/>
  <c r="H174" i="13" s="1"/>
  <c r="G171" i="13"/>
  <c r="H171" i="13" s="1"/>
  <c r="G165" i="13"/>
  <c r="H165" i="13" s="1"/>
  <c r="G159" i="13"/>
  <c r="H159" i="13" s="1"/>
  <c r="G153" i="13"/>
  <c r="H153" i="13" s="1"/>
  <c r="G147" i="13"/>
  <c r="H147" i="13" s="1"/>
  <c r="C141" i="13"/>
  <c r="I189" i="13"/>
  <c r="J189" i="13" s="1"/>
  <c r="I186" i="13"/>
  <c r="J186" i="13" s="1"/>
  <c r="I177" i="13"/>
  <c r="J177" i="13" s="1"/>
  <c r="I174" i="13"/>
  <c r="J174" i="13" s="1"/>
  <c r="I171" i="13"/>
  <c r="J171" i="13" s="1"/>
  <c r="I165" i="13"/>
  <c r="J165" i="13" s="1"/>
  <c r="I159" i="13"/>
  <c r="J159" i="13" s="1"/>
  <c r="I153" i="13"/>
  <c r="J153" i="13" s="1"/>
  <c r="I147" i="13"/>
  <c r="J147" i="13" s="1"/>
  <c r="C142" i="13"/>
  <c r="AA30" i="5" s="1"/>
  <c r="K189" i="13"/>
  <c r="L189" i="13" s="1"/>
  <c r="K186" i="13"/>
  <c r="L186" i="13" s="1"/>
  <c r="K177" i="13"/>
  <c r="L177" i="13" s="1"/>
  <c r="K174" i="13"/>
  <c r="L174" i="13" s="1"/>
  <c r="K171" i="13"/>
  <c r="L171" i="13" s="1"/>
  <c r="K165" i="13"/>
  <c r="L165" i="13" s="1"/>
  <c r="K159" i="13"/>
  <c r="L159" i="13" s="1"/>
  <c r="K153" i="13"/>
  <c r="L153" i="13" s="1"/>
  <c r="K147" i="13"/>
  <c r="L147" i="13" s="1"/>
  <c r="C143" i="13"/>
  <c r="F112" i="7"/>
  <c r="F129" i="7" s="1"/>
  <c r="F134" i="7" s="1"/>
  <c r="C139" i="12"/>
  <c r="C140" i="12"/>
  <c r="C141" i="12"/>
  <c r="C142" i="12"/>
  <c r="C143" i="12"/>
  <c r="AB22" i="5" s="1"/>
  <c r="D126" i="7"/>
  <c r="D128" i="7" s="1"/>
  <c r="D95" i="7"/>
  <c r="C126" i="7"/>
  <c r="C128" i="7" s="1"/>
  <c r="C95" i="7"/>
  <c r="Z41" i="5" l="1"/>
  <c r="K190" i="17"/>
  <c r="L190" i="17" s="1"/>
  <c r="L191" i="17" s="1"/>
  <c r="C190" i="17"/>
  <c r="C187" i="17"/>
  <c r="D187" i="17" s="1"/>
  <c r="D188" i="17" s="1"/>
  <c r="E184" i="17"/>
  <c r="F184" i="17" s="1"/>
  <c r="F185" i="17" s="1"/>
  <c r="G178" i="17"/>
  <c r="H178" i="17" s="1"/>
  <c r="H179" i="17" s="1"/>
  <c r="R50" i="5" s="1"/>
  <c r="I175" i="17"/>
  <c r="J175" i="17" s="1"/>
  <c r="J176" i="17" s="1"/>
  <c r="I172" i="17"/>
  <c r="J172" i="17" s="1"/>
  <c r="J173" i="17" s="1"/>
  <c r="I166" i="17"/>
  <c r="J166" i="17" s="1"/>
  <c r="J167" i="17" s="1"/>
  <c r="I160" i="17"/>
  <c r="K154" i="17"/>
  <c r="K148" i="17"/>
  <c r="L148" i="17" s="1"/>
  <c r="L149" i="17" s="1"/>
  <c r="I190" i="17"/>
  <c r="J190" i="17" s="1"/>
  <c r="J191" i="17" s="1"/>
  <c r="K187" i="17"/>
  <c r="K184" i="17"/>
  <c r="L184" i="17" s="1"/>
  <c r="L185" i="17" s="1"/>
  <c r="C184" i="17"/>
  <c r="D184" i="17" s="1"/>
  <c r="D185" i="17" s="1"/>
  <c r="E178" i="17"/>
  <c r="F178" i="17" s="1"/>
  <c r="F179" i="17" s="1"/>
  <c r="G175" i="17"/>
  <c r="G172" i="17"/>
  <c r="H172" i="17" s="1"/>
  <c r="H173" i="17" s="1"/>
  <c r="N50" i="5" s="1"/>
  <c r="G166" i="17"/>
  <c r="H166" i="17" s="1"/>
  <c r="H167" i="17" s="1"/>
  <c r="L50" i="5" s="1"/>
  <c r="G160" i="17"/>
  <c r="H160" i="17" s="1"/>
  <c r="H161" i="17" s="1"/>
  <c r="J50" i="5" s="1"/>
  <c r="I154" i="17"/>
  <c r="J154" i="17" s="1"/>
  <c r="J155" i="17" s="1"/>
  <c r="I148" i="17"/>
  <c r="G190" i="17"/>
  <c r="H190" i="17" s="1"/>
  <c r="H191" i="17" s="1"/>
  <c r="X50" i="5" s="1"/>
  <c r="I187" i="17"/>
  <c r="J187" i="17" s="1"/>
  <c r="J188" i="17" s="1"/>
  <c r="I184" i="17"/>
  <c r="J184" i="17" s="1"/>
  <c r="J185" i="17" s="1"/>
  <c r="K178" i="17"/>
  <c r="L178" i="17" s="1"/>
  <c r="L179" i="17" s="1"/>
  <c r="C178" i="17"/>
  <c r="D178" i="17" s="1"/>
  <c r="D179" i="17" s="1"/>
  <c r="C175" i="17"/>
  <c r="D175" i="17" s="1"/>
  <c r="D176" i="17" s="1"/>
  <c r="C172" i="17"/>
  <c r="D172" i="17" s="1"/>
  <c r="D173" i="17" s="1"/>
  <c r="C166" i="17"/>
  <c r="D166" i="17" s="1"/>
  <c r="D167" i="17" s="1"/>
  <c r="E160" i="17"/>
  <c r="F160" i="17" s="1"/>
  <c r="F161" i="17" s="1"/>
  <c r="G154" i="17"/>
  <c r="H154" i="17" s="1"/>
  <c r="H155" i="17" s="1"/>
  <c r="G148" i="17"/>
  <c r="H148" i="17" s="1"/>
  <c r="H149" i="17" s="1"/>
  <c r="F50" i="5" s="1"/>
  <c r="E190" i="17"/>
  <c r="F190" i="17" s="1"/>
  <c r="F191" i="17" s="1"/>
  <c r="G187" i="17"/>
  <c r="H187" i="17" s="1"/>
  <c r="H188" i="17" s="1"/>
  <c r="V50" i="5" s="1"/>
  <c r="G184" i="17"/>
  <c r="H184" i="17" s="1"/>
  <c r="H185" i="17" s="1"/>
  <c r="T50" i="5" s="1"/>
  <c r="I178" i="17"/>
  <c r="J178" i="17" s="1"/>
  <c r="J179" i="17" s="1"/>
  <c r="K175" i="17"/>
  <c r="K172" i="17"/>
  <c r="L172" i="17" s="1"/>
  <c r="L173" i="17" s="1"/>
  <c r="K166" i="17"/>
  <c r="L166" i="17" s="1"/>
  <c r="L167" i="17" s="1"/>
  <c r="K160" i="17"/>
  <c r="L160" i="17" s="1"/>
  <c r="L161" i="17" s="1"/>
  <c r="C160" i="17"/>
  <c r="D160" i="17" s="1"/>
  <c r="D161" i="17" s="1"/>
  <c r="C154" i="17"/>
  <c r="D154" i="17" s="1"/>
  <c r="D155" i="17" s="1"/>
  <c r="C148" i="17"/>
  <c r="AB32" i="5"/>
  <c r="AB34" i="5"/>
  <c r="AB33" i="5"/>
  <c r="AB40" i="5"/>
  <c r="AB36" i="5"/>
  <c r="AB28" i="5"/>
  <c r="AB37" i="5"/>
  <c r="AB39" i="5"/>
  <c r="AB35" i="5"/>
  <c r="AB31" i="5"/>
  <c r="AB38" i="5"/>
  <c r="AB26" i="5"/>
  <c r="AB29" i="5"/>
  <c r="Z25" i="5"/>
  <c r="K190" i="7"/>
  <c r="I190" i="7"/>
  <c r="G190" i="7"/>
  <c r="E190" i="7"/>
  <c r="F190" i="7" s="1"/>
  <c r="C190" i="7"/>
  <c r="K187" i="7"/>
  <c r="I187" i="7"/>
  <c r="E187" i="7"/>
  <c r="F187" i="7" s="1"/>
  <c r="C187" i="7"/>
  <c r="K184" i="7"/>
  <c r="I184" i="7"/>
  <c r="G184" i="7"/>
  <c r="E184" i="7"/>
  <c r="F184" i="7" s="1"/>
  <c r="C184" i="7"/>
  <c r="K178" i="7"/>
  <c r="I178" i="7"/>
  <c r="E178" i="7"/>
  <c r="F178" i="7" s="1"/>
  <c r="C178" i="7"/>
  <c r="K175" i="7"/>
  <c r="I175" i="7"/>
  <c r="E175" i="7"/>
  <c r="F175" i="7" s="1"/>
  <c r="C175" i="7"/>
  <c r="K172" i="7"/>
  <c r="I172" i="7"/>
  <c r="E172" i="7"/>
  <c r="F172" i="7" s="1"/>
  <c r="C172" i="7"/>
  <c r="K166" i="7"/>
  <c r="I166" i="7"/>
  <c r="E166" i="7"/>
  <c r="F166" i="7" s="1"/>
  <c r="C166" i="7"/>
  <c r="K160" i="7"/>
  <c r="I160" i="7"/>
  <c r="G160" i="7"/>
  <c r="E160" i="7"/>
  <c r="C160" i="7"/>
  <c r="K154" i="7"/>
  <c r="I154" i="7"/>
  <c r="E154" i="7"/>
  <c r="C154" i="7"/>
  <c r="C148" i="7"/>
  <c r="K148" i="7"/>
  <c r="I148" i="7"/>
  <c r="G148" i="7"/>
  <c r="E148" i="7"/>
  <c r="F148" i="7" s="1"/>
  <c r="I190" i="13"/>
  <c r="J190" i="13" s="1"/>
  <c r="J191" i="13" s="1"/>
  <c r="X30" i="5" s="1"/>
  <c r="G190" i="13"/>
  <c r="E190" i="13"/>
  <c r="C190" i="13"/>
  <c r="D190" i="13" s="1"/>
  <c r="D191" i="13" s="1"/>
  <c r="I187" i="13"/>
  <c r="J187" i="13" s="1"/>
  <c r="J188" i="13" s="1"/>
  <c r="V30" i="5" s="1"/>
  <c r="G187" i="13"/>
  <c r="H187" i="13" s="1"/>
  <c r="H188" i="13" s="1"/>
  <c r="E187" i="13"/>
  <c r="F187" i="13" s="1"/>
  <c r="F188" i="13" s="1"/>
  <c r="V27" i="5" s="1"/>
  <c r="C187" i="13"/>
  <c r="D187" i="13" s="1"/>
  <c r="D188" i="13" s="1"/>
  <c r="K184" i="13"/>
  <c r="L184" i="13" s="1"/>
  <c r="I184" i="13"/>
  <c r="J184" i="13" s="1"/>
  <c r="G184" i="13"/>
  <c r="H184" i="13" s="1"/>
  <c r="E184" i="13"/>
  <c r="F184" i="13" s="1"/>
  <c r="C184" i="13"/>
  <c r="D184" i="13" s="1"/>
  <c r="I178" i="13"/>
  <c r="J178" i="13" s="1"/>
  <c r="J179" i="13" s="1"/>
  <c r="R30" i="5" s="1"/>
  <c r="G178" i="13"/>
  <c r="H178" i="13" s="1"/>
  <c r="H179" i="13" s="1"/>
  <c r="E178" i="13"/>
  <c r="F178" i="13" s="1"/>
  <c r="F179" i="13" s="1"/>
  <c r="R27" i="5" s="1"/>
  <c r="C178" i="13"/>
  <c r="D178" i="13" s="1"/>
  <c r="D179" i="13" s="1"/>
  <c r="K175" i="13"/>
  <c r="I175" i="13"/>
  <c r="J175" i="13" s="1"/>
  <c r="J176" i="13" s="1"/>
  <c r="P30" i="5" s="1"/>
  <c r="G175" i="13"/>
  <c r="H175" i="13" s="1"/>
  <c r="H176" i="13" s="1"/>
  <c r="E175" i="13"/>
  <c r="F175" i="13" s="1"/>
  <c r="F176" i="13" s="1"/>
  <c r="P27" i="5" s="1"/>
  <c r="C175" i="13"/>
  <c r="D175" i="13" s="1"/>
  <c r="D176" i="13" s="1"/>
  <c r="I172" i="13"/>
  <c r="G172" i="13"/>
  <c r="H172" i="13" s="1"/>
  <c r="H173" i="13" s="1"/>
  <c r="E172" i="13"/>
  <c r="F172" i="13" s="1"/>
  <c r="F173" i="13" s="1"/>
  <c r="N27" i="5" s="1"/>
  <c r="C172" i="13"/>
  <c r="D172" i="13" s="1"/>
  <c r="D173" i="13" s="1"/>
  <c r="K166" i="13"/>
  <c r="L166" i="13" s="1"/>
  <c r="L167" i="13" s="1"/>
  <c r="I166" i="13"/>
  <c r="J166" i="13" s="1"/>
  <c r="J167" i="13" s="1"/>
  <c r="L30" i="5" s="1"/>
  <c r="G166" i="13"/>
  <c r="H166" i="13" s="1"/>
  <c r="H167" i="13" s="1"/>
  <c r="E166" i="13"/>
  <c r="F166" i="13" s="1"/>
  <c r="F167" i="13" s="1"/>
  <c r="L27" i="5" s="1"/>
  <c r="C166" i="13"/>
  <c r="K160" i="13"/>
  <c r="L160" i="13" s="1"/>
  <c r="L161" i="13" s="1"/>
  <c r="I160" i="13"/>
  <c r="J160" i="13" s="1"/>
  <c r="J161" i="13" s="1"/>
  <c r="G160" i="13"/>
  <c r="H160" i="13" s="1"/>
  <c r="H161" i="13" s="1"/>
  <c r="E160" i="13"/>
  <c r="C160" i="13"/>
  <c r="D160" i="13" s="1"/>
  <c r="D161" i="13" s="1"/>
  <c r="K154" i="13"/>
  <c r="L154" i="13" s="1"/>
  <c r="L155" i="13" s="1"/>
  <c r="I154" i="13"/>
  <c r="J154" i="13" s="1"/>
  <c r="J155" i="13" s="1"/>
  <c r="H30" i="5" s="1"/>
  <c r="G154" i="13"/>
  <c r="E154" i="13"/>
  <c r="F154" i="13" s="1"/>
  <c r="F155" i="13" s="1"/>
  <c r="H27" i="5" s="1"/>
  <c r="C154" i="13"/>
  <c r="D154" i="13" s="1"/>
  <c r="D155" i="13" s="1"/>
  <c r="I148" i="13"/>
  <c r="G148" i="13"/>
  <c r="H148" i="13" s="1"/>
  <c r="H149" i="13" s="1"/>
  <c r="E148" i="13"/>
  <c r="F148" i="13" s="1"/>
  <c r="F149" i="13" s="1"/>
  <c r="F27" i="5" s="1"/>
  <c r="C148" i="13"/>
  <c r="D148" i="13" s="1"/>
  <c r="D149" i="13" s="1"/>
  <c r="K148" i="13"/>
  <c r="L148" i="13" s="1"/>
  <c r="L149" i="13" s="1"/>
  <c r="AA53" i="5"/>
  <c r="AA48" i="5"/>
  <c r="AA44" i="5"/>
  <c r="AA43" i="5"/>
  <c r="AA52" i="5"/>
  <c r="AA49" i="5"/>
  <c r="AA47" i="5"/>
  <c r="AA45" i="5"/>
  <c r="AA55" i="5"/>
  <c r="AA54" i="5"/>
  <c r="AA51" i="5"/>
  <c r="AA46" i="5"/>
  <c r="AA42" i="5"/>
  <c r="AB53" i="5"/>
  <c r="AB48" i="5"/>
  <c r="AB44" i="5"/>
  <c r="AB43" i="5"/>
  <c r="AB52" i="5"/>
  <c r="AB49" i="5"/>
  <c r="AB47" i="5"/>
  <c r="AB45" i="5"/>
  <c r="AB55" i="5"/>
  <c r="AB54" i="5"/>
  <c r="AB51" i="5"/>
  <c r="AB46" i="5"/>
  <c r="AB42" i="5"/>
  <c r="Z56" i="5"/>
  <c r="AA40" i="5"/>
  <c r="AA39" i="5"/>
  <c r="AA38" i="5"/>
  <c r="AA37" i="5"/>
  <c r="AA36" i="5"/>
  <c r="AA35" i="5"/>
  <c r="AA31" i="5"/>
  <c r="AA29" i="5"/>
  <c r="AA28" i="5"/>
  <c r="AA26" i="5"/>
  <c r="AA34" i="5"/>
  <c r="AA33" i="5"/>
  <c r="AA32" i="5"/>
  <c r="AB15" i="5"/>
  <c r="AB9" i="5"/>
  <c r="AB7" i="5"/>
  <c r="AB23" i="5"/>
  <c r="AB21" i="5"/>
  <c r="AB20" i="5"/>
  <c r="AB19" i="5"/>
  <c r="AB18" i="5"/>
  <c r="AB17" i="5"/>
  <c r="AB16" i="5"/>
  <c r="AB14" i="5"/>
  <c r="AB13" i="5"/>
  <c r="AB11" i="5"/>
  <c r="AB10" i="5"/>
  <c r="AB8" i="5"/>
  <c r="AB6" i="5"/>
  <c r="AB24" i="5"/>
  <c r="AB12" i="5"/>
  <c r="D190" i="17"/>
  <c r="D191" i="17" s="1"/>
  <c r="D148" i="17"/>
  <c r="D149" i="17" s="1"/>
  <c r="E187" i="17"/>
  <c r="F187" i="17" s="1"/>
  <c r="F188" i="17" s="1"/>
  <c r="E175" i="17"/>
  <c r="F175" i="17" s="1"/>
  <c r="F176" i="17" s="1"/>
  <c r="E172" i="17"/>
  <c r="F172" i="17" s="1"/>
  <c r="F173" i="17" s="1"/>
  <c r="E166" i="17"/>
  <c r="F166" i="17" s="1"/>
  <c r="F167" i="17" s="1"/>
  <c r="E154" i="17"/>
  <c r="F154" i="17" s="1"/>
  <c r="F155" i="17" s="1"/>
  <c r="E148" i="17"/>
  <c r="F148" i="17" s="1"/>
  <c r="F149" i="17" s="1"/>
  <c r="H175" i="17"/>
  <c r="H176" i="17" s="1"/>
  <c r="P50" i="5" s="1"/>
  <c r="J160" i="17"/>
  <c r="J161" i="17" s="1"/>
  <c r="J148" i="17"/>
  <c r="J149" i="17" s="1"/>
  <c r="L187" i="17"/>
  <c r="L188" i="17" s="1"/>
  <c r="L175" i="17"/>
  <c r="L176" i="17" s="1"/>
  <c r="L154" i="17"/>
  <c r="L155" i="17" s="1"/>
  <c r="D166" i="13"/>
  <c r="D167" i="13" s="1"/>
  <c r="F190" i="13"/>
  <c r="F191" i="13" s="1"/>
  <c r="X27" i="5" s="1"/>
  <c r="F160" i="13"/>
  <c r="F161" i="13" s="1"/>
  <c r="J27" i="5" s="1"/>
  <c r="H190" i="13"/>
  <c r="H191" i="13" s="1"/>
  <c r="H154" i="13"/>
  <c r="H155" i="13" s="1"/>
  <c r="J172" i="13"/>
  <c r="J173" i="13" s="1"/>
  <c r="N30" i="5" s="1"/>
  <c r="J148" i="13"/>
  <c r="J149" i="13" s="1"/>
  <c r="F30" i="5" s="1"/>
  <c r="K190" i="13"/>
  <c r="L190" i="13" s="1"/>
  <c r="L191" i="13" s="1"/>
  <c r="K187" i="13"/>
  <c r="L187" i="13" s="1"/>
  <c r="L188" i="13" s="1"/>
  <c r="K178" i="13"/>
  <c r="L178" i="13" s="1"/>
  <c r="L179" i="13" s="1"/>
  <c r="L175" i="13"/>
  <c r="L176" i="13" s="1"/>
  <c r="K172" i="13"/>
  <c r="L172" i="13" s="1"/>
  <c r="L173" i="13" s="1"/>
  <c r="F154" i="7"/>
  <c r="F160" i="7"/>
  <c r="C96" i="7"/>
  <c r="D96" i="7"/>
  <c r="AB41" i="5" l="1"/>
  <c r="AB56" i="5"/>
  <c r="J34" i="5"/>
  <c r="J33" i="5"/>
  <c r="J32" i="5"/>
  <c r="F53" i="5"/>
  <c r="F48" i="5"/>
  <c r="F44" i="5"/>
  <c r="F43" i="5"/>
  <c r="H53" i="5"/>
  <c r="H48" i="5"/>
  <c r="H44" i="5"/>
  <c r="H43" i="5"/>
  <c r="J53" i="5"/>
  <c r="J48" i="5"/>
  <c r="J44" i="5"/>
  <c r="J43" i="5"/>
  <c r="L53" i="5"/>
  <c r="L48" i="5"/>
  <c r="L44" i="5"/>
  <c r="L43" i="5"/>
  <c r="N53" i="5"/>
  <c r="N48" i="5"/>
  <c r="N44" i="5"/>
  <c r="N43" i="5"/>
  <c r="P53" i="5"/>
  <c r="P48" i="5"/>
  <c r="P44" i="5"/>
  <c r="P43" i="5"/>
  <c r="R53" i="5"/>
  <c r="R48" i="5"/>
  <c r="R44" i="5"/>
  <c r="R43" i="5"/>
  <c r="T53" i="5"/>
  <c r="T48" i="5"/>
  <c r="T44" i="5"/>
  <c r="T43" i="5"/>
  <c r="V53" i="5"/>
  <c r="V48" i="5"/>
  <c r="V44" i="5"/>
  <c r="V43" i="5"/>
  <c r="X53" i="5"/>
  <c r="X48" i="5"/>
  <c r="X44" i="5"/>
  <c r="X43" i="5"/>
  <c r="F52" i="5"/>
  <c r="F49" i="5"/>
  <c r="F47" i="5"/>
  <c r="F45" i="5"/>
  <c r="H52" i="5"/>
  <c r="H49" i="5"/>
  <c r="H47" i="5"/>
  <c r="H45" i="5"/>
  <c r="J52" i="5"/>
  <c r="J49" i="5"/>
  <c r="J47" i="5"/>
  <c r="J45" i="5"/>
  <c r="L52" i="5"/>
  <c r="L49" i="5"/>
  <c r="L47" i="5"/>
  <c r="L45" i="5"/>
  <c r="N52" i="5"/>
  <c r="N49" i="5"/>
  <c r="N47" i="5"/>
  <c r="N45" i="5"/>
  <c r="P52" i="5"/>
  <c r="P49" i="5"/>
  <c r="P47" i="5"/>
  <c r="P45" i="5"/>
  <c r="R52" i="5"/>
  <c r="R49" i="5"/>
  <c r="R47" i="5"/>
  <c r="R45" i="5"/>
  <c r="T52" i="5"/>
  <c r="T49" i="5"/>
  <c r="T47" i="5"/>
  <c r="T45" i="5"/>
  <c r="V52" i="5"/>
  <c r="V49" i="5"/>
  <c r="V47" i="5"/>
  <c r="V45" i="5"/>
  <c r="X52" i="5"/>
  <c r="X49" i="5"/>
  <c r="X47" i="5"/>
  <c r="X45" i="5"/>
  <c r="H50" i="5"/>
  <c r="Y50" i="5" s="1"/>
  <c r="H55" i="5"/>
  <c r="H54" i="5"/>
  <c r="H51" i="5"/>
  <c r="H46" i="5"/>
  <c r="H42" i="5"/>
  <c r="F55" i="5"/>
  <c r="F54" i="5"/>
  <c r="F51" i="5"/>
  <c r="F46" i="5"/>
  <c r="F42" i="5"/>
  <c r="J51" i="5"/>
  <c r="J54" i="5"/>
  <c r="J55" i="5"/>
  <c r="J46" i="5"/>
  <c r="J42" i="5"/>
  <c r="L55" i="5"/>
  <c r="L54" i="5"/>
  <c r="L51" i="5"/>
  <c r="L46" i="5"/>
  <c r="L42" i="5"/>
  <c r="N55" i="5"/>
  <c r="N54" i="5"/>
  <c r="N51" i="5"/>
  <c r="N46" i="5"/>
  <c r="N42" i="5"/>
  <c r="P55" i="5"/>
  <c r="P54" i="5"/>
  <c r="P51" i="5"/>
  <c r="P46" i="5"/>
  <c r="P42" i="5"/>
  <c r="R55" i="5"/>
  <c r="R54" i="5"/>
  <c r="R51" i="5"/>
  <c r="R46" i="5"/>
  <c r="R42" i="5"/>
  <c r="T55" i="5"/>
  <c r="T54" i="5"/>
  <c r="T51" i="5"/>
  <c r="T46" i="5"/>
  <c r="T42" i="5"/>
  <c r="V55" i="5"/>
  <c r="V54" i="5"/>
  <c r="V51" i="5"/>
  <c r="V46" i="5"/>
  <c r="V42" i="5"/>
  <c r="X55" i="5"/>
  <c r="X54" i="5"/>
  <c r="X51" i="5"/>
  <c r="X46" i="5"/>
  <c r="X42" i="5"/>
  <c r="F26" i="5"/>
  <c r="F28" i="5"/>
  <c r="F29" i="5"/>
  <c r="F31" i="5"/>
  <c r="F35" i="5"/>
  <c r="F36" i="5"/>
  <c r="F37" i="5"/>
  <c r="F38" i="5"/>
  <c r="F39" i="5"/>
  <c r="F40" i="5"/>
  <c r="H26" i="5"/>
  <c r="H28" i="5"/>
  <c r="H29" i="5"/>
  <c r="H31" i="5"/>
  <c r="H35" i="5"/>
  <c r="H36" i="5"/>
  <c r="H37" i="5"/>
  <c r="H38" i="5"/>
  <c r="H39" i="5"/>
  <c r="H40" i="5"/>
  <c r="J26" i="5"/>
  <c r="J28" i="5"/>
  <c r="J29" i="5"/>
  <c r="J31" i="5"/>
  <c r="J35" i="5"/>
  <c r="J36" i="5"/>
  <c r="J37" i="5"/>
  <c r="J38" i="5"/>
  <c r="J39" i="5"/>
  <c r="J40" i="5"/>
  <c r="L26" i="5"/>
  <c r="L28" i="5"/>
  <c r="L29" i="5"/>
  <c r="L31" i="5"/>
  <c r="L35" i="5"/>
  <c r="L36" i="5"/>
  <c r="L37" i="5"/>
  <c r="L38" i="5"/>
  <c r="L39" i="5"/>
  <c r="L40" i="5"/>
  <c r="N26" i="5"/>
  <c r="N28" i="5"/>
  <c r="N29" i="5"/>
  <c r="N31" i="5"/>
  <c r="N35" i="5"/>
  <c r="N36" i="5"/>
  <c r="N37" i="5"/>
  <c r="N38" i="5"/>
  <c r="N39" i="5"/>
  <c r="N40" i="5"/>
  <c r="P26" i="5"/>
  <c r="P28" i="5"/>
  <c r="P29" i="5"/>
  <c r="P31" i="5"/>
  <c r="P35" i="5"/>
  <c r="P36" i="5"/>
  <c r="P37" i="5"/>
  <c r="P38" i="5"/>
  <c r="P39" i="5"/>
  <c r="P40" i="5"/>
  <c r="R26" i="5"/>
  <c r="R28" i="5"/>
  <c r="R29" i="5"/>
  <c r="R31" i="5"/>
  <c r="R35" i="5"/>
  <c r="R36" i="5"/>
  <c r="R37" i="5"/>
  <c r="R38" i="5"/>
  <c r="R39" i="5"/>
  <c r="R40" i="5"/>
  <c r="V26" i="5"/>
  <c r="V28" i="5"/>
  <c r="V29" i="5"/>
  <c r="V31" i="5"/>
  <c r="V35" i="5"/>
  <c r="V36" i="5"/>
  <c r="V37" i="5"/>
  <c r="V38" i="5"/>
  <c r="V39" i="5"/>
  <c r="V40" i="5"/>
  <c r="X26" i="5"/>
  <c r="X28" i="5"/>
  <c r="X29" i="5"/>
  <c r="X31" i="5"/>
  <c r="X35" i="5"/>
  <c r="X36" i="5"/>
  <c r="X37" i="5"/>
  <c r="X38" i="5"/>
  <c r="X39" i="5"/>
  <c r="X40" i="5"/>
  <c r="J30" i="5"/>
  <c r="F32" i="5"/>
  <c r="F33" i="5"/>
  <c r="F34" i="5"/>
  <c r="H32" i="5"/>
  <c r="H33" i="5"/>
  <c r="H34" i="5"/>
  <c r="L32" i="5"/>
  <c r="L33" i="5"/>
  <c r="L34" i="5"/>
  <c r="N32" i="5"/>
  <c r="N33" i="5"/>
  <c r="N34" i="5"/>
  <c r="P32" i="5"/>
  <c r="P33" i="5"/>
  <c r="P34" i="5"/>
  <c r="R32" i="5"/>
  <c r="R33" i="5"/>
  <c r="R34" i="5"/>
  <c r="V32" i="5"/>
  <c r="V33" i="5"/>
  <c r="V34" i="5"/>
  <c r="X32" i="5"/>
  <c r="X33" i="5"/>
  <c r="X34" i="5"/>
  <c r="AB25" i="5"/>
  <c r="AA41" i="5"/>
  <c r="D111" i="7"/>
  <c r="D110" i="7"/>
  <c r="D109" i="7"/>
  <c r="D116" i="7" s="1"/>
  <c r="D133" i="7" s="1"/>
  <c r="D138" i="7" s="1"/>
  <c r="D108" i="7"/>
  <c r="D107" i="7"/>
  <c r="D106" i="7"/>
  <c r="D115" i="7" s="1"/>
  <c r="D132" i="7" s="1"/>
  <c r="D137" i="7" s="1"/>
  <c r="D105" i="7"/>
  <c r="D104" i="7"/>
  <c r="D103" i="7"/>
  <c r="D114" i="7" s="1"/>
  <c r="D131" i="7" s="1"/>
  <c r="D136" i="7" s="1"/>
  <c r="D102" i="7"/>
  <c r="D101" i="7"/>
  <c r="D100" i="7"/>
  <c r="D113" i="7" s="1"/>
  <c r="D130" i="7" s="1"/>
  <c r="D135" i="7" s="1"/>
  <c r="D99" i="7"/>
  <c r="D98" i="7"/>
  <c r="D97" i="7"/>
  <c r="D112" i="7" s="1"/>
  <c r="D129" i="7" s="1"/>
  <c r="D134" i="7" s="1"/>
  <c r="C111" i="7"/>
  <c r="C110" i="7"/>
  <c r="C109" i="7"/>
  <c r="C116" i="7" s="1"/>
  <c r="C133" i="7" s="1"/>
  <c r="C138" i="7" s="1"/>
  <c r="K186" i="7" s="1"/>
  <c r="L186" i="7" s="1"/>
  <c r="C108" i="7"/>
  <c r="C107" i="7"/>
  <c r="C106" i="7"/>
  <c r="C115" i="7" s="1"/>
  <c r="C132" i="7" s="1"/>
  <c r="C137" i="7" s="1"/>
  <c r="I177" i="7" s="1"/>
  <c r="J177" i="7" s="1"/>
  <c r="C105" i="7"/>
  <c r="C104" i="7"/>
  <c r="C103" i="7"/>
  <c r="C114" i="7" s="1"/>
  <c r="C131" i="7" s="1"/>
  <c r="C136" i="7" s="1"/>
  <c r="G186" i="7" s="1"/>
  <c r="H186" i="7" s="1"/>
  <c r="C102" i="7"/>
  <c r="C101" i="7"/>
  <c r="C100" i="7"/>
  <c r="C113" i="7" s="1"/>
  <c r="C130" i="7" s="1"/>
  <c r="C135" i="7" s="1"/>
  <c r="E165" i="7" s="1"/>
  <c r="C99" i="7"/>
  <c r="C98" i="7"/>
  <c r="C97" i="7"/>
  <c r="C112" i="7" s="1"/>
  <c r="C129" i="7" s="1"/>
  <c r="C134" i="7" s="1"/>
  <c r="C186" i="7" s="1"/>
  <c r="D186" i="7" s="1"/>
  <c r="D184" i="7"/>
  <c r="D190" i="7"/>
  <c r="D187" i="7"/>
  <c r="D172" i="7"/>
  <c r="D160" i="7"/>
  <c r="H184" i="7"/>
  <c r="H190" i="7"/>
  <c r="G187" i="7"/>
  <c r="H187" i="7" s="1"/>
  <c r="G178" i="7"/>
  <c r="H178" i="7" s="1"/>
  <c r="G175" i="7"/>
  <c r="H175" i="7" s="1"/>
  <c r="G172" i="7"/>
  <c r="H172" i="7" s="1"/>
  <c r="G166" i="7"/>
  <c r="H166" i="7" s="1"/>
  <c r="H160" i="7"/>
  <c r="J184" i="7"/>
  <c r="J190" i="7"/>
  <c r="J187" i="7"/>
  <c r="J178" i="7"/>
  <c r="J175" i="7"/>
  <c r="J172" i="7"/>
  <c r="J160" i="7"/>
  <c r="L184" i="7"/>
  <c r="L190" i="7"/>
  <c r="L187" i="7"/>
  <c r="L178" i="7"/>
  <c r="L175" i="7"/>
  <c r="L172" i="7"/>
  <c r="L166" i="7"/>
  <c r="L160" i="7"/>
  <c r="D183" i="7"/>
  <c r="H183" i="7"/>
  <c r="J183" i="7"/>
  <c r="I189" i="7"/>
  <c r="J189" i="7" s="1"/>
  <c r="L183" i="7"/>
  <c r="D154" i="7"/>
  <c r="G154" i="7"/>
  <c r="H154" i="7" s="1"/>
  <c r="H148" i="7"/>
  <c r="J154" i="7"/>
  <c r="J148" i="7"/>
  <c r="L154" i="7"/>
  <c r="L148" i="7"/>
  <c r="I165" i="7" l="1"/>
  <c r="J165" i="7" s="1"/>
  <c r="C143" i="7"/>
  <c r="AA22" i="5" s="1"/>
  <c r="I147" i="7"/>
  <c r="J147" i="7" s="1"/>
  <c r="J149" i="7" s="1"/>
  <c r="I171" i="7"/>
  <c r="J171" i="7" s="1"/>
  <c r="I153" i="7"/>
  <c r="J153" i="7" s="1"/>
  <c r="J155" i="7" s="1"/>
  <c r="K177" i="7"/>
  <c r="L177" i="7" s="1"/>
  <c r="I186" i="7"/>
  <c r="J186" i="7" s="1"/>
  <c r="H188" i="7"/>
  <c r="V20" i="5" s="1"/>
  <c r="K147" i="7"/>
  <c r="L147" i="7" s="1"/>
  <c r="L149" i="7" s="1"/>
  <c r="F22" i="5" s="1"/>
  <c r="K189" i="7"/>
  <c r="L189" i="7" s="1"/>
  <c r="C171" i="7"/>
  <c r="D171" i="7" s="1"/>
  <c r="K153" i="7"/>
  <c r="L153" i="7" s="1"/>
  <c r="L155" i="7" s="1"/>
  <c r="H22" i="5" s="1"/>
  <c r="C153" i="7"/>
  <c r="D153" i="7" s="1"/>
  <c r="D155" i="7" s="1"/>
  <c r="K159" i="7"/>
  <c r="L159" i="7" s="1"/>
  <c r="I174" i="7"/>
  <c r="J174" i="7" s="1"/>
  <c r="C189" i="7"/>
  <c r="D189" i="7" s="1"/>
  <c r="C142" i="7"/>
  <c r="AA9" i="5" s="1"/>
  <c r="K171" i="7"/>
  <c r="L171" i="7" s="1"/>
  <c r="I159" i="7"/>
  <c r="J159" i="7" s="1"/>
  <c r="J161" i="7" s="1"/>
  <c r="G189" i="7"/>
  <c r="H189" i="7" s="1"/>
  <c r="G147" i="7"/>
  <c r="H147" i="7" s="1"/>
  <c r="C147" i="7"/>
  <c r="K174" i="7"/>
  <c r="L174" i="7" s="1"/>
  <c r="G171" i="7"/>
  <c r="H171" i="7" s="1"/>
  <c r="C174" i="7"/>
  <c r="D174" i="7" s="1"/>
  <c r="G153" i="7"/>
  <c r="H153" i="7" s="1"/>
  <c r="H155" i="7" s="1"/>
  <c r="G159" i="7"/>
  <c r="H159" i="7" s="1"/>
  <c r="H161" i="7" s="1"/>
  <c r="G174" i="7"/>
  <c r="H174" i="7" s="1"/>
  <c r="C140" i="7"/>
  <c r="G177" i="7"/>
  <c r="H177" i="7" s="1"/>
  <c r="C159" i="7"/>
  <c r="D159" i="7" s="1"/>
  <c r="D161" i="7" s="1"/>
  <c r="C177" i="7"/>
  <c r="D177" i="7" s="1"/>
  <c r="C141" i="7"/>
  <c r="AA10" i="5" s="1"/>
  <c r="C139" i="7"/>
  <c r="AA24" i="5" s="1"/>
  <c r="K165" i="7"/>
  <c r="L165" i="7" s="1"/>
  <c r="L167" i="7" s="1"/>
  <c r="L22" i="5" s="1"/>
  <c r="G165" i="7"/>
  <c r="H165" i="7" s="1"/>
  <c r="H167" i="7" s="1"/>
  <c r="C165" i="7"/>
  <c r="D165" i="7" s="1"/>
  <c r="F165" i="7"/>
  <c r="F167" i="7" s="1"/>
  <c r="Y46" i="5"/>
  <c r="Y51" i="5"/>
  <c r="Y54" i="5"/>
  <c r="Y55" i="5"/>
  <c r="Y45" i="5"/>
  <c r="Y47" i="5"/>
  <c r="Y49" i="5"/>
  <c r="Y52" i="5"/>
  <c r="Y43" i="5"/>
  <c r="Y44" i="5"/>
  <c r="Y48" i="5"/>
  <c r="Y53" i="5"/>
  <c r="AA20" i="5"/>
  <c r="V21" i="5"/>
  <c r="V17" i="5"/>
  <c r="V11" i="5"/>
  <c r="D175" i="7"/>
  <c r="D178" i="7"/>
  <c r="AA56" i="5"/>
  <c r="E41" i="5"/>
  <c r="E147" i="7"/>
  <c r="F147" i="7" s="1"/>
  <c r="F149" i="7" s="1"/>
  <c r="E153" i="7"/>
  <c r="F153" i="7" s="1"/>
  <c r="F155" i="7" s="1"/>
  <c r="E159" i="7"/>
  <c r="F159" i="7" s="1"/>
  <c r="F161" i="7" s="1"/>
  <c r="E171" i="7"/>
  <c r="F171" i="7" s="1"/>
  <c r="F173" i="7" s="1"/>
  <c r="E174" i="7"/>
  <c r="F174" i="7" s="1"/>
  <c r="F176" i="7" s="1"/>
  <c r="E177" i="7"/>
  <c r="F177" i="7" s="1"/>
  <c r="F179" i="7" s="1"/>
  <c r="F183" i="7"/>
  <c r="E186" i="7"/>
  <c r="F186" i="7" s="1"/>
  <c r="F188" i="7" s="1"/>
  <c r="E189" i="7"/>
  <c r="F189" i="7" s="1"/>
  <c r="H149" i="7"/>
  <c r="L161" i="7"/>
  <c r="J22" i="5" s="1"/>
  <c r="D147" i="7"/>
  <c r="D166" i="7"/>
  <c r="D148" i="7"/>
  <c r="AA12" i="5" l="1"/>
  <c r="AA7" i="5"/>
  <c r="AA15" i="5"/>
  <c r="AA16" i="5"/>
  <c r="AA8" i="5"/>
  <c r="V6" i="5"/>
  <c r="V13" i="5"/>
  <c r="V18" i="5"/>
  <c r="V23" i="5"/>
  <c r="V8" i="5"/>
  <c r="V14" i="5"/>
  <c r="V19" i="5"/>
  <c r="V10" i="5"/>
  <c r="V16" i="5"/>
  <c r="AA11" i="5"/>
  <c r="AA17" i="5"/>
  <c r="AA21" i="5"/>
  <c r="AA13" i="5"/>
  <c r="AA18" i="5"/>
  <c r="AA23" i="5"/>
  <c r="D167" i="7"/>
  <c r="L24" i="5" s="1"/>
  <c r="AA6" i="5"/>
  <c r="AA14" i="5"/>
  <c r="AA19" i="5"/>
  <c r="J24" i="5"/>
  <c r="J12" i="5"/>
  <c r="L23" i="5"/>
  <c r="L21" i="5"/>
  <c r="L20" i="5"/>
  <c r="L19" i="5"/>
  <c r="L18" i="5"/>
  <c r="L17" i="5"/>
  <c r="L16" i="5"/>
  <c r="L14" i="5"/>
  <c r="L13" i="5"/>
  <c r="L11" i="5"/>
  <c r="L10" i="5"/>
  <c r="L8" i="5"/>
  <c r="L6" i="5"/>
  <c r="H24" i="5"/>
  <c r="H12" i="5"/>
  <c r="H23" i="5"/>
  <c r="H21" i="5"/>
  <c r="H20" i="5"/>
  <c r="H19" i="5"/>
  <c r="H18" i="5"/>
  <c r="H17" i="5"/>
  <c r="H16" i="5"/>
  <c r="H14" i="5"/>
  <c r="H13" i="5"/>
  <c r="H11" i="5"/>
  <c r="H10" i="5"/>
  <c r="H8" i="5"/>
  <c r="H6" i="5"/>
  <c r="F23" i="5"/>
  <c r="F21" i="5"/>
  <c r="F20" i="5"/>
  <c r="F19" i="5"/>
  <c r="F18" i="5"/>
  <c r="F17" i="5"/>
  <c r="F16" i="5"/>
  <c r="F14" i="5"/>
  <c r="F13" i="5"/>
  <c r="F11" i="5"/>
  <c r="F10" i="5"/>
  <c r="F8" i="5"/>
  <c r="F6" i="5"/>
  <c r="H9" i="5"/>
  <c r="H15" i="5"/>
  <c r="H7" i="5"/>
  <c r="F15" i="5"/>
  <c r="F9" i="5"/>
  <c r="F7" i="5"/>
  <c r="J23" i="5"/>
  <c r="J21" i="5"/>
  <c r="J20" i="5"/>
  <c r="J19" i="5"/>
  <c r="J18" i="5"/>
  <c r="J17" i="5"/>
  <c r="J16" i="5"/>
  <c r="J14" i="5"/>
  <c r="J13" i="5"/>
  <c r="J11" i="5"/>
  <c r="J10" i="5"/>
  <c r="J8" i="5"/>
  <c r="J6" i="5"/>
  <c r="J15" i="5"/>
  <c r="J9" i="5"/>
  <c r="J7" i="5"/>
  <c r="F191" i="7"/>
  <c r="F185" i="7"/>
  <c r="Y42" i="5"/>
  <c r="Y56" i="5" s="1"/>
  <c r="D185" i="7"/>
  <c r="D191" i="7"/>
  <c r="D188" i="7"/>
  <c r="D179" i="7"/>
  <c r="D176" i="7"/>
  <c r="D173" i="7"/>
  <c r="D149" i="7"/>
  <c r="J166" i="7"/>
  <c r="J167" i="7" s="1"/>
  <c r="AA25" i="5" l="1"/>
  <c r="L12" i="5"/>
  <c r="X24" i="5"/>
  <c r="X12" i="5"/>
  <c r="L15" i="5"/>
  <c r="L9" i="5"/>
  <c r="L7" i="5"/>
  <c r="F24" i="5"/>
  <c r="F12" i="5"/>
  <c r="N24" i="5"/>
  <c r="N12" i="5"/>
  <c r="P24" i="5"/>
  <c r="P12" i="5"/>
  <c r="R24" i="5"/>
  <c r="R12" i="5"/>
  <c r="V24" i="5"/>
  <c r="V12" i="5"/>
  <c r="T24" i="5"/>
  <c r="T12" i="5"/>
  <c r="H185" i="7"/>
  <c r="H191" i="7"/>
  <c r="H179" i="7"/>
  <c r="H176" i="7"/>
  <c r="H173" i="7"/>
  <c r="X6" i="5" l="1"/>
  <c r="X8" i="5"/>
  <c r="X10" i="5"/>
  <c r="X11" i="5"/>
  <c r="X13" i="5"/>
  <c r="X14" i="5"/>
  <c r="X16" i="5"/>
  <c r="X17" i="5"/>
  <c r="X18" i="5"/>
  <c r="X19" i="5"/>
  <c r="X20" i="5"/>
  <c r="X21" i="5"/>
  <c r="X23" i="5"/>
  <c r="N10" i="5"/>
  <c r="N23" i="5"/>
  <c r="N21" i="5"/>
  <c r="N20" i="5"/>
  <c r="N19" i="5"/>
  <c r="N18" i="5"/>
  <c r="N17" i="5"/>
  <c r="N16" i="5"/>
  <c r="N14" i="5"/>
  <c r="N13" i="5"/>
  <c r="N11" i="5"/>
  <c r="N8" i="5"/>
  <c r="N6" i="5"/>
  <c r="P23" i="5"/>
  <c r="P21" i="5"/>
  <c r="P20" i="5"/>
  <c r="P19" i="5"/>
  <c r="P18" i="5"/>
  <c r="P17" i="5"/>
  <c r="P16" i="5"/>
  <c r="P14" i="5"/>
  <c r="P13" i="5"/>
  <c r="P11" i="5"/>
  <c r="P10" i="5"/>
  <c r="P8" i="5"/>
  <c r="P6" i="5"/>
  <c r="R23" i="5"/>
  <c r="R21" i="5"/>
  <c r="R20" i="5"/>
  <c r="R19" i="5"/>
  <c r="R18" i="5"/>
  <c r="R17" i="5"/>
  <c r="R16" i="5"/>
  <c r="R14" i="5"/>
  <c r="R13" i="5"/>
  <c r="R11" i="5"/>
  <c r="R10" i="5"/>
  <c r="R8" i="5"/>
  <c r="R6" i="5"/>
  <c r="T23" i="5"/>
  <c r="T21" i="5"/>
  <c r="T20" i="5"/>
  <c r="T19" i="5"/>
  <c r="T18" i="5"/>
  <c r="T17" i="5"/>
  <c r="T16" i="5"/>
  <c r="T14" i="5"/>
  <c r="T13" i="5"/>
  <c r="T11" i="5"/>
  <c r="T10" i="5"/>
  <c r="T8" i="5"/>
  <c r="T6" i="5"/>
  <c r="Y12" i="5"/>
  <c r="Y24" i="5"/>
  <c r="J185" i="7"/>
  <c r="L185" i="7"/>
  <c r="T22" i="5" s="1"/>
  <c r="J191" i="7"/>
  <c r="L191" i="7"/>
  <c r="X22" i="5" s="1"/>
  <c r="J188" i="7"/>
  <c r="L188" i="7"/>
  <c r="V22" i="5" s="1"/>
  <c r="J179" i="7"/>
  <c r="L179" i="7"/>
  <c r="R22" i="5" s="1"/>
  <c r="J176" i="7"/>
  <c r="L176" i="7"/>
  <c r="P22" i="5" s="1"/>
  <c r="J173" i="7"/>
  <c r="L173" i="7"/>
  <c r="N22" i="5" s="1"/>
  <c r="Y6" i="5" l="1"/>
  <c r="Y22" i="5"/>
  <c r="X7" i="5"/>
  <c r="X9" i="5"/>
  <c r="X15" i="5"/>
  <c r="N15" i="5"/>
  <c r="N9" i="5"/>
  <c r="N7" i="5"/>
  <c r="P15" i="5"/>
  <c r="P9" i="5"/>
  <c r="P7" i="5"/>
  <c r="R15" i="5"/>
  <c r="R9" i="5"/>
  <c r="R7" i="5"/>
  <c r="V15" i="5"/>
  <c r="V9" i="5"/>
  <c r="V7" i="5"/>
  <c r="T15" i="5"/>
  <c r="T9" i="5"/>
  <c r="T7" i="5"/>
  <c r="Y8" i="5"/>
  <c r="Y11" i="5"/>
  <c r="Y13" i="5"/>
  <c r="Y14" i="5"/>
  <c r="Y16" i="5"/>
  <c r="Y17" i="5"/>
  <c r="Y18" i="5"/>
  <c r="Y19" i="5"/>
  <c r="Y20" i="5"/>
  <c r="Y21" i="5"/>
  <c r="Y23" i="5"/>
  <c r="Y10" i="5"/>
  <c r="Y7" i="5" l="1"/>
  <c r="Y9" i="5"/>
  <c r="Y15" i="5"/>
  <c r="Y25" i="5" l="1"/>
  <c r="F91" i="13"/>
  <c r="F95" i="13" l="1"/>
  <c r="F127" i="13"/>
  <c r="F128" i="13" s="1"/>
  <c r="F96" i="13" l="1"/>
  <c r="F97" i="13" s="1"/>
  <c r="F100" i="13"/>
  <c r="F104" i="13"/>
  <c r="F108" i="13"/>
  <c r="F107" i="13" l="1"/>
  <c r="F103" i="13"/>
  <c r="F99" i="13"/>
  <c r="F106" i="13"/>
  <c r="F115" i="13" s="1"/>
  <c r="F132" i="13" s="1"/>
  <c r="F137" i="13" s="1"/>
  <c r="I183" i="13" s="1"/>
  <c r="J183" i="13" s="1"/>
  <c r="J185" i="13" s="1"/>
  <c r="T30" i="5" s="1"/>
  <c r="Y30" i="5" s="1"/>
  <c r="F102" i="13"/>
  <c r="F98" i="13"/>
  <c r="F105" i="13"/>
  <c r="F101" i="13"/>
  <c r="F109" i="13"/>
  <c r="F116" i="13" s="1"/>
  <c r="F133" i="13" s="1"/>
  <c r="F138" i="13" s="1"/>
  <c r="K183" i="13" s="1"/>
  <c r="L183" i="13" s="1"/>
  <c r="L185" i="13" s="1"/>
  <c r="F110" i="13"/>
  <c r="F111" i="13"/>
  <c r="F112" i="13"/>
  <c r="F129" i="13" s="1"/>
  <c r="F134" i="13" s="1"/>
  <c r="C183" i="13" s="1"/>
  <c r="D183" i="13" s="1"/>
  <c r="D185" i="13" s="1"/>
  <c r="F113" i="13"/>
  <c r="F130" i="13" s="1"/>
  <c r="F135" i="13" s="1"/>
  <c r="E183" i="13" s="1"/>
  <c r="F183" i="13" s="1"/>
  <c r="F185" i="13" s="1"/>
  <c r="T27" i="5" s="1"/>
  <c r="Y27" i="5" s="1"/>
  <c r="F114" i="13"/>
  <c r="F131" i="13" s="1"/>
  <c r="F136" i="13" s="1"/>
  <c r="G183" i="13" s="1"/>
  <c r="H183" i="13" s="1"/>
  <c r="H185" i="13" s="1"/>
  <c r="T26" i="5" l="1"/>
  <c r="T28" i="5"/>
  <c r="Y28" i="5" s="1"/>
  <c r="T29" i="5"/>
  <c r="Y29" i="5" s="1"/>
  <c r="T31" i="5"/>
  <c r="Y31" i="5" s="1"/>
  <c r="T35" i="5"/>
  <c r="Y35" i="5" s="1"/>
  <c r="T36" i="5"/>
  <c r="Y36" i="5" s="1"/>
  <c r="T37" i="5"/>
  <c r="Y37" i="5" s="1"/>
  <c r="T38" i="5"/>
  <c r="Y38" i="5" s="1"/>
  <c r="T39" i="5"/>
  <c r="Y39" i="5" s="1"/>
  <c r="T40" i="5"/>
  <c r="Y40" i="5" s="1"/>
  <c r="T32" i="5"/>
  <c r="Y32" i="5" s="1"/>
  <c r="T33" i="5"/>
  <c r="Y33" i="5" s="1"/>
  <c r="T34" i="5"/>
  <c r="Y34" i="5" s="1"/>
  <c r="Y26" i="5" l="1"/>
  <c r="Y41" i="5" s="1"/>
  <c r="AC60" i="5" l="1"/>
  <c r="AC61" i="5" s="1"/>
</calcChain>
</file>

<file path=xl/sharedStrings.xml><?xml version="1.0" encoding="utf-8"?>
<sst xmlns="http://schemas.openxmlformats.org/spreadsheetml/2006/main" count="2541" uniqueCount="613">
  <si>
    <t>MEMÓRIA DE CÁLCULO</t>
  </si>
  <si>
    <t>Premissas Utilizadas</t>
  </si>
  <si>
    <t>Quantidade média de dias úteis no mês</t>
  </si>
  <si>
    <t>Quantidade de dias no mês</t>
  </si>
  <si>
    <t>Módulo 1</t>
  </si>
  <si>
    <t>Salário Normativo</t>
  </si>
  <si>
    <t>CCT</t>
  </si>
  <si>
    <t>Data Base</t>
  </si>
  <si>
    <t>CBO</t>
  </si>
  <si>
    <t xml:space="preserve">Valor da diária do carregador </t>
  </si>
  <si>
    <t>PR000321/2022</t>
  </si>
  <si>
    <t>5143-20</t>
  </si>
  <si>
    <t>Valor baseado em Pesquisa de Preços anexa ao Processo</t>
  </si>
  <si>
    <t>Carga horária semanal</t>
  </si>
  <si>
    <t>Salário Base (Cl. 3ª 01)</t>
  </si>
  <si>
    <t>Encarregado acima de 20 empregados (Cl. 3ª 03 c)</t>
  </si>
  <si>
    <t>Adicional de risco limpeza de vidros e fachadas de risco ( Cl.11º)</t>
  </si>
  <si>
    <t>módulo 2</t>
  </si>
  <si>
    <t>Módulo 2.3</t>
  </si>
  <si>
    <t>custo empregado</t>
  </si>
  <si>
    <t>custo da empresa</t>
  </si>
  <si>
    <t>Auxílio alimentação 44h  ( Cl.13ª)</t>
  </si>
  <si>
    <t>Auxílio alimentação 30h  ( Cl.13ª)</t>
  </si>
  <si>
    <t>Auxílio transporte  ( Cl.14ª)</t>
  </si>
  <si>
    <t>Prêmio Assiduidade  ( Cl.)</t>
  </si>
  <si>
    <t>Assistência ao Trabalhador  ( Cl.)</t>
  </si>
  <si>
    <t>Ajuda de Custo  limpeza de vidros e fachadas de risco  ( Cl.12º)</t>
  </si>
  <si>
    <t>Benefício assistência médica  ( Cl.15ª)</t>
  </si>
  <si>
    <t>Benefício social familiar  ( Cl.16ª)</t>
  </si>
  <si>
    <t>Módulo 3</t>
  </si>
  <si>
    <t>3.1 -A - Aviso Prévio Indenizado:  Fórmula do Percentual: 1/12 x 5% = 0,42%; Fórmula: Total da Remuneração x 0,42%</t>
  </si>
  <si>
    <t>→ Proporção estimada dos empregados demitidos com Aviso Prévio Indenizado, no primeiro período de 12 meses, durante a vigência do contrato: 5%.</t>
  </si>
  <si>
    <t>C - Multa do FGTS sobre Aviso Prévio Indenizado -</t>
  </si>
  <si>
    <t>(Considerando que a multa do FGTS  incide uma única vez sobre a totalidade dos meses de contrato, independentemente da espécie de Aviso Prévio  - trabalhado ou indenizado -,  zeramos essa rubrica e aportamos na sua totalidade na alínea “f” deste mesmo módulo.)</t>
  </si>
  <si>
    <t>D - Aviso Prévio Trabalhado: Fórmula do Percentual: 1 / 30 dias x 7 dias / 12 meses = 1,94%; Fórmula: Total da Remuneração x 1,</t>
  </si>
  <si>
    <t>→ Foi considerado que 100% dos empregados seriam demitidos com Aviso Prévio Trabalhado ao final do contrato.</t>
  </si>
  <si>
    <t>(Esta parcela e seus reflexos  deverão ser reduzidos após o primeiro ano da contratação para o percentual máximo de 0,194% e, 0,072%, respectivamente: Acórdão 1.186/2017-P).</t>
  </si>
  <si>
    <t>OBS: Nas prorrogações deverá constar da planilha de custos somente a previsão da extensão do aviso prévio, consoante disposto na Lei nº 12.506/2011, de 03 dias a mais por ano trabalhado, até o limite máximo de 42 dias, haja vista que os contratos poderão ser prorrogados até 60 meses.</t>
  </si>
  <si>
    <t>F - Multa FGTS e contribuição social - Fórmula do Percentual: Alíquota do FGTS (8%) x Multa do FGTS (40%) x 90% x (1 + 1/12 + 1/12 + 1/3 x 1/12) = 3,44% ; Fórmula: (Total da Remuneração) x 3,44%</t>
  </si>
  <si>
    <t>→ Foi considerado que 10% dos empregados pedem as contas.</t>
  </si>
  <si>
    <t>Módulo 4</t>
  </si>
  <si>
    <t>4.1 - Substituto nas Ausências Legais</t>
  </si>
  <si>
    <t>A - Substituto na cobertura de Férias</t>
  </si>
  <si>
    <t>Provisão para as despesas com o pagamento do substituto do empregado residente, quando este se ausentar em razões de suas férias - Fórmula do Percentual: 1/12 = 8,33% ; Fórmula: (MÓDULO 1 + 2 + 3) x 8,33%</t>
  </si>
  <si>
    <t>B – Subs. cobertura de Ausências Legais</t>
  </si>
  <si>
    <t>Provisão para cobertura das despesas eventuais com outras faltas legais (justificadas ou abonadas por lei) - Fórmula do Percentual: Média de ausências por ano * (4,874) / dias do mês (30) / doze meses = 1,3538%;    Fórmula: (MÓDULO 1 + 2 + 3) x 1,3538%</t>
  </si>
  <si>
    <t>Ausência justificada</t>
  </si>
  <si>
    <t>Afastamento por doença</t>
  </si>
  <si>
    <t>* Fonte: Caderno técnico de Limpeza 2019 - Paraná - SEGES/ME</t>
  </si>
  <si>
    <t>Consulta médica filho</t>
  </si>
  <si>
    <t>Óbitos na família</t>
  </si>
  <si>
    <t>Casamento</t>
  </si>
  <si>
    <t>Doação de sangue</t>
  </si>
  <si>
    <t>Testemunho</t>
  </si>
  <si>
    <t>Consulta pré-natal</t>
  </si>
  <si>
    <t>TOTAL</t>
  </si>
  <si>
    <t>C - Subst. cobertura de Licença Parternidade</t>
  </si>
  <si>
    <t>Fórmula do Percentual: 5 dias de licença (5 / 30) / 12 meses x percentual estatístico* x percentual de empregados do sexo masculino** ;    Fórmula: (MÓDULO 1 + 2 + 3) x 0,02%</t>
  </si>
  <si>
    <t xml:space="preserve">*Expectativa anual de nascimento de filhos dos trabalhadores (IBGE – Manual de Preenchimento da Planilha de Custos): </t>
  </si>
  <si>
    <t>**Percentual de Homens: Limpeza 51,67%</t>
  </si>
  <si>
    <t>D - Subst.  cobertura de Ausências por acidente de trabalho</t>
  </si>
  <si>
    <t>Lei  8.213/91 obriga o empregador a assumir o ônus financeiro pelo prazo de 15 dias, no caso de acidente de trabalho previsto no art. 131 da CLT. Fórmula do Percentual: 0,9659 * dias / 30 dias do mês / 12 meses = 0,2681% ; Fórmula: (MÓDULO 1 + 2 + 3) x 0,2681%</t>
  </si>
  <si>
    <t>* Média de faltas anuais por acidente de trabalho( dias)</t>
  </si>
  <si>
    <t>4.3 - Afastamento Maternidade</t>
  </si>
  <si>
    <t>A - Afastamento Maternidade</t>
  </si>
  <si>
    <t>Fórmula do Percentual: (Dias licença: 120 / Dias no mês: 30 ) x Percentual de Mulheres* x Expectativa mensal de Afastamento Maternidade**;  Fórmula: (13° Salário + Férias + Adicional Férias + Submódulo 2.2 + Benefícios Mensais excluídos vale transporte e vale refeição) x Percentual Encontrado</t>
  </si>
  <si>
    <t xml:space="preserve">*Percentual de Mulheres Limpeza </t>
  </si>
  <si>
    <t>**Expectativa mensal Afastamento Maternidade (Censo IBGE)</t>
  </si>
  <si>
    <t>Módulo 6</t>
  </si>
  <si>
    <t>A - Custos Indiretos</t>
  </si>
  <si>
    <t>B - Lucro</t>
  </si>
  <si>
    <t>Vale Transporte e ISS</t>
  </si>
  <si>
    <t>Unidade Orgânica GEX Cascavel/PR</t>
  </si>
  <si>
    <t>ISS</t>
  </si>
  <si>
    <t>VT</t>
  </si>
  <si>
    <t>Serventes</t>
  </si>
  <si>
    <t>VT*Servente</t>
  </si>
  <si>
    <t>Unidade Orgânica GEX Londrina/PR</t>
  </si>
  <si>
    <t>GERÊNCIA EXECUTIVA CASCAVEL</t>
  </si>
  <si>
    <t>GERÊNCIA EXECUTIVA LONDRINA</t>
  </si>
  <si>
    <t>APS ASSIS CHATEAUBRIAND</t>
  </si>
  <si>
    <t>APS APUCARANA</t>
  </si>
  <si>
    <t>APS CASCAVEL</t>
  </si>
  <si>
    <t>APS CORNÉLIO PROCÓPIO</t>
  </si>
  <si>
    <t xml:space="preserve"> APS FOZ DO IGUAÇU </t>
  </si>
  <si>
    <t>APS ARAPONGAS</t>
  </si>
  <si>
    <t>APS FRANCISCO BELTRÃO</t>
  </si>
  <si>
    <t>APS IVAIPORÃ</t>
  </si>
  <si>
    <t>-</t>
  </si>
  <si>
    <t>APS MEDIANEIRA</t>
  </si>
  <si>
    <t>APS JACAREZINHO</t>
  </si>
  <si>
    <t>APS PATO BRANCO</t>
  </si>
  <si>
    <t>APS ANDIRÁ</t>
  </si>
  <si>
    <t>APS REALEZA</t>
  </si>
  <si>
    <t xml:space="preserve">- </t>
  </si>
  <si>
    <t>CAMBARÁ</t>
  </si>
  <si>
    <t>APS TOLEDO</t>
  </si>
  <si>
    <t>SANTO ANTÔNIO DA PLATINA</t>
  </si>
  <si>
    <t>APS GUAÍRA</t>
  </si>
  <si>
    <t>APS LONDRINA - CENTRO</t>
  </si>
  <si>
    <t>APS MANGUEIRINHA</t>
  </si>
  <si>
    <t>APS LONDRINA - SHANGRILÁ</t>
  </si>
  <si>
    <t xml:space="preserve">APS MARECHAL CÂNDIDO RONDON </t>
  </si>
  <si>
    <t>APS ROLÂNDIA</t>
  </si>
  <si>
    <t>APS PALMAS</t>
  </si>
  <si>
    <t>APS BANDEIRANTES/PR</t>
  </si>
  <si>
    <t>APS SANTO ANTONIO DO SUDOESTE</t>
  </si>
  <si>
    <t>APS CAMBÉ</t>
  </si>
  <si>
    <t xml:space="preserve"> APS DOIS VIZINHOS</t>
  </si>
  <si>
    <t>LONDRINA ADJ</t>
  </si>
  <si>
    <t>APS PALOTINA</t>
  </si>
  <si>
    <t>Média Simples VT</t>
  </si>
  <si>
    <t xml:space="preserve">APS CORONEL VIVIDA </t>
  </si>
  <si>
    <t>Média Ponderada VT</t>
  </si>
  <si>
    <t>APS SÃO MIGUEL DO IGUAÇU</t>
  </si>
  <si>
    <t>APS QUEDAS DO IGUAÇU</t>
  </si>
  <si>
    <t>Unidade Orgânica GEX Maringá/PR</t>
  </si>
  <si>
    <t>GERÊNCIA E APS MARINGÁ</t>
  </si>
  <si>
    <t>APS CAMPO MOURÃO</t>
  </si>
  <si>
    <t>APS CIANORTE</t>
  </si>
  <si>
    <t>APS GOIOERÊ</t>
  </si>
  <si>
    <t>APS LOANDA</t>
  </si>
  <si>
    <t>APS PARANAVAÍ</t>
  </si>
  <si>
    <t>APS UMUARAMA</t>
  </si>
  <si>
    <t>APS COLORADO</t>
  </si>
  <si>
    <t>APS PAIÇANDU</t>
  </si>
  <si>
    <t>APS ASTORGA</t>
  </si>
  <si>
    <t>APS CRUZEIRO DO OESTE</t>
  </si>
  <si>
    <t>APS NOVA ESPERANÇA</t>
  </si>
  <si>
    <t>APS MANDAGUARI</t>
  </si>
  <si>
    <t>CEDOC</t>
  </si>
  <si>
    <t>MATERIAIS</t>
  </si>
  <si>
    <t>Formalização da pesquisa de preços</t>
  </si>
  <si>
    <t>DISCRIMINAÇÃO</t>
  </si>
  <si>
    <t>UNIDADE</t>
  </si>
  <si>
    <t>QUANTIDADE DEFINIDA POR SERVENTE</t>
  </si>
  <si>
    <t>PREÇO MEDIO – PAINEL DE PREÇOS (R$)</t>
  </si>
  <si>
    <t>PREÇO MÉDIO - INTERNET (R$)</t>
  </si>
  <si>
    <t>CUSTO MÉDIO (R$)</t>
  </si>
  <si>
    <t>CUSTO MENSAL MATERIAIS POR SERVENTE</t>
  </si>
  <si>
    <t>USO(*)</t>
  </si>
  <si>
    <t>Art. 3º A pesquisa de preços será materializada em documento que conterá, no mínimo:</t>
  </si>
  <si>
    <t>Ácido Muriático</t>
  </si>
  <si>
    <t>litro</t>
  </si>
  <si>
    <t>VII</t>
  </si>
  <si>
    <t>I - identificação do agente responsável pela cotação;</t>
  </si>
  <si>
    <t>Agua Sanitária</t>
  </si>
  <si>
    <t>II,III</t>
  </si>
  <si>
    <t>II - caracterização das fontes consultadas;</t>
  </si>
  <si>
    <t>Álcool Gel 70%</t>
  </si>
  <si>
    <t>500 ml</t>
  </si>
  <si>
    <t>IX</t>
  </si>
  <si>
    <t>III - série de preços coletados;</t>
  </si>
  <si>
    <t>Álcool Liquido 70%</t>
  </si>
  <si>
    <t>V - justificativas para a metodologia utilizada, em especial para a desconsideração de valores inexequíveis, inconsistentes e excessivamente elevados, se aplicável.</t>
  </si>
  <si>
    <t>Cera Líquida</t>
  </si>
  <si>
    <t>5 litros</t>
  </si>
  <si>
    <t>I, X</t>
  </si>
  <si>
    <t>Desinfetante de uso geral/banheiro</t>
  </si>
  <si>
    <t>II, X</t>
  </si>
  <si>
    <t>Desincrustante limpeza pesada piso</t>
  </si>
  <si>
    <t>I, II, VII</t>
  </si>
  <si>
    <t>Detergente liquido neutro</t>
  </si>
  <si>
    <t>X</t>
  </si>
  <si>
    <t>Detergente para Louça</t>
  </si>
  <si>
    <t>II</t>
  </si>
  <si>
    <t>Estopa 500g</t>
  </si>
  <si>
    <t>Unidade</t>
  </si>
  <si>
    <t>I, II, X</t>
  </si>
  <si>
    <t>Fibra de limpeza pesada, 230mmx150mm</t>
  </si>
  <si>
    <t>I</t>
  </si>
  <si>
    <t>Esponja dupla face, 110mmx75mmx20mm</t>
  </si>
  <si>
    <t>Flanela de algodão 40cm x 60cm</t>
  </si>
  <si>
    <t>II,, III, XI,X</t>
  </si>
  <si>
    <t>Inseticida aerosol 300ml</t>
  </si>
  <si>
    <t>I, II,X</t>
  </si>
  <si>
    <t>Lã de aço fina uso doméstico</t>
  </si>
  <si>
    <t>PC  8UN</t>
  </si>
  <si>
    <t>Limpa-metais (polidor)</t>
  </si>
  <si>
    <t>VI</t>
  </si>
  <si>
    <t>Limpa Vidro líquido</t>
  </si>
  <si>
    <t>500ml</t>
  </si>
  <si>
    <t>IV</t>
  </si>
  <si>
    <t>Limpador Multiuso (Veja ou similar)</t>
  </si>
  <si>
    <t>Lustra Móveis líquido</t>
  </si>
  <si>
    <t>100 ml</t>
  </si>
  <si>
    <t>Luva borracha para limpeza (tamanho p/m/g)</t>
  </si>
  <si>
    <t>Par</t>
  </si>
  <si>
    <t>Odorizador de ambiente spray 360ml</t>
  </si>
  <si>
    <t>Pano para limpeza algodão alvejado 70 x 45 cm ( 120g)</t>
  </si>
  <si>
    <t>Papel higiênico 1ª qual,  branca, fl. dupla 30m x 10cm ( farto 64un)</t>
  </si>
  <si>
    <t>Fardo 64un</t>
  </si>
  <si>
    <t>Papel Higiênico Rolão com 300 metros x 10 cm (BRANCO, MACIO)</t>
  </si>
  <si>
    <t>Rolão ( fardo 8un)</t>
  </si>
  <si>
    <t>Papel Toalha interfolhada, cor branca, 21cmx22cm PC com 1000 fls</t>
  </si>
  <si>
    <t>Pacote</t>
  </si>
  <si>
    <t>Pastilha Sanitária com suporte</t>
  </si>
  <si>
    <t>pacote 25g</t>
  </si>
  <si>
    <t>Sabão em líquido neutro litros</t>
  </si>
  <si>
    <t>Sabão em Barra neutro 200g</t>
  </si>
  <si>
    <t>Sabão em pó</t>
  </si>
  <si>
    <t>Kg</t>
  </si>
  <si>
    <t>Sabonete Líquido neutro, 1ª qualidade</t>
  </si>
  <si>
    <t>Sapólio cremoso 300ml</t>
  </si>
  <si>
    <t>II,X</t>
  </si>
  <si>
    <t>Saco para Lixo reforçado 40L</t>
  </si>
  <si>
    <t>pcte 100 un</t>
  </si>
  <si>
    <t>I,II,V</t>
  </si>
  <si>
    <t>Saco para Lixo reforçado 60L</t>
  </si>
  <si>
    <t>Saco para Lixo reforçado 100L</t>
  </si>
  <si>
    <t>UTENSÍLIOS</t>
  </si>
  <si>
    <t>QUANTIDADE DEFINIDA POR SERVENTE (ANUAL)</t>
  </si>
  <si>
    <t>CUSTO MENSAL UTENSÍLIOS POR SERVENTE</t>
  </si>
  <si>
    <t>Balde de Plástico 10L a 20L</t>
  </si>
  <si>
    <t>Desentupidor de Pia</t>
  </si>
  <si>
    <t>Desentupidor de Vaso Sanitário</t>
  </si>
  <si>
    <t>Disco Para Enceradeira</t>
  </si>
  <si>
    <t>Escova sanitária com suporte</t>
  </si>
  <si>
    <t>Escova para Enceradeira</t>
  </si>
  <si>
    <t>Escova de Nylon para tangue</t>
  </si>
  <si>
    <t>Espanador de pó, penas, cabo 40 a 60 cm</t>
  </si>
  <si>
    <t>Mop Seco</t>
  </si>
  <si>
    <t>Mop Úmido</t>
  </si>
  <si>
    <t>Mop Úmido Refil</t>
  </si>
  <si>
    <t>Pá plastido p/ coleta de lixo,  cabo longo 80 cm</t>
  </si>
  <si>
    <t>Rodo espuma com cabo comprido, 40 a 60 cm</t>
  </si>
  <si>
    <t>Rodo borracha dupla, cabo comprido, 40 a 60 cm</t>
  </si>
  <si>
    <t>Saco descartável para aspirador de pó</t>
  </si>
  <si>
    <t>PACOTE COM 3UN</t>
  </si>
  <si>
    <t>Suporte limpa tudo, c/ rosca, articulado,  cabo</t>
  </si>
  <si>
    <t>I,II,V,X</t>
  </si>
  <si>
    <t>Vassoura de Gari</t>
  </si>
  <si>
    <t>I,X</t>
  </si>
  <si>
    <t>Vassoura de Nylon</t>
  </si>
  <si>
    <t>I,IIV,VII,X</t>
  </si>
  <si>
    <t>Vassoura de palha</t>
  </si>
  <si>
    <t>CUSTO UTENSÍLIO MENSAL POR SERVENTE</t>
  </si>
  <si>
    <t>CUSTO TOTAL DE MATERIAIS + UTENSÍLIOS POR SERVENTE</t>
  </si>
  <si>
    <t>MATERIAIS/UTENSÍLIOS PARA ÁREA SANITIZAÇÃO</t>
  </si>
  <si>
    <t>QUANTIDADE DEFINIDA POR SERVENTE (MENSAL)</t>
  </si>
  <si>
    <t>PREÇO MÉDIO – PAINEL DE PREÇOS (R$)</t>
  </si>
  <si>
    <t>CUSTO MENSAL MATERIAIS (R$)</t>
  </si>
  <si>
    <t>Álcool isopropílico</t>
  </si>
  <si>
    <t>III</t>
  </si>
  <si>
    <t>XI</t>
  </si>
  <si>
    <t>Saco para Lixo Leitoso reforçado 100L</t>
  </si>
  <si>
    <t>V</t>
  </si>
  <si>
    <t>QUANTIDADE DEFINIDA (anual)</t>
  </si>
  <si>
    <t xml:space="preserve">CUSTO MENSAL MATERIAIS (R$) </t>
  </si>
  <si>
    <t>Borrifador 350ml de Álcool de 350ml a 500 ml</t>
  </si>
  <si>
    <t>VALOR POR servente COVID</t>
  </si>
  <si>
    <t>As áreas destinadas ao consumo dos produtos solicitados estão assim distribuídas:</t>
  </si>
  <si>
    <t>I. Para uso em áreas de circulação</t>
  </si>
  <si>
    <t>II. Para uso em banheiros e cozinha</t>
  </si>
  <si>
    <t>III. Para uso nos protetores de acrílicos</t>
  </si>
  <si>
    <t>IV. Para uso em áreas envidraçadas e tampos de mesa</t>
  </si>
  <si>
    <t>V. Para uso nas salas</t>
  </si>
  <si>
    <t>VI. Para brilho em superfícies de Inox</t>
  </si>
  <si>
    <t>VII. Para limpeza de pisos e paredes de pedra</t>
  </si>
  <si>
    <t>VIII. Para limpeza dos microcomputadores</t>
  </si>
  <si>
    <t>XI. Higienização e desinfecção das mãos e superfícies de mobiliários e equipamentos,</t>
  </si>
  <si>
    <t>X. Diversos</t>
  </si>
  <si>
    <t>EQUIPAMENTOS</t>
  </si>
  <si>
    <t>QUANTIDADE DEFINIDA (1 por Unidade) GEXCAS</t>
  </si>
  <si>
    <t>QUANTIDADE DEFINIDO (1 por Unidade) GEXLON</t>
  </si>
  <si>
    <t>QUANTIDADE DEFINIDA (1 por Unidade) GEXMRG</t>
  </si>
  <si>
    <t>CUSTO MENSAL EQUIPAMENTOS (R$) - GEXCAS</t>
  </si>
  <si>
    <t>CUSTO MENSAL EQUIPAMENTOS (R$) - GEXLON</t>
  </si>
  <si>
    <t>CUSTO MENSAL EQUIPAMENTOS (R$) - GEXMRG</t>
  </si>
  <si>
    <t>Aspirador de Pó</t>
  </si>
  <si>
    <t>Cabo Extensor para Limpeza (5 metros)</t>
  </si>
  <si>
    <t>Carro funcional c/ bolsa, metal/plástico, 3 prat.</t>
  </si>
  <si>
    <t>Enceradeira industrial DC 350 ( 60 meses)</t>
  </si>
  <si>
    <t>Escada domés.  Alum. Degraus 4 a 6, Antiderrap</t>
  </si>
  <si>
    <t>Extensão elétrica de 15mt</t>
  </si>
  <si>
    <t xml:space="preserve">Lavadora de alta pressão mínimo 1.500 LB  </t>
  </si>
  <si>
    <t>Mangueira de jardim 20m, c/ esguicho/engate</t>
  </si>
  <si>
    <t>Placa sinalizadora (Piso Molhado - 2 por APS)</t>
  </si>
  <si>
    <t>Rastelo de Jardim ( APS com areas verdes)</t>
  </si>
  <si>
    <t>TOTAL GERAL ( 60 MESES)</t>
  </si>
  <si>
    <t>TOTAL ANUAL DE EQUIPAMENTOS  - Depreciação Anual conforme tabela da RFB -</t>
  </si>
  <si>
    <t>VALOR POR SERVENTE</t>
  </si>
  <si>
    <t>UNIFORMES</t>
  </si>
  <si>
    <t>PREÇO MÉDIO – PAINEL DE PREÇOS</t>
  </si>
  <si>
    <t>PEÇO MÉDIO - INTERNET</t>
  </si>
  <si>
    <t>CUSTO MÉDIO</t>
  </si>
  <si>
    <t xml:space="preserve">CUSTO MENSAL UNIFORMES  </t>
  </si>
  <si>
    <t>SERVENTES</t>
  </si>
  <si>
    <t>Bata ( avental) pano</t>
  </si>
  <si>
    <t>Bota de borracha</t>
  </si>
  <si>
    <t>Calça</t>
  </si>
  <si>
    <t>Camiseta</t>
  </si>
  <si>
    <t>Crachá, protetor, jacaré, cordão e regulador</t>
  </si>
  <si>
    <t>Sapato segurança</t>
  </si>
  <si>
    <t>ENCARREGADAS</t>
  </si>
  <si>
    <t xml:space="preserve">Calça Social </t>
  </si>
  <si>
    <t>Camisa social  manga curta/longa</t>
  </si>
  <si>
    <t>Crachá, protetor, jacaré, cordão,regulador</t>
  </si>
  <si>
    <t>Sapato Social</t>
  </si>
  <si>
    <t>TOTAL GERAL MENSAL POR SERVENTE</t>
  </si>
  <si>
    <t>TOTAL GERAL MENSAL ENCARREGADA</t>
  </si>
  <si>
    <t>EPIs</t>
  </si>
  <si>
    <t>QUANTIDADE DEFINIDA MENSAL (Serventes 20 ou 30h)</t>
  </si>
  <si>
    <t>QUANTIDADE DEFINIDA MENSAL (Serventes 40 ou 44h)</t>
  </si>
  <si>
    <t>PREÇO MÉDIO - INTERNET</t>
  </si>
  <si>
    <t>CUSTO MENSAL DE EPIS (Servente 20 ou 30h)</t>
  </si>
  <si>
    <t>CUSTO MENSAL DE EPIS (Servente 40 ou 44h)</t>
  </si>
  <si>
    <t>ÁREA SANITIZAÇÃO</t>
  </si>
  <si>
    <t>Avental descartável</t>
  </si>
  <si>
    <t>Face Shield</t>
  </si>
  <si>
    <t>Luvas descartáveis (100un) (50 pares)</t>
  </si>
  <si>
    <t>Máscara descartável</t>
  </si>
  <si>
    <t>Touca descartável</t>
  </si>
  <si>
    <t>QUANTIDADE DEFINIDA ANUAL  (Serventes 20 ou 30h)</t>
  </si>
  <si>
    <t>QUANTIDADE DEFINIDA ANUAL  (Serventes 40 ou 44h)</t>
  </si>
  <si>
    <t>PREÇO MEDIO – PAINEL DE PREÇOS</t>
  </si>
  <si>
    <t>EPIs USO GERAL</t>
  </si>
  <si>
    <t>Avental impermeável de pvc</t>
  </si>
  <si>
    <t>Luva proteção de raspa de couro, cano curto</t>
  </si>
  <si>
    <t>Óculos de proteção lente transparente</t>
  </si>
  <si>
    <t>Obs:  Periodicidade/frequencia de trocas dos EPIs de acorda com as premissas adotadas na contratação de média de dias úteis no mês = 22 dias</t>
  </si>
  <si>
    <t>1x ao dia</t>
  </si>
  <si>
    <t>1x a cada 6 meses -  Deverá ser descartado quando danificado</t>
  </si>
  <si>
    <t>3 pares ao dia ou quando danificado</t>
  </si>
  <si>
    <t>1x a cada 3h</t>
  </si>
  <si>
    <t>Borrifador 500ML</t>
  </si>
  <si>
    <t>2un/servente/a cada 3 meses ( 1 para álcool 70% e 1 para álcool isopropílico)</t>
  </si>
  <si>
    <t>Flanela de algodão branca 40cm x 60cm</t>
  </si>
  <si>
    <t>4 un para cada servente/mês</t>
  </si>
  <si>
    <t>saco de Lixo reforçado,  100 L , cor branco leitoso</t>
  </si>
  <si>
    <t>2 un/dia por lixeira x 4 salas de perícia/serviço social e reabilitação x 22 dias uteis mês</t>
  </si>
  <si>
    <t>PLANO DE TELEFONE  ENCARREGADA (O)</t>
  </si>
  <si>
    <t>Crédito celular encarregada</t>
  </si>
  <si>
    <t>POLO 2 - GEX CASCAVEL, GEX LONDRINA E GEX MARINGÁ</t>
  </si>
  <si>
    <t>ÁREA INTERNA</t>
  </si>
  <si>
    <t>ÁREA EXTERNA</t>
  </si>
  <si>
    <t>ESQUADRIAS</t>
  </si>
  <si>
    <t>ITEM 6</t>
  </si>
  <si>
    <t>ITEM 7</t>
  </si>
  <si>
    <t>ITEM 8</t>
  </si>
  <si>
    <t>ITEM 9</t>
  </si>
  <si>
    <t>ITEM 10</t>
  </si>
  <si>
    <t>Seq.</t>
  </si>
  <si>
    <t>Unidade Orgânica</t>
  </si>
  <si>
    <t>ISS %</t>
  </si>
  <si>
    <r>
      <t>AI-1:</t>
    </r>
    <r>
      <rPr>
        <sz val="9"/>
        <color rgb="FF000000"/>
        <rFont val="Calibri"/>
        <family val="2"/>
        <charset val="1"/>
      </rPr>
      <t xml:space="preserve"> 
Pisos frios</t>
    </r>
  </si>
  <si>
    <r>
      <t>AI-2:</t>
    </r>
    <r>
      <rPr>
        <sz val="9"/>
        <color rgb="FF000000"/>
        <rFont val="Calibri"/>
        <family val="2"/>
        <charset val="1"/>
      </rPr>
      <t xml:space="preserve"> 
Almoxarifado, Galpões, arquivos</t>
    </r>
  </si>
  <si>
    <r>
      <t>AI-3:</t>
    </r>
    <r>
      <rPr>
        <sz val="9"/>
        <color rgb="FF000000"/>
        <rFont val="Calibri"/>
        <family val="2"/>
        <charset val="1"/>
      </rPr>
      <t xml:space="preserve"> 
Espaços Livres, saguão, hall, salão</t>
    </r>
  </si>
  <si>
    <r>
      <t>AI-4:</t>
    </r>
    <r>
      <rPr>
        <sz val="9"/>
        <color rgb="FF000000"/>
        <rFont val="Calibri"/>
        <family val="2"/>
        <charset val="1"/>
      </rPr>
      <t xml:space="preserve"> 
Banheiros</t>
    </r>
  </si>
  <si>
    <r>
      <t>AE-1:</t>
    </r>
    <r>
      <rPr>
        <sz val="9"/>
        <color rgb="FF000000"/>
        <rFont val="Calibri"/>
        <family val="2"/>
        <charset val="1"/>
      </rPr>
      <t xml:space="preserve"> 
Pisos adjacentes às edificações</t>
    </r>
  </si>
  <si>
    <t>AE-2: 
 coleta de detritos em pátios e áreas verdes com frequência diária</t>
  </si>
  <si>
    <r>
      <t xml:space="preserve">AE-3:
</t>
    </r>
    <r>
      <rPr>
        <sz val="9"/>
        <color rgb="FF000000"/>
        <rFont val="Calibri"/>
        <family val="2"/>
        <charset val="1"/>
      </rPr>
      <t>Arruamento, passeios</t>
    </r>
  </si>
  <si>
    <r>
      <t>EER:</t>
    </r>
    <r>
      <rPr>
        <sz val="10"/>
        <color rgb="FF000000"/>
        <rFont val="Calibri"/>
        <family val="2"/>
        <charset val="1"/>
      </rPr>
      <t xml:space="preserve"> 
Face Externa </t>
    </r>
    <r>
      <rPr>
        <b/>
        <sz val="10"/>
        <color rgb="FF000000"/>
        <rFont val="Arial"/>
        <family val="2"/>
        <charset val="1"/>
      </rPr>
      <t>COM</t>
    </r>
    <r>
      <rPr>
        <sz val="10"/>
        <color rgb="FF000000"/>
        <rFont val="Arial"/>
        <family val="2"/>
        <charset val="1"/>
      </rPr>
      <t xml:space="preserve"> exposição a risco </t>
    </r>
  </si>
  <si>
    <r>
      <t>EE:</t>
    </r>
    <r>
      <rPr>
        <sz val="10"/>
        <color rgb="FF000000"/>
        <rFont val="Calibri"/>
        <family val="2"/>
        <charset val="1"/>
      </rPr>
      <t xml:space="preserve"> 
Face Externa </t>
    </r>
    <r>
      <rPr>
        <b/>
        <sz val="10"/>
        <color rgb="FF000000"/>
        <rFont val="Arial"/>
        <family val="2"/>
        <charset val="1"/>
      </rPr>
      <t>SEM</t>
    </r>
    <r>
      <rPr>
        <sz val="10"/>
        <color rgb="FF000000"/>
        <rFont val="Arial"/>
        <family val="2"/>
        <charset val="1"/>
      </rPr>
      <t xml:space="preserve"> exposição a risco</t>
    </r>
  </si>
  <si>
    <r>
      <t>EI:</t>
    </r>
    <r>
      <rPr>
        <sz val="9"/>
        <color rgb="FF000000"/>
        <rFont val="Calibri"/>
        <family val="2"/>
        <charset val="1"/>
      </rPr>
      <t xml:space="preserve"> 
Face Interna</t>
    </r>
  </si>
  <si>
    <t>Valor mensal                                   Limpeza odinária</t>
  </si>
  <si>
    <t>Valor mensal                                   Servente Covid</t>
  </si>
  <si>
    <t>Valor limite mensal - Horas eventuais Limp Ordinária</t>
  </si>
  <si>
    <t>Valor limite mensal - horas eventuais COVID</t>
  </si>
  <si>
    <t>Valor mensal item IV                       Diárias carregadores</t>
  </si>
  <si>
    <t>Área</t>
  </si>
  <si>
    <t>Preço m²</t>
  </si>
  <si>
    <t>R$</t>
  </si>
  <si>
    <t>Rua General Osório, nº 3423, Centro – Cascavel/PR</t>
  </si>
  <si>
    <t>Rua São Luiz, 245, Centro Cívico – Assis Chateaubriand/PR</t>
  </si>
  <si>
    <t>Rua São Paulo nº 603, Centro – Cascavel/PR, CEP 85801-020</t>
  </si>
  <si>
    <t xml:space="preserve">Avenida Paraná, nº 1661, Jardim Central – Foz do Iguaçu/PR, </t>
  </si>
  <si>
    <t>Rua Guanabara, nº 410, Presidente Kennedy – Francisco Beltrão/PR</t>
  </si>
  <si>
    <t>Rua Riachuelo, nº 897, Centro – Medianeira/PR</t>
  </si>
  <si>
    <t>Rua Tapajós, nº 520, Centro – Pato Branco/PR, CEP 85501-043</t>
  </si>
  <si>
    <t>Rua Arnaldo Buzato, nº 3107, Centro – Realeza/PR, CEP 85770-000</t>
  </si>
  <si>
    <t>Rua Rui Barbosa, nº 2989, Jardim Gisela -Toledo/PR, CEP 85905-060</t>
  </si>
  <si>
    <t>Rua Paraguai, nº 1145, Centro – Guaíra/PR, CEP 85950-000</t>
  </si>
  <si>
    <t>Rua Santos Dumont, nº 288, Centro – Mangueirinha/PR, CEP 85540-000</t>
  </si>
  <si>
    <t>Avenida Rio Grande do Sul, nº 2677, Centro – Marechal Cândido Rondon/PR</t>
  </si>
  <si>
    <t>Avenida Clevelândia, nº 684, Centro – Palmas/PR, CEP 85555-000</t>
  </si>
  <si>
    <t>Av. Jesuíno Teodorico de Andrade, nº 1417, Centro – Santo Antônio do Sudoeste/PR</t>
  </si>
  <si>
    <t>Rua Paraná, nº 1151, Centro – Dois Vizinhos/PR, CEP 85660-000</t>
  </si>
  <si>
    <t>Rua Vereador Antônio Pozzan, nº 1797, Jardim Itália – Palotina/PR</t>
  </si>
  <si>
    <t>Rua Ângelo Peruzzo, nº 37, Centro – Coronel Vivida/PR, CEP 85550-000</t>
  </si>
  <si>
    <t>Rua Nereu Ramos, nº 1313, Centro – São Miguel do Iguaçu/PR</t>
  </si>
  <si>
    <t>Rua Romeiras, nº 528 - Bom Pastor - Quedas do Iguaçu, CEP 85460-000</t>
  </si>
  <si>
    <t>Total Mensal GEX Cascavel</t>
  </si>
  <si>
    <t>Av. Duque de Caxias, 1135, Londrina/PR</t>
  </si>
  <si>
    <t>Rua Firman Neto, 201 - Vl. São José, Apucarana/PR</t>
  </si>
  <si>
    <t>Avenida Presidente Castelo Branco, 210 - Jardim Vitoria, Cornélio Procópio/PR</t>
  </si>
  <si>
    <t>Rua Harpia esq Flamingos, sn - Centro, Arapongas/PR</t>
  </si>
  <si>
    <t>Av Tancredo Neves, 1555 - Centro, Ivaiporã/PR</t>
  </si>
  <si>
    <t>Rua Dom Fernando Taddey, 1288, Centro, Jacarezinho/PR</t>
  </si>
  <si>
    <t>Rua Minas Gerais, 385, Centro, Andirá/PR</t>
  </si>
  <si>
    <t>Rua Domingos Vila, nº 1034, Cambará/PR</t>
  </si>
  <si>
    <t>Rua Rui Barbosa, nº 174, Santo Antonio da Platina/PR</t>
  </si>
  <si>
    <t>Rua Profº João Cândido 635, Centro, Londrina/PR</t>
  </si>
  <si>
    <t>Rua Visconde de Mauá 161, Londrina/PR</t>
  </si>
  <si>
    <t> Av. Expedicionários, 159 - Centro, Rolândia/PR,</t>
  </si>
  <si>
    <t>Avenida  Edelina Meneghel Rando, 351, Vila Macedo, Bandeirantes/PR</t>
  </si>
  <si>
    <t>av. Brasil, 138, Cambé/PR</t>
  </si>
  <si>
    <t>Avenida Bandeirantes, 500 sala 601, Londrina/PR</t>
  </si>
  <si>
    <t>Total Mensal GEX Londrina</t>
  </si>
  <si>
    <t>Av. XV de Novembro, 491, Zona 01, CEP 87013230, Maringá-PR</t>
  </si>
  <si>
    <t>Av. Manoel Mendes de Camargo, 290, Centro, CEP 87302080, Campo Mourão-PR</t>
  </si>
  <si>
    <t>Av. Goiás, 17, Zona 01, CEP 87200149, Cianorte-PR</t>
  </si>
  <si>
    <t>Av. Libertadores da América, 145, CEP 87360000, Goioerê-PR</t>
  </si>
  <si>
    <t>Rua Deputado Accioly Filho, 130, Centro, CEP 87900000, Loanda/PR</t>
  </si>
  <si>
    <t>Rua Salgado Filho, 789, Centro, CEP 87701040, Paranavaí/PR</t>
  </si>
  <si>
    <t>Rua Inajá, 3610, ZONA I, CEP 87501160, Umuarama-PR</t>
  </si>
  <si>
    <t>APS COLORADO/PR</t>
  </si>
  <si>
    <t>Rua Adinael Moreira, 11, CEP 86690000, Colorado-PR</t>
  </si>
  <si>
    <t>Rua Onésio Francisco de Faria, 755, Jardim João Geroto, CEP 87140000, Paiçandu-PR</t>
  </si>
  <si>
    <t>Rua Nossa Senhora Aparecida, 181, CEP 86730000, Astorga-PR</t>
  </si>
  <si>
    <t>Av. Brasil, 3025, Jardim da Luz, CEP 87400000, Cruzeiro do Oeste-PR</t>
  </si>
  <si>
    <t>Av. Felipe Camarão, 945, Centro, CEP 87600000, Nova Esperança-PR</t>
  </si>
  <si>
    <t>Av. Marcos Dias, 315, Mandaguari-PR</t>
  </si>
  <si>
    <t>Av. Mauá, 1088, Zona 09, CEP 87050-020, Maringá-PR</t>
  </si>
  <si>
    <t>Total Mensal GEX Maringá</t>
  </si>
  <si>
    <t>TOTAL GERAL</t>
  </si>
  <si>
    <t>Total A23:Q59Mensais GEX Curitiba</t>
  </si>
  <si>
    <t xml:space="preserve">ISS </t>
  </si>
  <si>
    <t>AI-4: 
Banheiros</t>
  </si>
  <si>
    <t xml:space="preserve">AE-2:                                                                                                                                    coleta de detritos em pátios e áreas verdes com frequência diária
</t>
  </si>
  <si>
    <t>Serventes por Unidade (Calculada)</t>
  </si>
  <si>
    <t>Qtde de serventes ajustada LIMPEZA ORDINÁRIA                      e carga horária</t>
  </si>
  <si>
    <t>Qtde Ajustada Qtde postos COVID e Carga horária servente</t>
  </si>
  <si>
    <t>Qtde horas eventuais Limpeza Ordinária/Mês</t>
  </si>
  <si>
    <t xml:space="preserve"> Qtde horas eventuais COVID/Mês</t>
  </si>
  <si>
    <t>Qtde Diárias carregadores/Mês</t>
  </si>
  <si>
    <t>Qtde postos e Carga horária ENCARREGADA</t>
  </si>
  <si>
    <t>30h</t>
  </si>
  <si>
    <t>40h</t>
  </si>
  <si>
    <t>h</t>
  </si>
  <si>
    <t>diarias</t>
  </si>
  <si>
    <t>20h</t>
  </si>
  <si>
    <t> </t>
  </si>
  <si>
    <t>Total Geral</t>
  </si>
  <si>
    <t>Produtividade adotada</t>
  </si>
  <si>
    <t>total</t>
  </si>
  <si>
    <t>Número de Serventes</t>
  </si>
  <si>
    <t>fração</t>
  </si>
  <si>
    <t>Número de Encarregados</t>
  </si>
  <si>
    <t>(1/prod) serventes</t>
  </si>
  <si>
    <t>(1/prod) encarregado</t>
  </si>
  <si>
    <t>Limite de Produtividade IN 05/2017</t>
  </si>
  <si>
    <t>800 a 1200</t>
  </si>
  <si>
    <t>1500 a 2500</t>
  </si>
  <si>
    <t>1000 a 1500</t>
  </si>
  <si>
    <t>200 a 300</t>
  </si>
  <si>
    <t>1800 a 2700</t>
  </si>
  <si>
    <t>6000 a 9000</t>
  </si>
  <si>
    <t>130 a 160</t>
  </si>
  <si>
    <t>300 a 380</t>
  </si>
  <si>
    <t>SEMESTRAL</t>
  </si>
  <si>
    <t>risco</t>
  </si>
  <si>
    <t>ANEXO IV</t>
  </si>
  <si>
    <t>MODELO DE PROPOSTA E PLANILHA DE CUSTOS E FORMAÇÃO DE PREÇOS</t>
  </si>
  <si>
    <t>PROCESSO 35014.018642/2022-12</t>
  </si>
  <si>
    <t>Servente 40h</t>
  </si>
  <si>
    <t>Servente 30h</t>
  </si>
  <si>
    <t>Servente 44h</t>
  </si>
  <si>
    <t>Encarregada</t>
  </si>
  <si>
    <t>Salário Normativo da Categoria:</t>
  </si>
  <si>
    <t>Data base da Categoria:</t>
  </si>
  <si>
    <t>Convenção Coletiva:</t>
  </si>
  <si>
    <t>CBO/MTE:</t>
  </si>
  <si>
    <t>CUSTOS</t>
  </si>
  <si>
    <t>Percentuais e Valores de Referência</t>
  </si>
  <si>
    <t xml:space="preserve">Servente 40h </t>
  </si>
  <si>
    <t xml:space="preserve">Servente 30h </t>
  </si>
  <si>
    <t>Servente 44h limpeza de esquadrias com risco</t>
  </si>
  <si>
    <t>Encarregada 40h</t>
  </si>
  <si>
    <t>MÓDULO 1: COMPOSIÇÃO DA REMUNERAÇÃO</t>
  </si>
  <si>
    <t>1 - Composição da Remuneração</t>
  </si>
  <si>
    <t>Percentuais</t>
  </si>
  <si>
    <t>Valor (R$)</t>
  </si>
  <si>
    <t>A – Salário Base 40 horas</t>
  </si>
  <si>
    <t>B - Adicional de Insalubridade</t>
  </si>
  <si>
    <t>D - Adicional Noturno</t>
  </si>
  <si>
    <t>E - Adicional de Hora Noturna Reduzida</t>
  </si>
  <si>
    <t>F - Adicional de Hora Extra no Feriado Trabalhado</t>
  </si>
  <si>
    <t>E - Outros -Adicional de risco limpeza de vidros e fachadas ( acima de 3m)</t>
  </si>
  <si>
    <t>Total</t>
  </si>
  <si>
    <t>MÓDULO 2: ENCARGOS E BENEFÍCIOS ANUAIS, MENSAIS E DIÁRIOS</t>
  </si>
  <si>
    <t>2.1 - 13º Salário, Férias e Adicional de Férias</t>
  </si>
  <si>
    <t>A - 13º salário</t>
  </si>
  <si>
    <t>B - Adicional de Férias</t>
  </si>
  <si>
    <t>2.2 - Encargos Previdenciários e FGTS</t>
  </si>
  <si>
    <t>2.2.1 - GPS</t>
  </si>
  <si>
    <t>A - INSS</t>
  </si>
  <si>
    <t>B - Salário Educação</t>
  </si>
  <si>
    <t>C - SAT</t>
  </si>
  <si>
    <t>D - SESI ou SESC</t>
  </si>
  <si>
    <t>E - SENAI ou SENAC</t>
  </si>
  <si>
    <t>F - SEBRAE</t>
  </si>
  <si>
    <t>G - INCRA</t>
  </si>
  <si>
    <t>F - FGTS</t>
  </si>
  <si>
    <t>2.3 - Benefícios Mensais e Diários</t>
  </si>
  <si>
    <t>Valores</t>
  </si>
  <si>
    <t>A - Transporte</t>
  </si>
  <si>
    <t>B - Auxílio-Refeição/Alimentação ( COM DESCONTO DE 20%)</t>
  </si>
  <si>
    <t>C - Ajuda de custo (equipes limpeza vidros)</t>
  </si>
  <si>
    <t>D - Assistência Médica (Cláusula 15ª)</t>
  </si>
  <si>
    <t>E - Benefício Social Familiar (Cláusula 16ª)</t>
  </si>
  <si>
    <t>F - Outros (especificar)</t>
  </si>
  <si>
    <t>2 - ENCARGOS E BENEFÍCIOS ANUAIS, MENSAIS E DIÁRIOS</t>
  </si>
  <si>
    <t>2.2 - GPS, FGTS e outras contribuições</t>
  </si>
  <si>
    <t>MÓDULO 3: PROVISÃO PARA RESCISÃO</t>
  </si>
  <si>
    <t>3 - Provisão para Rescisão</t>
  </si>
  <si>
    <t>3.1 - Aviso Prévio Indenizado</t>
  </si>
  <si>
    <t>A - Aviso Prévio Indenizado</t>
  </si>
  <si>
    <t>B - Incidência do FGTS sobre Aviso Prévio Indenizado</t>
  </si>
  <si>
    <t>C - Multa do FGTS sobre Aviso Prévio Indenizado</t>
  </si>
  <si>
    <t>A - Aviso Prévio Trabalhado</t>
  </si>
  <si>
    <t>B - Incidência do submódulo 2.2 sobre o Aviso Prévio Trabalhado</t>
  </si>
  <si>
    <t>C - Multa do FGTS sobre Aviso Prévio Trabalhado</t>
  </si>
  <si>
    <t>MÓDULO 4: CUSTO DE REPOSIÇÃO DO PROFISSIONAL AUSENTE</t>
  </si>
  <si>
    <t>B – Substituto na cobertura de Ausências Legais</t>
  </si>
  <si>
    <t>C - Substituto na cobertura de Licença Paternidade</t>
  </si>
  <si>
    <t>D - Substituto na cobertura de Ausências por acidente de trabalho</t>
  </si>
  <si>
    <t>E - Outros</t>
  </si>
  <si>
    <t>Subtotal</t>
  </si>
  <si>
    <t>4.2 - Substituto na Intrajornada</t>
  </si>
  <si>
    <t>A - Substituto na cobertura de Intervalo para repouso ou alimentação</t>
  </si>
  <si>
    <t>4 - Custo de Reposição do Profissional Ausente</t>
  </si>
  <si>
    <t>MÓDULO 5: INSUMOS DE MÃO DE OBRA</t>
  </si>
  <si>
    <t>5 - Insumos Diversos</t>
  </si>
  <si>
    <t>A - Uniformes</t>
  </si>
  <si>
    <t>B - Materiais e utensílios</t>
  </si>
  <si>
    <t>C - Equipamentos</t>
  </si>
  <si>
    <t>D - EPIs</t>
  </si>
  <si>
    <t>E - Esquadrias de risco - Materiais/ Equipamentos/EPIs ( conforme MPOG)</t>
  </si>
  <si>
    <t>F -  Plano de telefone</t>
  </si>
  <si>
    <t>G - Outros</t>
  </si>
  <si>
    <t>MÓDULO 6: CUSTOS INDIRETOS, TRIBUTOS E LUCRO</t>
  </si>
  <si>
    <t>6 - Custos Indiretos, Tributos e Lucro</t>
  </si>
  <si>
    <t>C - Tributos  (ISS 2,00%)</t>
  </si>
  <si>
    <t>C.1 - Tributos Federais (PIS e COFINS)</t>
  </si>
  <si>
    <t>C.3 - Tributos Municipais (especificar)</t>
  </si>
  <si>
    <t>C - Tributos  (ISS 2,500%)</t>
  </si>
  <si>
    <t>C - Tributos  (ISS 3,00%)</t>
  </si>
  <si>
    <t>C - Tributos  (ISS 4,00%)</t>
  </si>
  <si>
    <t>C - Tributos  (ISS 5,00%)</t>
  </si>
  <si>
    <t>Total Tributos por ISS Municipal</t>
  </si>
  <si>
    <t>C.4 - Outros Tributos (especificar)</t>
  </si>
  <si>
    <t>QUADRO RESUMO DO CUSTO POR EMPREGADO</t>
  </si>
  <si>
    <t>Mão de obra vinculada à execução contratual (valor por empregado)</t>
  </si>
  <si>
    <t>A - Módulo 1 - Composição da Remuneração</t>
  </si>
  <si>
    <t>B - Módulo 2 - Encargos e Benefícios Anuais, Mensais e Diários</t>
  </si>
  <si>
    <t>C - Módulo 3 - Provisão para Rescisão</t>
  </si>
  <si>
    <t>D - Módulo 4 - Custos de Reposição do Profissional Ausente</t>
  </si>
  <si>
    <t>E - Módulo 5 - Insumos Diversos</t>
  </si>
  <si>
    <t>Subtotal (A + B + C + D + E)</t>
  </si>
  <si>
    <t>F - Módulo 6 - Custos Indiretos, Tributos e Lucro (ISS 2,00%)</t>
  </si>
  <si>
    <t>F - Módulo 6 - Custos Indiretos, Tributos e Lucro (ISS 2,5%)</t>
  </si>
  <si>
    <t>F - Módulo 6 - Custos Indiretos, Tributos e Lucro (ISS 3,00%)</t>
  </si>
  <si>
    <t>F - Módulo 6 - Custos Indiretos, Tributos e Lucro (ISS 4,00%)</t>
  </si>
  <si>
    <t>F - Módulo 6 - Custos Indiretos, Tributos e Lucro (ISS 5,00%)</t>
  </si>
  <si>
    <t>TOTAL POR EMPREGADO/MÊS com ISS de 2%</t>
  </si>
  <si>
    <t>TOTAL POR EMPREGADO/MÊS com ISS de 2,5%</t>
  </si>
  <si>
    <t>TOTAL POR EMPREGADO/MÊS com ISS de 3%</t>
  </si>
  <si>
    <t>TOTAL POR EMPREGADO/MÊS com ISS de 4%</t>
  </si>
  <si>
    <t>TOTAL POR EMPREGADO/MÊS com ISS de 5%</t>
  </si>
  <si>
    <t>VALOR DA HORA com ISS de 2%</t>
  </si>
  <si>
    <t>VALOR DA HORA com ISS de 2,5%</t>
  </si>
  <si>
    <t>VALOR DA HORA com ISS de 3%</t>
  </si>
  <si>
    <t>VALOR DA HORA com ISS de 4%</t>
  </si>
  <si>
    <t>VALOR DA HORA com ISS de 5%</t>
  </si>
  <si>
    <t>AI-1 Área Interna pisos frios</t>
  </si>
  <si>
    <t>ISS de 2%</t>
  </si>
  <si>
    <t>ISS de 2,5%</t>
  </si>
  <si>
    <t>ISS de 3%</t>
  </si>
  <si>
    <t>ISS de 4%</t>
  </si>
  <si>
    <t>ISS de 5%</t>
  </si>
  <si>
    <t>MÃO DE OBRA</t>
  </si>
  <si>
    <t>(1) PRODUTIVIDADE (1/P)</t>
  </si>
  <si>
    <t>(2) PREÇO HOMEM MÊS (R$)</t>
  </si>
  <si>
    <t>(1x2) SUBTOTAL (R$/M²)</t>
  </si>
  <si>
    <t>SERVENTE</t>
  </si>
  <si>
    <t>ENCARREGADO</t>
  </si>
  <si>
    <t>Valor limite MPOG 2019</t>
  </si>
  <si>
    <t>https://www.gov.br/compras/pt-br/agente-publico/cadernos-tecnicos-e-valores-limites/cadernos-tecnicos-e-valores-limites-2019</t>
  </si>
  <si>
    <t>Subtotal 20%</t>
  </si>
  <si>
    <t>AI-2 Área interna (Almoxarifado, Galpões, arquivos )</t>
  </si>
  <si>
    <t>(1) PRODUTIVIDADE (1/M²)</t>
  </si>
  <si>
    <t>Subtotal:</t>
  </si>
  <si>
    <t>AI-3 Área interna Espaços Livres (saguão, hall, salão)</t>
  </si>
  <si>
    <t>AI-4 Área interna  Banheiros</t>
  </si>
  <si>
    <t>AE-1 AE-2 AE-3 Áreas Externas</t>
  </si>
  <si>
    <t>AE-1 Área Externa pisos adjacentes às edificações</t>
  </si>
  <si>
    <t>Subtotal AE-1</t>
  </si>
  <si>
    <t>AE-2: coleta de detritos em pátios e áreas verdes com frequência diária</t>
  </si>
  <si>
    <t>Subtotal AE-2</t>
  </si>
  <si>
    <t>AE-3 Área Externa arruamento, passeios</t>
  </si>
  <si>
    <t>Subtotal AE-3</t>
  </si>
  <si>
    <t>EER EE EI Esquadrias</t>
  </si>
  <si>
    <r>
      <t xml:space="preserve">EER Área de Esquadria Face Externa </t>
    </r>
    <r>
      <rPr>
        <b/>
        <sz val="10"/>
        <color rgb="FF000000"/>
        <rFont val="Arial"/>
        <family val="2"/>
        <charset val="1"/>
      </rPr>
      <t>COM</t>
    </r>
    <r>
      <rPr>
        <sz val="10"/>
        <color rgb="FF000000"/>
        <rFont val="Arial"/>
        <family val="2"/>
        <charset val="1"/>
      </rPr>
      <t xml:space="preserve"> exposição a risco </t>
    </r>
  </si>
  <si>
    <t>Subtotal EER</t>
  </si>
  <si>
    <r>
      <t xml:space="preserve">EE Área de Esquadria Face Externa </t>
    </r>
    <r>
      <rPr>
        <b/>
        <sz val="10"/>
        <color rgb="FF000000"/>
        <rFont val="Arial"/>
        <family val="2"/>
        <charset val="1"/>
      </rPr>
      <t>SEM</t>
    </r>
    <r>
      <rPr>
        <sz val="10"/>
        <color rgb="FF000000"/>
        <rFont val="Arial"/>
        <family val="2"/>
        <charset val="1"/>
      </rPr>
      <t xml:space="preserve"> exposição a risco</t>
    </r>
  </si>
  <si>
    <t>Subtotal EE</t>
  </si>
  <si>
    <t>EI Área de Esquadria Face Interna</t>
  </si>
  <si>
    <t>Subtotal EI</t>
  </si>
  <si>
    <t>Servente COVID 40h</t>
  </si>
  <si>
    <t>Servente COVID 30h</t>
  </si>
  <si>
    <t>F - Passagens intermunicipais</t>
  </si>
  <si>
    <r>
      <t>AE-2:</t>
    </r>
    <r>
      <rPr>
        <sz val="9"/>
        <color rgb="FF000000"/>
        <rFont val="Calibri"/>
        <family val="2"/>
        <charset val="1"/>
      </rPr>
      <t xml:space="preserve"> 
Áreas verdes</t>
    </r>
  </si>
  <si>
    <t>Servente 20h</t>
  </si>
  <si>
    <t xml:space="preserve">Servente 20h </t>
  </si>
  <si>
    <t>=AF26*</t>
  </si>
  <si>
    <t>C - Tributos  (ISS 30%)</t>
  </si>
  <si>
    <t>C - Tributos  (ISS 3,20%)</t>
  </si>
  <si>
    <t>TOTAL POR EMPREGADO/MÊS com ISS de 3,20%</t>
  </si>
  <si>
    <t>VALOR DA HORA com ISS de 3,20%</t>
  </si>
  <si>
    <t>ISS de 3,20%</t>
  </si>
  <si>
    <t>ISS de 3,2%</t>
  </si>
  <si>
    <t>='Prod. GEXMRG'!R4*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</si>
</sst>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8" formatCode="&quot;R$&quot;\ #,##0.00;[Red]\-&quot;R$&quot;\ #,##0.00"/>
    <numFmt numFmtId="43" formatCode="_-* #,##0.00_-;\-* #,##0.00_-;_-* &quot;-&quot;??_-;_-@_-"/>
    <numFmt numFmtId="164" formatCode="_-&quot;R$ &quot;* #,##0.00_-;&quot;-R$ &quot;* #,##0.00_-;_-&quot;R$ &quot;* \-??_-;_-@_-"/>
    <numFmt numFmtId="165" formatCode="&quot;R$ &quot;#,##0.00"/>
    <numFmt numFmtId="166" formatCode="_-* #,##0.00_-;\-* #,##0.00_-;_-* \-??_-;_-@_-"/>
    <numFmt numFmtId="167" formatCode="d/m/yyyy"/>
    <numFmt numFmtId="168" formatCode="* #,##0.00\ ;\-* #,##0.00\ ;* \-#\ ;@\ "/>
    <numFmt numFmtId="169" formatCode="#,##0.00\ ;\(#,##0.00\);\-#\ ;@\ "/>
    <numFmt numFmtId="170" formatCode="#,##0.000000;\(#,##0.000000\)"/>
    <numFmt numFmtId="171" formatCode="&quot;R$ &quot;#,##0.00;[Red]&quot;-R$ &quot;#,##0.00"/>
    <numFmt numFmtId="172" formatCode="_-[$R$-416]\ * #,##0.00_-;\-[$R$-416]\ * #,##0.00_-;_-[$R$-416]\ * \-??_-;_-@_-"/>
    <numFmt numFmtId="173" formatCode="#,##0.00\ ;\(#,##0.00\)"/>
    <numFmt numFmtId="174" formatCode="&quot;R$ &quot;#,##0.00\ ;[Red]&quot;(R$ &quot;#,##0.00\)"/>
    <numFmt numFmtId="175" formatCode="[$R$-416]\ #,##0.00;[Red]\-[$R$-416]\ #,##0.00"/>
    <numFmt numFmtId="176" formatCode="0.0000000"/>
    <numFmt numFmtId="177" formatCode="0.00000000"/>
    <numFmt numFmtId="178" formatCode="0.000000000"/>
    <numFmt numFmtId="179" formatCode="#,##0.00\ ;#,##0.00\ ;\-#\ ;@\ "/>
    <numFmt numFmtId="180" formatCode="0.000000000;[Red]\(0.000000000\)"/>
    <numFmt numFmtId="181" formatCode="0.0000000000"/>
    <numFmt numFmtId="182" formatCode="0.0000"/>
    <numFmt numFmtId="183" formatCode="&quot;R$&quot;\ #,##0.00"/>
    <numFmt numFmtId="184" formatCode="_-[$R$-416]\ * #,##0.00_-;\-[$R$-416]\ * #,##0.00_-;_-[$R$-416]\ * &quot;-&quot;??_-;_-@_-"/>
  </numFmts>
  <fonts count="57" x14ac:knownFonts="1">
    <font>
      <sz val="11"/>
      <color rgb="FF333333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rgb="FF333333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8"/>
      <color rgb="FFFFFFFF"/>
      <name val="Calibri"/>
      <family val="2"/>
      <charset val="1"/>
    </font>
    <font>
      <b/>
      <sz val="9"/>
      <color rgb="FF333333"/>
      <name val="Calibri"/>
      <family val="2"/>
      <charset val="1"/>
    </font>
    <font>
      <sz val="9"/>
      <color rgb="FFFF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sz val="10"/>
      <color rgb="FFDDDDDD"/>
      <name val="Calibri"/>
      <family val="2"/>
      <charset val="1"/>
    </font>
    <font>
      <sz val="9"/>
      <color rgb="FFDDDDDD"/>
      <name val="Arial"/>
      <family val="2"/>
      <charset val="1"/>
    </font>
    <font>
      <sz val="11"/>
      <color rgb="FF000000"/>
      <name val="Arial"/>
      <family val="2"/>
      <charset val="1"/>
    </font>
    <font>
      <sz val="9"/>
      <color rgb="FFDDDDDD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sz val="10"/>
      <color rgb="FF333333"/>
      <name val="Arial"/>
      <family val="2"/>
      <charset val="1"/>
    </font>
    <font>
      <b/>
      <sz val="9"/>
      <color rgb="FF333333"/>
      <name val="Arial"/>
      <family val="2"/>
      <charset val="1"/>
    </font>
    <font>
      <sz val="9"/>
      <color rgb="FF333333"/>
      <name val="Arial"/>
      <family val="2"/>
      <charset val="1"/>
    </font>
    <font>
      <sz val="8"/>
      <color rgb="FF333333"/>
      <name val="Arial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333333"/>
      <name val="Calibri"/>
      <family val="2"/>
      <charset val="1"/>
    </font>
    <font>
      <b/>
      <sz val="12"/>
      <color rgb="FF333333"/>
      <name val="Calibri"/>
      <family val="2"/>
      <charset val="1"/>
    </font>
    <font>
      <sz val="10"/>
      <color rgb="FF000080"/>
      <name val="Calibri"/>
      <family val="2"/>
      <charset val="1"/>
    </font>
    <font>
      <sz val="10"/>
      <color rgb="FF339966"/>
      <name val="Calibri"/>
      <family val="2"/>
      <charset val="1"/>
    </font>
    <font>
      <b/>
      <sz val="10"/>
      <color rgb="FF808080"/>
      <name val="Calibri"/>
      <family val="2"/>
      <charset val="1"/>
    </font>
    <font>
      <sz val="18"/>
      <color rgb="FFFFFFFF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Calibri"/>
      <family val="2"/>
      <charset val="1"/>
    </font>
    <font>
      <b/>
      <sz val="10"/>
      <color rgb="FF444444"/>
      <name val="Calibri"/>
      <family val="2"/>
      <charset val="1"/>
    </font>
    <font>
      <b/>
      <sz val="8"/>
      <name val="Calibri"/>
      <family val="2"/>
      <charset val="1"/>
    </font>
    <font>
      <b/>
      <sz val="8"/>
      <color rgb="FF444444"/>
      <name val="Calibri"/>
      <family val="2"/>
      <charset val="1"/>
    </font>
    <font>
      <b/>
      <i/>
      <sz val="10"/>
      <color rgb="FFFFFFFF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Calibri"/>
      <family val="2"/>
      <charset val="1"/>
    </font>
    <font>
      <sz val="9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sz val="11"/>
      <color rgb="FF444444"/>
      <name val="Calibri"/>
      <family val="2"/>
      <charset val="1"/>
    </font>
    <font>
      <sz val="11"/>
      <color rgb="FF333333"/>
      <name val="Calibri"/>
      <family val="2"/>
      <charset val="1"/>
    </font>
    <font>
      <b/>
      <i/>
      <sz val="10"/>
      <color rgb="FF333333"/>
      <name val="Calibri"/>
      <family val="2"/>
      <charset val="1"/>
    </font>
    <font>
      <b/>
      <i/>
      <sz val="9"/>
      <color rgb="FF000000"/>
      <name val="Calibri"/>
      <family val="2"/>
      <charset val="1"/>
    </font>
    <font>
      <i/>
      <sz val="9"/>
      <color rgb="FF000000"/>
      <name val="Calibri"/>
      <family val="2"/>
      <charset val="1"/>
    </font>
    <font>
      <sz val="10"/>
      <name val="Arial"/>
      <family val="2"/>
    </font>
    <font>
      <sz val="10"/>
      <name val="Calibri"/>
      <family val="2"/>
      <charset val="1"/>
    </font>
    <font>
      <u/>
      <sz val="11"/>
      <color theme="10"/>
      <name val="Arial"/>
      <family val="2"/>
      <charset val="1"/>
    </font>
    <font>
      <sz val="10"/>
      <color rgb="FF333333"/>
      <name val="Calibri"/>
      <family val="2"/>
    </font>
    <font>
      <b/>
      <sz val="10"/>
      <color rgb="FFFF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333333"/>
      <name val="Arial"/>
      <family val="2"/>
    </font>
    <font>
      <sz val="10"/>
      <color rgb="FFFF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10"/>
      <color rgb="FFFF0000"/>
      <name val="Calibri"/>
      <family val="2"/>
      <charset val="1"/>
    </font>
  </fonts>
  <fills count="59">
    <fill>
      <patternFill patternType="none"/>
    </fill>
    <fill>
      <patternFill patternType="gray125"/>
    </fill>
    <fill>
      <patternFill patternType="solid">
        <fgColor rgb="FF1F4E78"/>
        <bgColor rgb="FF3D4C2F"/>
      </patternFill>
    </fill>
    <fill>
      <patternFill patternType="solid">
        <fgColor rgb="FFD9E1F2"/>
        <bgColor rgb="FFD6DCE4"/>
      </patternFill>
    </fill>
    <fill>
      <patternFill patternType="solid">
        <fgColor rgb="FFBF819E"/>
        <bgColor rgb="FFA6A6A6"/>
      </patternFill>
    </fill>
    <fill>
      <patternFill patternType="solid">
        <fgColor rgb="FF729FCF"/>
        <bgColor rgb="FF5B9BD5"/>
      </patternFill>
    </fill>
    <fill>
      <patternFill patternType="solid">
        <fgColor rgb="FF8EA9DB"/>
        <bgColor rgb="FF8FAADC"/>
      </patternFill>
    </fill>
    <fill>
      <patternFill patternType="solid">
        <fgColor rgb="FFD0CECE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FCE4D6"/>
        <bgColor rgb="FFFFF2CC"/>
      </patternFill>
    </fill>
    <fill>
      <patternFill patternType="solid">
        <fgColor rgb="FF49873A"/>
        <bgColor rgb="FF808080"/>
      </patternFill>
    </fill>
    <fill>
      <patternFill patternType="solid">
        <fgColor rgb="FFC6E0B4"/>
        <bgColor rgb="FFD9D9D9"/>
      </patternFill>
    </fill>
    <fill>
      <patternFill patternType="solid">
        <fgColor rgb="FFFFF2CC"/>
        <bgColor rgb="FFFFFFCC"/>
      </patternFill>
    </fill>
    <fill>
      <patternFill patternType="solid">
        <fgColor rgb="FF8497B0"/>
        <bgColor rgb="FF729FCF"/>
      </patternFill>
    </fill>
    <fill>
      <patternFill patternType="solid">
        <fgColor rgb="FFD6DCE4"/>
        <bgColor rgb="FFDBDBDB"/>
      </patternFill>
    </fill>
    <fill>
      <patternFill patternType="solid">
        <fgColor rgb="FFFFFF00"/>
        <bgColor rgb="FFFFCC00"/>
      </patternFill>
    </fill>
    <fill>
      <patternFill patternType="solid">
        <fgColor rgb="FFB4C7DC"/>
        <bgColor rgb="FFB4C6E7"/>
      </patternFill>
    </fill>
    <fill>
      <patternFill patternType="solid">
        <fgColor rgb="FFFFFFCC"/>
        <bgColor rgb="FFFFF2CC"/>
      </patternFill>
    </fill>
    <fill>
      <patternFill patternType="solid">
        <fgColor rgb="FFCC99FF"/>
        <bgColor rgb="FFADB9CA"/>
      </patternFill>
    </fill>
    <fill>
      <patternFill patternType="solid">
        <fgColor rgb="FF00CCFF"/>
        <bgColor rgb="FF5B9BD5"/>
      </patternFill>
    </fill>
    <fill>
      <patternFill patternType="solid">
        <fgColor rgb="FF00FF00"/>
        <bgColor rgb="FF5EB91E"/>
      </patternFill>
    </fill>
    <fill>
      <patternFill patternType="solid">
        <fgColor rgb="FFCCCCFF"/>
        <bgColor rgb="FFB4C6E7"/>
      </patternFill>
    </fill>
    <fill>
      <patternFill patternType="solid">
        <fgColor rgb="FFC0C0C0"/>
        <bgColor rgb="FFC1C1C1"/>
      </patternFill>
    </fill>
    <fill>
      <patternFill patternType="solid">
        <fgColor rgb="FFFD6802"/>
        <bgColor rgb="FFFF9999"/>
      </patternFill>
    </fill>
    <fill>
      <patternFill patternType="solid">
        <fgColor rgb="FFFFCC00"/>
        <bgColor rgb="FFFFC000"/>
      </patternFill>
    </fill>
    <fill>
      <patternFill patternType="solid">
        <fgColor rgb="FFD9D9D9"/>
        <bgColor rgb="FFDBDBDB"/>
      </patternFill>
    </fill>
    <fill>
      <patternFill patternType="solid">
        <fgColor rgb="FFA1467E"/>
        <bgColor rgb="FF824802"/>
      </patternFill>
    </fill>
    <fill>
      <patternFill patternType="solid">
        <fgColor rgb="FF5EB91E"/>
        <bgColor rgb="FF70AD47"/>
      </patternFill>
    </fill>
    <fill>
      <patternFill patternType="solid">
        <fgColor rgb="FF5983B0"/>
        <bgColor rgb="FF5B9BD5"/>
      </patternFill>
    </fill>
    <fill>
      <patternFill patternType="solid">
        <fgColor rgb="FFA6A6A6"/>
        <bgColor rgb="FFADB9CA"/>
      </patternFill>
    </fill>
    <fill>
      <patternFill patternType="solid">
        <fgColor rgb="FFBBE33D"/>
        <bgColor rgb="FFA9D18E"/>
      </patternFill>
    </fill>
    <fill>
      <patternFill patternType="solid">
        <fgColor rgb="FF808080"/>
        <bgColor rgb="FF8497B0"/>
      </patternFill>
    </fill>
    <fill>
      <patternFill patternType="solid">
        <fgColor rgb="FF5B9BD5"/>
        <bgColor rgb="FF729FCF"/>
      </patternFill>
    </fill>
    <fill>
      <patternFill patternType="darkGray">
        <fgColor rgb="FFFD6802"/>
        <bgColor rgb="FFFF9999"/>
      </patternFill>
    </fill>
    <fill>
      <patternFill patternType="solid">
        <fgColor rgb="FF9BC2E6"/>
        <bgColor rgb="FFB4C6E7"/>
      </patternFill>
    </fill>
    <fill>
      <patternFill patternType="solid">
        <fgColor rgb="FFADB9CA"/>
        <bgColor rgb="FFC0C0C0"/>
      </patternFill>
    </fill>
    <fill>
      <patternFill patternType="solid">
        <fgColor rgb="FFDBDBDB"/>
        <bgColor rgb="FFDDDDDD"/>
      </patternFill>
    </fill>
    <fill>
      <patternFill patternType="solid">
        <fgColor rgb="FFF4B183"/>
        <bgColor rgb="FFFF9999"/>
      </patternFill>
    </fill>
    <fill>
      <patternFill patternType="solid">
        <fgColor rgb="FFFF9999"/>
        <bgColor rgb="FFF4B183"/>
      </patternFill>
    </fill>
    <fill>
      <patternFill patternType="solid">
        <fgColor rgb="FFFFCCCC"/>
        <bgColor rgb="FFF8CBAD"/>
      </patternFill>
    </fill>
    <fill>
      <patternFill patternType="solid">
        <fgColor rgb="FFC1C1C1"/>
        <bgColor rgb="FFC0C0C0"/>
      </patternFill>
    </fill>
    <fill>
      <patternFill patternType="solid">
        <fgColor rgb="FFDDDDDD"/>
        <bgColor rgb="FFDBDBDB"/>
      </patternFill>
    </fill>
    <fill>
      <patternFill patternType="solid">
        <fgColor rgb="FF70AD47"/>
        <bgColor rgb="FF5EB91E"/>
      </patternFill>
    </fill>
    <fill>
      <patternFill patternType="solid">
        <fgColor rgb="FFA9D08E"/>
        <bgColor rgb="FFA9D18E"/>
      </patternFill>
    </fill>
    <fill>
      <patternFill patternType="solid">
        <fgColor rgb="FFCCCCCC"/>
        <bgColor rgb="FFD0CECE"/>
      </patternFill>
    </fill>
    <fill>
      <patternFill patternType="solid">
        <fgColor rgb="FFDEEBF7"/>
        <bgColor rgb="FFD9E1F2"/>
      </patternFill>
    </fill>
    <fill>
      <patternFill patternType="solid">
        <fgColor rgb="FF8FAADC"/>
        <bgColor rgb="FF8EA9DB"/>
      </patternFill>
    </fill>
    <fill>
      <patternFill patternType="solid">
        <fgColor rgb="FFFFFF99"/>
        <bgColor rgb="FFFFFFCC"/>
      </patternFill>
    </fill>
    <fill>
      <patternFill patternType="solid">
        <fgColor rgb="FFD6D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A707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DDDDD"/>
        <bgColor rgb="FFD9D9D9"/>
      </patternFill>
    </fill>
    <fill>
      <patternFill patternType="solid">
        <fgColor rgb="FF9BC2E6"/>
        <bgColor rgb="FF000000"/>
      </patternFill>
    </fill>
    <fill>
      <patternFill patternType="solid">
        <fgColor rgb="FFFFFFFF"/>
        <bgColor indexed="64"/>
      </patternFill>
    </fill>
  </fills>
  <borders count="2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9BC2E6"/>
      </left>
      <right/>
      <top style="thin">
        <color rgb="FFB4C6E7"/>
      </top>
      <bottom style="thin">
        <color rgb="FF9BC2E6"/>
      </bottom>
      <diagonal/>
    </border>
    <border>
      <left/>
      <right/>
      <top style="thin">
        <color rgb="FFB4C6E7"/>
      </top>
      <bottom/>
      <diagonal/>
    </border>
    <border>
      <left/>
      <right/>
      <top style="thin">
        <color rgb="FFB4C6E7"/>
      </top>
      <bottom style="thin">
        <color rgb="FF9BC2E6"/>
      </bottom>
      <diagonal/>
    </border>
    <border>
      <left/>
      <right/>
      <top style="thin">
        <color rgb="FFB4C6E7"/>
      </top>
      <bottom style="thin">
        <color rgb="FFB4C6E7"/>
      </bottom>
      <diagonal/>
    </border>
    <border>
      <left/>
      <right/>
      <top style="thin">
        <color rgb="FF9BC2E6"/>
      </top>
      <bottom style="thin">
        <color rgb="FFB4C6E7"/>
      </bottom>
      <diagonal/>
    </border>
    <border>
      <left/>
      <right/>
      <top/>
      <bottom style="thin">
        <color rgb="FFB4C6E7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/>
      <right style="medium">
        <color rgb="FF000000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/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/>
      <bottom style="medium">
        <color auto="1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rgb="FF000000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/>
    <xf numFmtId="168" fontId="12" fillId="0" borderId="0"/>
    <xf numFmtId="9" fontId="15" fillId="0" borderId="0" applyBorder="0" applyProtection="0"/>
    <xf numFmtId="166" fontId="1" fillId="0" borderId="0" applyBorder="0" applyProtection="0"/>
    <xf numFmtId="0" fontId="48" fillId="0" borderId="0" applyNumberFormat="0" applyFill="0" applyBorder="0" applyAlignment="0" applyProtection="0"/>
  </cellStyleXfs>
  <cellXfs count="1044">
    <xf numFmtId="0" fontId="0" fillId="0" borderId="0" xfId="0"/>
    <xf numFmtId="0" fontId="6" fillId="3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167" fontId="3" fillId="0" borderId="3" xfId="0" applyNumberFormat="1" applyFont="1" applyBorder="1" applyAlignment="1">
      <alignment vertical="center"/>
    </xf>
    <xf numFmtId="167" fontId="3" fillId="0" borderId="3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3" xfId="0" applyFont="1" applyBorder="1"/>
    <xf numFmtId="2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/>
    <xf numFmtId="0" fontId="6" fillId="0" borderId="10" xfId="0" applyFont="1" applyBorder="1"/>
    <xf numFmtId="0" fontId="6" fillId="3" borderId="11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169" fontId="13" fillId="0" borderId="0" xfId="1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70" fontId="3" fillId="0" borderId="3" xfId="1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165" fontId="15" fillId="0" borderId="20" xfId="0" applyNumberFormat="1" applyFont="1" applyBorder="1" applyAlignment="1">
      <alignment vertical="center"/>
    </xf>
    <xf numFmtId="165" fontId="15" fillId="0" borderId="21" xfId="0" applyNumberFormat="1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165" fontId="15" fillId="0" borderId="26" xfId="0" applyNumberFormat="1" applyFont="1" applyBorder="1" applyAlignment="1">
      <alignment vertical="center"/>
    </xf>
    <xf numFmtId="165" fontId="15" fillId="0" borderId="18" xfId="0" applyNumberFormat="1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0" fontId="17" fillId="3" borderId="28" xfId="0" applyFont="1" applyFill="1" applyBorder="1" applyAlignment="1">
      <alignment horizontal="center" vertical="center" wrapText="1"/>
    </xf>
    <xf numFmtId="164" fontId="15" fillId="0" borderId="29" xfId="0" applyNumberFormat="1" applyFont="1" applyBorder="1" applyAlignment="1">
      <alignment vertical="center"/>
    </xf>
    <xf numFmtId="164" fontId="15" fillId="0" borderId="32" xfId="0" applyNumberFormat="1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15" fillId="8" borderId="32" xfId="0" applyFont="1" applyFill="1" applyBorder="1" applyAlignment="1">
      <alignment vertical="center"/>
    </xf>
    <xf numFmtId="0" fontId="15" fillId="8" borderId="0" xfId="0" applyFont="1" applyFill="1" applyAlignment="1">
      <alignment vertical="center"/>
    </xf>
    <xf numFmtId="171" fontId="15" fillId="8" borderId="0" xfId="0" applyNumberFormat="1" applyFont="1" applyFill="1" applyAlignment="1">
      <alignment vertical="center"/>
    </xf>
    <xf numFmtId="0" fontId="17" fillId="3" borderId="34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2" fontId="15" fillId="8" borderId="3" xfId="0" applyNumberFormat="1" applyFont="1" applyFill="1" applyBorder="1" applyAlignment="1">
      <alignment vertical="center"/>
    </xf>
    <xf numFmtId="0" fontId="17" fillId="3" borderId="37" xfId="0" applyFont="1" applyFill="1" applyBorder="1" applyAlignment="1">
      <alignment horizontal="center" vertical="center" wrapText="1"/>
    </xf>
    <xf numFmtId="165" fontId="15" fillId="8" borderId="0" xfId="0" applyNumberFormat="1" applyFont="1" applyFill="1" applyAlignment="1">
      <alignment vertical="center"/>
    </xf>
    <xf numFmtId="164" fontId="15" fillId="8" borderId="0" xfId="0" applyNumberFormat="1" applyFont="1" applyFill="1" applyAlignment="1">
      <alignment vertical="center"/>
    </xf>
    <xf numFmtId="0" fontId="17" fillId="9" borderId="15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9" fontId="16" fillId="9" borderId="40" xfId="0" applyNumberFormat="1" applyFont="1" applyFill="1" applyBorder="1" applyAlignment="1">
      <alignment horizontal="left" vertical="center"/>
    </xf>
    <xf numFmtId="0" fontId="16" fillId="9" borderId="40" xfId="0" applyFont="1" applyFill="1" applyBorder="1" applyAlignment="1">
      <alignment horizontal="center" vertical="center"/>
    </xf>
    <xf numFmtId="0" fontId="17" fillId="11" borderId="8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/>
    </xf>
    <xf numFmtId="0" fontId="15" fillId="0" borderId="42" xfId="0" applyFont="1" applyBorder="1" applyAlignment="1">
      <alignment vertical="center"/>
    </xf>
    <xf numFmtId="165" fontId="15" fillId="0" borderId="43" xfId="0" applyNumberFormat="1" applyFont="1" applyBorder="1" applyAlignment="1">
      <alignment vertical="center"/>
    </xf>
    <xf numFmtId="0" fontId="17" fillId="14" borderId="8" xfId="0" applyFont="1" applyFill="1" applyBorder="1" applyAlignment="1">
      <alignment horizontal="center" vertical="center" wrapText="1"/>
    </xf>
    <xf numFmtId="0" fontId="17" fillId="14" borderId="26" xfId="0" applyFont="1" applyFill="1" applyBorder="1" applyAlignment="1">
      <alignment horizontal="center" vertical="center" wrapText="1"/>
    </xf>
    <xf numFmtId="171" fontId="15" fillId="0" borderId="30" xfId="0" applyNumberFormat="1" applyFont="1" applyBorder="1" applyAlignment="1">
      <alignment vertical="center"/>
    </xf>
    <xf numFmtId="2" fontId="15" fillId="0" borderId="3" xfId="0" applyNumberFormat="1" applyFont="1" applyBorder="1" applyAlignment="1">
      <alignment vertical="center"/>
    </xf>
    <xf numFmtId="165" fontId="15" fillId="0" borderId="6" xfId="0" applyNumberFormat="1" applyFont="1" applyBorder="1" applyAlignment="1">
      <alignment vertical="center"/>
    </xf>
    <xf numFmtId="171" fontId="15" fillId="0" borderId="31" xfId="0" applyNumberFormat="1" applyFont="1" applyBorder="1" applyAlignment="1">
      <alignment vertical="center"/>
    </xf>
    <xf numFmtId="165" fontId="15" fillId="0" borderId="47" xfId="0" applyNumberFormat="1" applyFont="1" applyBorder="1" applyAlignment="1">
      <alignment vertical="center"/>
    </xf>
    <xf numFmtId="171" fontId="15" fillId="0" borderId="48" xfId="0" applyNumberFormat="1" applyFont="1" applyBorder="1" applyAlignment="1">
      <alignment vertical="center"/>
    </xf>
    <xf numFmtId="2" fontId="15" fillId="0" borderId="7" xfId="0" applyNumberFormat="1" applyFont="1" applyBorder="1" applyAlignment="1">
      <alignment vertical="center"/>
    </xf>
    <xf numFmtId="171" fontId="15" fillId="0" borderId="21" xfId="0" applyNumberFormat="1" applyFont="1" applyBorder="1" applyAlignment="1">
      <alignment vertical="center"/>
    </xf>
    <xf numFmtId="0" fontId="21" fillId="8" borderId="22" xfId="0" applyFont="1" applyFill="1" applyBorder="1" applyAlignment="1">
      <alignment wrapText="1"/>
    </xf>
    <xf numFmtId="0" fontId="15" fillId="0" borderId="6" xfId="0" applyFont="1" applyBorder="1" applyAlignment="1">
      <alignment vertical="center"/>
    </xf>
    <xf numFmtId="0" fontId="9" fillId="0" borderId="0" xfId="0" applyFont="1"/>
    <xf numFmtId="0" fontId="23" fillId="8" borderId="32" xfId="0" applyFont="1" applyFill="1" applyBorder="1" applyAlignment="1">
      <alignment vertical="center"/>
    </xf>
    <xf numFmtId="0" fontId="23" fillId="8" borderId="0" xfId="0" applyFont="1" applyFill="1" applyAlignment="1">
      <alignment vertical="center"/>
    </xf>
    <xf numFmtId="167" fontId="6" fillId="17" borderId="44" xfId="0" applyNumberFormat="1" applyFont="1" applyFill="1" applyBorder="1" applyAlignment="1">
      <alignment horizontal="center" vertical="center"/>
    </xf>
    <xf numFmtId="0" fontId="9" fillId="8" borderId="32" xfId="0" applyFont="1" applyFill="1" applyBorder="1" applyAlignment="1">
      <alignment vertical="center"/>
    </xf>
    <xf numFmtId="0" fontId="6" fillId="8" borderId="0" xfId="0" applyFont="1" applyFill="1" applyAlignment="1">
      <alignment horizontal="right" vertical="center"/>
    </xf>
    <xf numFmtId="173" fontId="3" fillId="17" borderId="22" xfId="1" applyNumberFormat="1" applyFont="1" applyFill="1" applyBorder="1" applyAlignment="1">
      <alignment horizontal="center" vertical="center"/>
    </xf>
    <xf numFmtId="167" fontId="3" fillId="17" borderId="22" xfId="0" applyNumberFormat="1" applyFont="1" applyFill="1" applyBorder="1" applyAlignment="1">
      <alignment horizontal="center" vertical="center"/>
    </xf>
    <xf numFmtId="167" fontId="3" fillId="17" borderId="41" xfId="0" applyNumberFormat="1" applyFont="1" applyFill="1" applyBorder="1" applyAlignment="1">
      <alignment horizontal="center" vertical="center"/>
    </xf>
    <xf numFmtId="0" fontId="22" fillId="20" borderId="22" xfId="0" applyFont="1" applyFill="1" applyBorder="1" applyAlignment="1">
      <alignment vertical="center" wrapText="1"/>
    </xf>
    <xf numFmtId="169" fontId="22" fillId="20" borderId="3" xfId="1" applyNumberFormat="1" applyFont="1" applyFill="1" applyBorder="1" applyAlignment="1">
      <alignment horizontal="center" vertical="center"/>
    </xf>
    <xf numFmtId="169" fontId="22" fillId="20" borderId="54" xfId="1" applyNumberFormat="1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vertical="center" wrapText="1"/>
    </xf>
    <xf numFmtId="165" fontId="24" fillId="8" borderId="3" xfId="2" applyNumberFormat="1" applyFont="1" applyFill="1" applyBorder="1" applyAlignment="1" applyProtection="1">
      <alignment vertical="center"/>
    </xf>
    <xf numFmtId="169" fontId="22" fillId="8" borderId="3" xfId="1" applyNumberFormat="1" applyFont="1" applyFill="1" applyBorder="1"/>
    <xf numFmtId="169" fontId="22" fillId="8" borderId="54" xfId="1" applyNumberFormat="1" applyFont="1" applyFill="1" applyBorder="1"/>
    <xf numFmtId="10" fontId="24" fillId="8" borderId="3" xfId="2" applyNumberFormat="1" applyFont="1" applyFill="1" applyBorder="1" applyAlignment="1" applyProtection="1">
      <alignment vertical="center"/>
    </xf>
    <xf numFmtId="169" fontId="25" fillId="8" borderId="3" xfId="2" applyNumberFormat="1" applyFont="1" applyFill="1" applyBorder="1" applyAlignment="1" applyProtection="1">
      <alignment vertical="center"/>
    </xf>
    <xf numFmtId="10" fontId="25" fillId="8" borderId="3" xfId="0" applyNumberFormat="1" applyFont="1" applyFill="1" applyBorder="1" applyAlignment="1">
      <alignment vertical="center"/>
    </xf>
    <xf numFmtId="0" fontId="20" fillId="6" borderId="22" xfId="0" applyFont="1" applyFill="1" applyBorder="1" applyAlignment="1">
      <alignment horizontal="right" vertical="center"/>
    </xf>
    <xf numFmtId="9" fontId="20" fillId="6" borderId="3" xfId="0" applyNumberFormat="1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54" xfId="0" applyFont="1" applyFill="1" applyBorder="1" applyAlignment="1">
      <alignment horizontal="center" vertical="center"/>
    </xf>
    <xf numFmtId="0" fontId="20" fillId="3" borderId="22" xfId="0" applyFont="1" applyFill="1" applyBorder="1" applyAlignment="1">
      <alignment vertical="center"/>
    </xf>
    <xf numFmtId="169" fontId="22" fillId="21" borderId="3" xfId="1" applyNumberFormat="1" applyFont="1" applyFill="1" applyBorder="1" applyAlignment="1">
      <alignment horizontal="center" vertical="center"/>
    </xf>
    <xf numFmtId="169" fontId="22" fillId="21" borderId="54" xfId="1" applyNumberFormat="1" applyFont="1" applyFill="1" applyBorder="1" applyAlignment="1">
      <alignment horizontal="center" vertical="center"/>
    </xf>
    <xf numFmtId="0" fontId="21" fillId="0" borderId="22" xfId="0" applyFont="1" applyBorder="1" applyAlignment="1">
      <alignment vertical="center"/>
    </xf>
    <xf numFmtId="10" fontId="20" fillId="6" borderId="3" xfId="0" applyNumberFormat="1" applyFont="1" applyFill="1" applyBorder="1" applyAlignment="1">
      <alignment horizontal="center" vertical="center"/>
    </xf>
    <xf numFmtId="2" fontId="20" fillId="6" borderId="3" xfId="0" applyNumberFormat="1" applyFont="1" applyFill="1" applyBorder="1" applyAlignment="1">
      <alignment horizontal="right" vertical="center"/>
    </xf>
    <xf numFmtId="2" fontId="20" fillId="6" borderId="54" xfId="0" applyNumberFormat="1" applyFont="1" applyFill="1" applyBorder="1" applyAlignment="1">
      <alignment horizontal="right" vertical="center"/>
    </xf>
    <xf numFmtId="0" fontId="20" fillId="3" borderId="3" xfId="0" applyFont="1" applyFill="1" applyBorder="1" applyAlignment="1">
      <alignment vertical="center"/>
    </xf>
    <xf numFmtId="0" fontId="20" fillId="3" borderId="54" xfId="0" applyFont="1" applyFill="1" applyBorder="1" applyAlignment="1">
      <alignment vertical="center"/>
    </xf>
    <xf numFmtId="169" fontId="22" fillId="8" borderId="3" xfId="1" applyNumberFormat="1" applyFont="1" applyFill="1" applyBorder="1" applyAlignment="1">
      <alignment vertical="center"/>
    </xf>
    <xf numFmtId="169" fontId="22" fillId="8" borderId="54" xfId="1" applyNumberFormat="1" applyFont="1" applyFill="1" applyBorder="1" applyAlignment="1">
      <alignment vertical="center"/>
    </xf>
    <xf numFmtId="174" fontId="24" fillId="8" borderId="3" xfId="2" applyNumberFormat="1" applyFont="1" applyFill="1" applyBorder="1" applyAlignment="1" applyProtection="1">
      <alignment horizontal="right" vertical="center"/>
    </xf>
    <xf numFmtId="174" fontId="24" fillId="8" borderId="3" xfId="2" applyNumberFormat="1" applyFont="1" applyFill="1" applyBorder="1" applyAlignment="1" applyProtection="1">
      <alignment vertical="center"/>
    </xf>
    <xf numFmtId="166" fontId="24" fillId="8" borderId="3" xfId="2" applyNumberFormat="1" applyFont="1" applyFill="1" applyBorder="1" applyAlignment="1" applyProtection="1">
      <alignment vertical="center"/>
    </xf>
    <xf numFmtId="10" fontId="21" fillId="0" borderId="3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vertical="center"/>
    </xf>
    <xf numFmtId="4" fontId="21" fillId="0" borderId="54" xfId="0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20" fillId="3" borderId="3" xfId="0" applyFont="1" applyFill="1" applyBorder="1" applyAlignment="1">
      <alignment horizontal="center" vertical="center"/>
    </xf>
    <xf numFmtId="0" fontId="20" fillId="3" borderId="54" xfId="0" applyFont="1" applyFill="1" applyBorder="1" applyAlignment="1">
      <alignment horizontal="center" vertical="center"/>
    </xf>
    <xf numFmtId="2" fontId="21" fillId="0" borderId="3" xfId="0" applyNumberFormat="1" applyFont="1" applyBorder="1" applyAlignment="1">
      <alignment horizontal="right" vertical="center"/>
    </xf>
    <xf numFmtId="4" fontId="20" fillId="6" borderId="3" xfId="0" applyNumberFormat="1" applyFont="1" applyFill="1" applyBorder="1" applyAlignment="1">
      <alignment horizontal="right" vertical="center"/>
    </xf>
    <xf numFmtId="4" fontId="20" fillId="6" borderId="54" xfId="0" applyNumberFormat="1" applyFont="1" applyFill="1" applyBorder="1" applyAlignment="1">
      <alignment horizontal="right" vertical="center"/>
    </xf>
    <xf numFmtId="10" fontId="24" fillId="8" borderId="3" xfId="2" applyNumberFormat="1" applyFont="1" applyFill="1" applyBorder="1" applyAlignment="1" applyProtection="1">
      <alignment vertical="center"/>
      <protection locked="0"/>
    </xf>
    <xf numFmtId="0" fontId="22" fillId="22" borderId="22" xfId="0" applyFont="1" applyFill="1" applyBorder="1" applyAlignment="1">
      <alignment horizontal="right" vertical="center" wrapText="1"/>
    </xf>
    <xf numFmtId="10" fontId="22" fillId="22" borderId="3" xfId="0" applyNumberFormat="1" applyFont="1" applyFill="1" applyBorder="1" applyAlignment="1">
      <alignment horizontal="right" vertical="center" wrapText="1"/>
    </xf>
    <xf numFmtId="169" fontId="22" fillId="22" borderId="3" xfId="0" applyNumberFormat="1" applyFont="1" applyFill="1" applyBorder="1" applyAlignment="1">
      <alignment vertical="center"/>
    </xf>
    <xf numFmtId="169" fontId="22" fillId="22" borderId="54" xfId="0" applyNumberFormat="1" applyFont="1" applyFill="1" applyBorder="1" applyAlignment="1">
      <alignment vertical="center"/>
    </xf>
    <xf numFmtId="0" fontId="25" fillId="22" borderId="3" xfId="0" applyFont="1" applyFill="1" applyBorder="1" applyAlignment="1">
      <alignment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61" xfId="0" applyFont="1" applyFill="1" applyBorder="1" applyAlignment="1">
      <alignment horizontal="center" vertical="center"/>
    </xf>
    <xf numFmtId="169" fontId="22" fillId="8" borderId="3" xfId="0" applyNumberFormat="1" applyFont="1" applyFill="1" applyBorder="1" applyAlignment="1">
      <alignment vertical="center"/>
    </xf>
    <xf numFmtId="169" fontId="22" fillId="8" borderId="54" xfId="0" applyNumberFormat="1" applyFont="1" applyFill="1" applyBorder="1" applyAlignment="1">
      <alignment vertical="center"/>
    </xf>
    <xf numFmtId="169" fontId="26" fillId="8" borderId="3" xfId="0" applyNumberFormat="1" applyFont="1" applyFill="1" applyBorder="1" applyAlignment="1">
      <alignment vertical="center"/>
    </xf>
    <xf numFmtId="169" fontId="26" fillId="8" borderId="54" xfId="0" applyNumberFormat="1" applyFont="1" applyFill="1" applyBorder="1" applyAlignment="1">
      <alignment vertical="center"/>
    </xf>
    <xf numFmtId="0" fontId="22" fillId="22" borderId="41" xfId="0" applyFont="1" applyFill="1" applyBorder="1" applyAlignment="1">
      <alignment horizontal="right" vertical="center" wrapText="1"/>
    </xf>
    <xf numFmtId="0" fontId="20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2" fillId="36" borderId="38" xfId="0" applyFont="1" applyFill="1" applyBorder="1" applyAlignment="1">
      <alignment horizontal="center" vertical="center" wrapText="1"/>
    </xf>
    <xf numFmtId="0" fontId="21" fillId="38" borderId="2" xfId="0" applyFont="1" applyFill="1" applyBorder="1" applyAlignment="1" applyProtection="1">
      <alignment horizontal="left" vertical="center" wrapText="1"/>
      <protection locked="0"/>
    </xf>
    <xf numFmtId="165" fontId="14" fillId="0" borderId="9" xfId="1" applyNumberFormat="1" applyFont="1" applyBorder="1" applyAlignment="1">
      <alignment horizontal="center" vertical="center"/>
    </xf>
    <xf numFmtId="172" fontId="14" fillId="0" borderId="20" xfId="0" applyNumberFormat="1" applyFont="1" applyBorder="1" applyAlignment="1">
      <alignment horizontal="center" vertical="center"/>
    </xf>
    <xf numFmtId="172" fontId="32" fillId="29" borderId="29" xfId="0" applyNumberFormat="1" applyFont="1" applyFill="1" applyBorder="1" applyAlignment="1">
      <alignment horizontal="center" vertical="center" wrapText="1"/>
    </xf>
    <xf numFmtId="168" fontId="21" fillId="35" borderId="62" xfId="1" applyFont="1" applyFill="1" applyBorder="1" applyAlignment="1">
      <alignment horizontal="center" vertical="center"/>
    </xf>
    <xf numFmtId="172" fontId="21" fillId="36" borderId="53" xfId="1" applyNumberFormat="1" applyFont="1" applyFill="1" applyBorder="1" applyAlignment="1">
      <alignment horizontal="center" vertical="center"/>
    </xf>
    <xf numFmtId="172" fontId="21" fillId="37" borderId="53" xfId="1" applyNumberFormat="1" applyFont="1" applyFill="1" applyBorder="1" applyAlignment="1">
      <alignment horizontal="center" vertical="center"/>
    </xf>
    <xf numFmtId="0" fontId="21" fillId="39" borderId="63" xfId="0" applyFont="1" applyFill="1" applyBorder="1" applyAlignment="1" applyProtection="1">
      <alignment horizontal="left" vertical="center"/>
      <protection locked="0"/>
    </xf>
    <xf numFmtId="165" fontId="14" fillId="0" borderId="5" xfId="1" applyNumberFormat="1" applyFont="1" applyBorder="1" applyAlignment="1">
      <alignment horizontal="center" vertical="center"/>
    </xf>
    <xf numFmtId="172" fontId="14" fillId="0" borderId="6" xfId="0" applyNumberFormat="1" applyFont="1" applyBorder="1" applyAlignment="1">
      <alignment horizontal="center" vertical="center"/>
    </xf>
    <xf numFmtId="172" fontId="32" fillId="29" borderId="64" xfId="0" applyNumberFormat="1" applyFont="1" applyFill="1" applyBorder="1" applyAlignment="1">
      <alignment horizontal="center" vertical="center" wrapText="1"/>
    </xf>
    <xf numFmtId="168" fontId="21" fillId="35" borderId="64" xfId="1" applyFont="1" applyFill="1" applyBorder="1" applyAlignment="1">
      <alignment horizontal="center" vertical="center"/>
    </xf>
    <xf numFmtId="172" fontId="21" fillId="36" borderId="54" xfId="1" applyNumberFormat="1" applyFont="1" applyFill="1" applyBorder="1" applyAlignment="1">
      <alignment horizontal="center" vertical="center"/>
    </xf>
    <xf numFmtId="172" fontId="21" fillId="37" borderId="54" xfId="1" applyNumberFormat="1" applyFont="1" applyFill="1" applyBorder="1" applyAlignment="1">
      <alignment horizontal="center" vertical="center"/>
    </xf>
    <xf numFmtId="0" fontId="14" fillId="0" borderId="0" xfId="0" applyFont="1"/>
    <xf numFmtId="172" fontId="21" fillId="36" borderId="55" xfId="1" applyNumberFormat="1" applyFont="1" applyFill="1" applyBorder="1" applyAlignment="1">
      <alignment horizontal="center" vertical="center"/>
    </xf>
    <xf numFmtId="172" fontId="21" fillId="37" borderId="55" xfId="1" applyNumberFormat="1" applyFont="1" applyFill="1" applyBorder="1" applyAlignment="1">
      <alignment horizontal="center" vertical="center"/>
    </xf>
    <xf numFmtId="168" fontId="35" fillId="28" borderId="35" xfId="1" applyFont="1" applyFill="1" applyBorder="1" applyAlignment="1">
      <alignment horizontal="center" vertical="center"/>
    </xf>
    <xf numFmtId="172" fontId="35" fillId="28" borderId="37" xfId="1" applyNumberFormat="1" applyFont="1" applyFill="1" applyBorder="1" applyAlignment="1">
      <alignment horizontal="center" vertical="center"/>
    </xf>
    <xf numFmtId="168" fontId="35" fillId="28" borderId="52" xfId="1" applyFont="1" applyFill="1" applyBorder="1" applyAlignment="1">
      <alignment horizontal="center" vertical="center"/>
    </xf>
    <xf numFmtId="172" fontId="35" fillId="28" borderId="52" xfId="1" applyNumberFormat="1" applyFont="1" applyFill="1" applyBorder="1" applyAlignment="1">
      <alignment horizontal="center" vertical="center"/>
    </xf>
    <xf numFmtId="172" fontId="21" fillId="37" borderId="61" xfId="1" applyNumberFormat="1" applyFont="1" applyFill="1" applyBorder="1" applyAlignment="1">
      <alignment horizontal="center" vertical="center"/>
    </xf>
    <xf numFmtId="4" fontId="35" fillId="28" borderId="35" xfId="1" applyNumberFormat="1" applyFont="1" applyFill="1" applyBorder="1" applyAlignment="1">
      <alignment horizontal="center" vertical="center"/>
    </xf>
    <xf numFmtId="4" fontId="35" fillId="28" borderId="37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2" fontId="30" fillId="0" borderId="0" xfId="0" applyNumberFormat="1" applyFont="1" applyAlignment="1">
      <alignment horizontal="center"/>
    </xf>
    <xf numFmtId="0" fontId="2" fillId="0" borderId="0" xfId="0" applyFont="1"/>
    <xf numFmtId="0" fontId="0" fillId="2" borderId="68" xfId="0" applyFill="1" applyBorder="1" applyAlignment="1">
      <alignment horizontal="center" vertical="center"/>
    </xf>
    <xf numFmtId="4" fontId="37" fillId="2" borderId="70" xfId="0" applyNumberFormat="1" applyFont="1" applyFill="1" applyBorder="1" applyAlignment="1">
      <alignment horizontal="center" vertical="center"/>
    </xf>
    <xf numFmtId="0" fontId="36" fillId="2" borderId="70" xfId="0" applyFont="1" applyFill="1" applyBorder="1" applyAlignment="1">
      <alignment vertical="center"/>
    </xf>
    <xf numFmtId="0" fontId="37" fillId="2" borderId="70" xfId="0" applyFont="1" applyFill="1" applyBorder="1" applyAlignment="1">
      <alignment horizontal="center" vertical="center"/>
    </xf>
    <xf numFmtId="0" fontId="35" fillId="2" borderId="70" xfId="0" applyFont="1" applyFill="1" applyBorder="1" applyAlignment="1">
      <alignment horizontal="left" vertical="center"/>
    </xf>
    <xf numFmtId="4" fontId="38" fillId="2" borderId="71" xfId="0" applyNumberFormat="1" applyFont="1" applyFill="1" applyBorder="1" applyAlignment="1">
      <alignment horizontal="center" vertical="center"/>
    </xf>
    <xf numFmtId="4" fontId="39" fillId="2" borderId="7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37" fillId="2" borderId="0" xfId="0" applyFont="1" applyFill="1" applyAlignment="1">
      <alignment horizontal="center" vertical="center"/>
    </xf>
    <xf numFmtId="4" fontId="37" fillId="2" borderId="0" xfId="0" applyNumberFormat="1" applyFont="1" applyFill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73" xfId="0" applyFill="1" applyBorder="1" applyAlignment="1">
      <alignment vertical="center"/>
    </xf>
    <xf numFmtId="0" fontId="37" fillId="2" borderId="73" xfId="0" applyFont="1" applyFill="1" applyBorder="1" applyAlignment="1">
      <alignment horizontal="center" vertical="center"/>
    </xf>
    <xf numFmtId="4" fontId="37" fillId="2" borderId="73" xfId="0" applyNumberFormat="1" applyFont="1" applyFill="1" applyBorder="1" applyAlignment="1">
      <alignment horizontal="center" vertical="center"/>
    </xf>
    <xf numFmtId="0" fontId="34" fillId="0" borderId="0" xfId="0" applyFont="1"/>
    <xf numFmtId="0" fontId="32" fillId="41" borderId="39" xfId="0" applyFont="1" applyFill="1" applyBorder="1" applyAlignment="1">
      <alignment horizontal="center" vertical="center" wrapText="1"/>
    </xf>
    <xf numFmtId="0" fontId="33" fillId="42" borderId="12" xfId="0" applyFont="1" applyFill="1" applyBorder="1" applyAlignment="1">
      <alignment horizontal="center" wrapText="1"/>
    </xf>
    <xf numFmtId="0" fontId="32" fillId="41" borderId="12" xfId="0" applyFont="1" applyFill="1" applyBorder="1" applyAlignment="1">
      <alignment horizontal="center" vertical="center" wrapText="1"/>
    </xf>
    <xf numFmtId="0" fontId="32" fillId="34" borderId="59" xfId="0" applyFont="1" applyFill="1" applyBorder="1" applyAlignment="1">
      <alignment horizontal="center" vertical="center" wrapText="1"/>
    </xf>
    <xf numFmtId="168" fontId="21" fillId="41" borderId="29" xfId="1" applyFont="1" applyFill="1" applyBorder="1" applyAlignment="1">
      <alignment horizontal="center" vertical="center"/>
    </xf>
    <xf numFmtId="0" fontId="40" fillId="28" borderId="39" xfId="0" applyFont="1" applyFill="1" applyBorder="1" applyAlignment="1">
      <alignment horizontal="center" vertical="center"/>
    </xf>
    <xf numFmtId="168" fontId="20" fillId="28" borderId="34" xfId="1" applyFont="1" applyFill="1" applyBorder="1" applyAlignment="1">
      <alignment horizontal="center" vertical="center"/>
    </xf>
    <xf numFmtId="168" fontId="20" fillId="28" borderId="35" xfId="1" applyFont="1" applyFill="1" applyBorder="1" applyAlignment="1">
      <alignment horizontal="center" vertical="center"/>
    </xf>
    <xf numFmtId="168" fontId="20" fillId="28" borderId="52" xfId="1" applyFont="1" applyFill="1" applyBorder="1" applyAlignment="1">
      <alignment horizontal="center" vertical="center"/>
    </xf>
    <xf numFmtId="168" fontId="20" fillId="41" borderId="1" xfId="1" applyFont="1" applyFill="1" applyBorder="1" applyAlignment="1">
      <alignment horizontal="center" vertical="center"/>
    </xf>
    <xf numFmtId="168" fontId="20" fillId="41" borderId="38" xfId="1" applyFont="1" applyFill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2" fontId="30" fillId="44" borderId="2" xfId="0" applyNumberFormat="1" applyFont="1" applyFill="1" applyBorder="1" applyAlignment="1">
      <alignment horizontal="center"/>
    </xf>
    <xf numFmtId="0" fontId="41" fillId="0" borderId="0" xfId="0" applyFont="1"/>
    <xf numFmtId="2" fontId="30" fillId="44" borderId="64" xfId="0" applyNumberFormat="1" applyFont="1" applyFill="1" applyBorder="1" applyAlignment="1">
      <alignment horizontal="center"/>
    </xf>
    <xf numFmtId="2" fontId="30" fillId="44" borderId="22" xfId="0" applyNumberFormat="1" applyFont="1" applyFill="1" applyBorder="1" applyAlignment="1">
      <alignment horizontal="center"/>
    </xf>
    <xf numFmtId="2" fontId="30" fillId="44" borderId="3" xfId="0" applyNumberFormat="1" applyFont="1" applyFill="1" applyBorder="1" applyAlignment="1">
      <alignment horizontal="center"/>
    </xf>
    <xf numFmtId="2" fontId="30" fillId="44" borderId="54" xfId="0" applyNumberFormat="1" applyFont="1" applyFill="1" applyBorder="1" applyAlignment="1">
      <alignment horizontal="center"/>
    </xf>
    <xf numFmtId="2" fontId="30" fillId="44" borderId="23" xfId="0" applyNumberFormat="1" applyFont="1" applyFill="1" applyBorder="1" applyAlignment="1">
      <alignment horizontal="center"/>
    </xf>
    <xf numFmtId="2" fontId="30" fillId="44" borderId="67" xfId="0" applyNumberFormat="1" applyFont="1" applyFill="1" applyBorder="1" applyAlignment="1">
      <alignment horizontal="center"/>
    </xf>
    <xf numFmtId="2" fontId="30" fillId="44" borderId="41" xfId="0" applyNumberFormat="1" applyFont="1" applyFill="1" applyBorder="1" applyAlignment="1">
      <alignment horizontal="center"/>
    </xf>
    <xf numFmtId="2" fontId="30" fillId="44" borderId="42" xfId="0" applyNumberFormat="1" applyFont="1" applyFill="1" applyBorder="1" applyAlignment="1">
      <alignment horizontal="center"/>
    </xf>
    <xf numFmtId="2" fontId="30" fillId="44" borderId="55" xfId="0" applyNumberFormat="1" applyFont="1" applyFill="1" applyBorder="1" applyAlignment="1">
      <alignment horizontal="center"/>
    </xf>
    <xf numFmtId="2" fontId="30" fillId="44" borderId="75" xfId="0" applyNumberFormat="1" applyFont="1" applyFill="1" applyBorder="1" applyAlignment="1">
      <alignment horizontal="center"/>
    </xf>
    <xf numFmtId="2" fontId="30" fillId="11" borderId="19" xfId="0" applyNumberFormat="1" applyFont="1" applyFill="1" applyBorder="1" applyAlignment="1">
      <alignment horizontal="center"/>
    </xf>
    <xf numFmtId="176" fontId="30" fillId="11" borderId="19" xfId="0" applyNumberFormat="1" applyFont="1" applyFill="1" applyBorder="1" applyAlignment="1">
      <alignment horizontal="center"/>
    </xf>
    <xf numFmtId="176" fontId="30" fillId="11" borderId="7" xfId="0" applyNumberFormat="1" applyFont="1" applyFill="1" applyBorder="1" applyAlignment="1">
      <alignment horizontal="center"/>
    </xf>
    <xf numFmtId="177" fontId="30" fillId="11" borderId="7" xfId="0" applyNumberFormat="1" applyFont="1" applyFill="1" applyBorder="1" applyAlignment="1">
      <alignment horizontal="center"/>
    </xf>
    <xf numFmtId="177" fontId="30" fillId="11" borderId="60" xfId="0" applyNumberFormat="1" applyFont="1" applyFill="1" applyBorder="1" applyAlignment="1">
      <alignment horizontal="center"/>
    </xf>
    <xf numFmtId="2" fontId="30" fillId="11" borderId="22" xfId="0" applyNumberFormat="1" applyFont="1" applyFill="1" applyBorder="1" applyAlignment="1">
      <alignment horizontal="center"/>
    </xf>
    <xf numFmtId="176" fontId="30" fillId="11" borderId="22" xfId="0" applyNumberFormat="1" applyFont="1" applyFill="1" applyBorder="1" applyAlignment="1">
      <alignment horizontal="center"/>
    </xf>
    <xf numFmtId="176" fontId="30" fillId="11" borderId="3" xfId="0" applyNumberFormat="1" applyFont="1" applyFill="1" applyBorder="1" applyAlignment="1">
      <alignment horizontal="center"/>
    </xf>
    <xf numFmtId="177" fontId="30" fillId="11" borderId="3" xfId="0" applyNumberFormat="1" applyFont="1" applyFill="1" applyBorder="1" applyAlignment="1">
      <alignment horizontal="center"/>
    </xf>
    <xf numFmtId="177" fontId="30" fillId="11" borderId="54" xfId="0" applyNumberFormat="1" applyFont="1" applyFill="1" applyBorder="1" applyAlignment="1">
      <alignment horizontal="center"/>
    </xf>
    <xf numFmtId="0" fontId="8" fillId="40" borderId="41" xfId="0" applyFont="1" applyFill="1" applyBorder="1" applyAlignment="1" applyProtection="1">
      <alignment horizontal="center" vertical="center"/>
      <protection locked="0"/>
    </xf>
    <xf numFmtId="0" fontId="14" fillId="4" borderId="41" xfId="0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 wrapText="1"/>
    </xf>
    <xf numFmtId="0" fontId="14" fillId="30" borderId="42" xfId="0" applyFont="1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14" fillId="16" borderId="5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40" borderId="33" xfId="0" applyFont="1" applyFill="1" applyBorder="1" applyAlignment="1" applyProtection="1">
      <alignment horizontal="center" vertical="center"/>
      <protection locked="0"/>
    </xf>
    <xf numFmtId="3" fontId="14" fillId="30" borderId="42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167" fontId="6" fillId="17" borderId="62" xfId="0" applyNumberFormat="1" applyFont="1" applyFill="1" applyBorder="1" applyAlignment="1">
      <alignment horizontal="center" vertical="center"/>
    </xf>
    <xf numFmtId="167" fontId="6" fillId="17" borderId="30" xfId="0" applyNumberFormat="1" applyFont="1" applyFill="1" applyBorder="1" applyAlignment="1">
      <alignment horizontal="center" vertical="center"/>
    </xf>
    <xf numFmtId="173" fontId="3" fillId="17" borderId="64" xfId="1" applyNumberFormat="1" applyFont="1" applyFill="1" applyBorder="1" applyAlignment="1">
      <alignment horizontal="center" vertical="center"/>
    </xf>
    <xf numFmtId="173" fontId="3" fillId="17" borderId="31" xfId="1" applyNumberFormat="1" applyFont="1" applyFill="1" applyBorder="1" applyAlignment="1">
      <alignment horizontal="center" vertical="center"/>
    </xf>
    <xf numFmtId="167" fontId="3" fillId="17" borderId="64" xfId="0" applyNumberFormat="1" applyFont="1" applyFill="1" applyBorder="1" applyAlignment="1">
      <alignment horizontal="center" vertical="center"/>
    </xf>
    <xf numFmtId="167" fontId="3" fillId="17" borderId="31" xfId="0" applyNumberFormat="1" applyFont="1" applyFill="1" applyBorder="1" applyAlignment="1">
      <alignment horizontal="center" vertical="center"/>
    </xf>
    <xf numFmtId="167" fontId="3" fillId="17" borderId="67" xfId="0" applyNumberFormat="1" applyFont="1" applyFill="1" applyBorder="1" applyAlignment="1">
      <alignment horizontal="center" vertical="center"/>
    </xf>
    <xf numFmtId="167" fontId="3" fillId="17" borderId="33" xfId="0" applyNumberFormat="1" applyFont="1" applyFill="1" applyBorder="1" applyAlignment="1">
      <alignment horizontal="center" vertical="center"/>
    </xf>
    <xf numFmtId="0" fontId="22" fillId="8" borderId="44" xfId="0" applyFont="1" applyFill="1" applyBorder="1" applyAlignment="1">
      <alignment horizontal="center" vertical="center"/>
    </xf>
    <xf numFmtId="0" fontId="22" fillId="18" borderId="45" xfId="0" applyFont="1" applyFill="1" applyBorder="1" applyAlignment="1">
      <alignment horizontal="center" vertical="center" wrapText="1"/>
    </xf>
    <xf numFmtId="169" fontId="22" fillId="20" borderId="6" xfId="1" applyNumberFormat="1" applyFont="1" applyFill="1" applyBorder="1" applyAlignment="1">
      <alignment horizontal="center" vertical="center"/>
    </xf>
    <xf numFmtId="169" fontId="22" fillId="8" borderId="6" xfId="1" applyNumberFormat="1" applyFont="1" applyFill="1" applyBorder="1"/>
    <xf numFmtId="2" fontId="20" fillId="6" borderId="6" xfId="0" applyNumberFormat="1" applyFont="1" applyFill="1" applyBorder="1" applyAlignment="1">
      <alignment horizontal="right" vertical="center"/>
    </xf>
    <xf numFmtId="0" fontId="9" fillId="8" borderId="6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vertical="center"/>
    </xf>
    <xf numFmtId="169" fontId="22" fillId="8" borderId="6" xfId="1" applyNumberFormat="1" applyFont="1" applyFill="1" applyBorder="1" applyAlignment="1">
      <alignment vertical="center"/>
    </xf>
    <xf numFmtId="0" fontId="20" fillId="3" borderId="6" xfId="0" applyFont="1" applyFill="1" applyBorder="1" applyAlignment="1">
      <alignment horizontal="center" vertical="center"/>
    </xf>
    <xf numFmtId="4" fontId="20" fillId="6" borderId="6" xfId="0" applyNumberFormat="1" applyFont="1" applyFill="1" applyBorder="1" applyAlignment="1">
      <alignment horizontal="right" vertical="center"/>
    </xf>
    <xf numFmtId="169" fontId="22" fillId="21" borderId="6" xfId="1" applyNumberFormat="1" applyFont="1" applyFill="1" applyBorder="1" applyAlignment="1">
      <alignment horizontal="center" vertical="center"/>
    </xf>
    <xf numFmtId="169" fontId="22" fillId="22" borderId="6" xfId="0" applyNumberFormat="1" applyFont="1" applyFill="1" applyBorder="1" applyAlignment="1">
      <alignment vertical="center"/>
    </xf>
    <xf numFmtId="0" fontId="22" fillId="19" borderId="66" xfId="0" applyFont="1" applyFill="1" applyBorder="1" applyAlignment="1">
      <alignment vertical="center" wrapText="1"/>
    </xf>
    <xf numFmtId="0" fontId="22" fillId="19" borderId="4" xfId="0" applyFont="1" applyFill="1" applyBorder="1" applyAlignment="1">
      <alignment vertical="center" wrapText="1"/>
    </xf>
    <xf numFmtId="0" fontId="22" fillId="19" borderId="27" xfId="0" applyFont="1" applyFill="1" applyBorder="1" applyAlignment="1">
      <alignment vertical="center" wrapText="1"/>
    </xf>
    <xf numFmtId="0" fontId="9" fillId="8" borderId="47" xfId="0" applyFont="1" applyFill="1" applyBorder="1" applyAlignment="1">
      <alignment horizontal="center" vertical="center"/>
    </xf>
    <xf numFmtId="0" fontId="22" fillId="45" borderId="22" xfId="0" applyFont="1" applyFill="1" applyBorder="1" applyAlignment="1">
      <alignment vertical="center" wrapText="1"/>
    </xf>
    <xf numFmtId="10" fontId="24" fillId="45" borderId="3" xfId="2" applyNumberFormat="1" applyFont="1" applyFill="1" applyBorder="1" applyAlignment="1" applyProtection="1">
      <alignment vertical="center"/>
    </xf>
    <xf numFmtId="169" fontId="22" fillId="45" borderId="3" xfId="1" applyNumberFormat="1" applyFont="1" applyFill="1" applyBorder="1" applyAlignment="1">
      <alignment horizontal="left" vertical="center"/>
    </xf>
    <xf numFmtId="169" fontId="9" fillId="0" borderId="3" xfId="1" applyNumberFormat="1" applyFont="1" applyBorder="1" applyAlignment="1">
      <alignment vertical="center"/>
    </xf>
    <xf numFmtId="169" fontId="9" fillId="0" borderId="11" xfId="1" applyNumberFormat="1" applyFont="1" applyBorder="1" applyAlignment="1">
      <alignment vertical="center"/>
    </xf>
    <xf numFmtId="4" fontId="9" fillId="0" borderId="0" xfId="0" applyNumberFormat="1" applyFont="1"/>
    <xf numFmtId="10" fontId="24" fillId="8" borderId="11" xfId="2" applyNumberFormat="1" applyFont="1" applyFill="1" applyBorder="1" applyAlignment="1" applyProtection="1">
      <alignment vertical="center"/>
    </xf>
    <xf numFmtId="10" fontId="24" fillId="46" borderId="62" xfId="2" applyNumberFormat="1" applyFont="1" applyFill="1" applyBorder="1" applyAlignment="1" applyProtection="1">
      <alignment vertical="center"/>
    </xf>
    <xf numFmtId="169" fontId="22" fillId="46" borderId="45" xfId="1" applyNumberFormat="1" applyFont="1" applyFill="1" applyBorder="1" applyAlignment="1">
      <alignment vertical="center"/>
    </xf>
    <xf numFmtId="10" fontId="24" fillId="46" borderId="64" xfId="2" applyNumberFormat="1" applyFont="1" applyFill="1" applyBorder="1" applyAlignment="1" applyProtection="1">
      <alignment vertical="center"/>
    </xf>
    <xf numFmtId="169" fontId="22" fillId="46" borderId="3" xfId="1" applyNumberFormat="1" applyFont="1" applyFill="1" applyBorder="1" applyAlignment="1">
      <alignment vertical="center"/>
    </xf>
    <xf numFmtId="10" fontId="24" fillId="46" borderId="67" xfId="2" applyNumberFormat="1" applyFont="1" applyFill="1" applyBorder="1" applyAlignment="1" applyProtection="1">
      <alignment vertical="center"/>
    </xf>
    <xf numFmtId="169" fontId="22" fillId="46" borderId="42" xfId="1" applyNumberFormat="1" applyFont="1" applyFill="1" applyBorder="1" applyAlignment="1">
      <alignment vertical="center"/>
    </xf>
    <xf numFmtId="0" fontId="24" fillId="8" borderId="7" xfId="2" applyNumberFormat="1" applyFont="1" applyFill="1" applyBorder="1" applyAlignment="1" applyProtection="1">
      <alignment vertical="center"/>
    </xf>
    <xf numFmtId="169" fontId="9" fillId="8" borderId="7" xfId="1" applyNumberFormat="1" applyFont="1" applyFill="1" applyBorder="1" applyAlignment="1">
      <alignment vertical="center"/>
    </xf>
    <xf numFmtId="169" fontId="9" fillId="8" borderId="20" xfId="1" applyNumberFormat="1" applyFont="1" applyFill="1" applyBorder="1" applyAlignment="1">
      <alignment vertical="center"/>
    </xf>
    <xf numFmtId="169" fontId="9" fillId="8" borderId="60" xfId="1" applyNumberFormat="1" applyFont="1" applyFill="1" applyBorder="1" applyAlignment="1">
      <alignment vertical="center"/>
    </xf>
    <xf numFmtId="10" fontId="22" fillId="22" borderId="42" xfId="0" applyNumberFormat="1" applyFont="1" applyFill="1" applyBorder="1" applyAlignment="1">
      <alignment horizontal="right" vertical="center" wrapText="1"/>
    </xf>
    <xf numFmtId="169" fontId="22" fillId="22" borderId="42" xfId="0" applyNumberFormat="1" applyFont="1" applyFill="1" applyBorder="1" applyAlignment="1">
      <alignment vertical="center"/>
    </xf>
    <xf numFmtId="169" fontId="22" fillId="22" borderId="43" xfId="0" applyNumberFormat="1" applyFont="1" applyFill="1" applyBorder="1" applyAlignment="1">
      <alignment vertical="center"/>
    </xf>
    <xf numFmtId="169" fontId="22" fillId="22" borderId="55" xfId="0" applyNumberFormat="1" applyFont="1" applyFill="1" applyBorder="1" applyAlignment="1">
      <alignment vertical="center"/>
    </xf>
    <xf numFmtId="0" fontId="22" fillId="23" borderId="45" xfId="0" applyFont="1" applyFill="1" applyBorder="1" applyAlignment="1">
      <alignment horizontal="center" vertical="center" wrapText="1"/>
    </xf>
    <xf numFmtId="0" fontId="22" fillId="23" borderId="46" xfId="0" applyFont="1" applyFill="1" applyBorder="1" applyAlignment="1">
      <alignment horizontal="center" vertical="center" wrapText="1"/>
    </xf>
    <xf numFmtId="0" fontId="22" fillId="23" borderId="53" xfId="0" applyFont="1" applyFill="1" applyBorder="1" applyAlignment="1">
      <alignment horizontal="center" vertical="center" wrapText="1"/>
    </xf>
    <xf numFmtId="169" fontId="22" fillId="24" borderId="11" xfId="1" applyNumberFormat="1" applyFont="1" applyFill="1" applyBorder="1" applyAlignment="1">
      <alignment horizontal="center" vertical="center"/>
    </xf>
    <xf numFmtId="169" fontId="22" fillId="24" borderId="61" xfId="1" applyNumberFormat="1" applyFont="1" applyFill="1" applyBorder="1" applyAlignment="1">
      <alignment horizontal="center" vertical="center"/>
    </xf>
    <xf numFmtId="169" fontId="22" fillId="8" borderId="45" xfId="0" applyNumberFormat="1" applyFont="1" applyFill="1" applyBorder="1" applyAlignment="1">
      <alignment vertical="center"/>
    </xf>
    <xf numFmtId="169" fontId="22" fillId="8" borderId="53" xfId="0" applyNumberFormat="1" applyFont="1" applyFill="1" applyBorder="1" applyAlignment="1">
      <alignment vertical="center"/>
    </xf>
    <xf numFmtId="169" fontId="26" fillId="8" borderId="6" xfId="0" applyNumberFormat="1" applyFont="1" applyFill="1" applyBorder="1" applyAlignment="1">
      <alignment vertical="center"/>
    </xf>
    <xf numFmtId="169" fontId="26" fillId="8" borderId="11" xfId="0" applyNumberFormat="1" applyFont="1" applyFill="1" applyBorder="1" applyAlignment="1">
      <alignment vertical="center"/>
    </xf>
    <xf numFmtId="169" fontId="26" fillId="8" borderId="61" xfId="0" applyNumberFormat="1" applyFont="1" applyFill="1" applyBorder="1" applyAlignment="1">
      <alignment vertical="center"/>
    </xf>
    <xf numFmtId="169" fontId="26" fillId="8" borderId="65" xfId="0" applyNumberFormat="1" applyFont="1" applyFill="1" applyBorder="1" applyAlignment="1">
      <alignment vertical="center"/>
    </xf>
    <xf numFmtId="169" fontId="26" fillId="8" borderId="27" xfId="0" applyNumberFormat="1" applyFont="1" applyFill="1" applyBorder="1" applyAlignment="1">
      <alignment vertical="center"/>
    </xf>
    <xf numFmtId="0" fontId="22" fillId="25" borderId="38" xfId="0" applyFont="1" applyFill="1" applyBorder="1" applyAlignment="1">
      <alignment vertical="center" wrapText="1"/>
    </xf>
    <xf numFmtId="0" fontId="22" fillId="25" borderId="40" xfId="0" applyFont="1" applyFill="1" applyBorder="1" applyAlignment="1">
      <alignment vertical="center" wrapText="1"/>
    </xf>
    <xf numFmtId="175" fontId="22" fillId="25" borderId="40" xfId="0" applyNumberFormat="1" applyFont="1" applyFill="1" applyBorder="1" applyAlignment="1">
      <alignment horizontal="right" vertical="center" wrapText="1"/>
    </xf>
    <xf numFmtId="175" fontId="22" fillId="25" borderId="57" xfId="0" applyNumberFormat="1" applyFont="1" applyFill="1" applyBorder="1" applyAlignment="1">
      <alignment horizontal="right" vertical="center" wrapText="1"/>
    </xf>
    <xf numFmtId="0" fontId="22" fillId="25" borderId="32" xfId="0" applyFont="1" applyFill="1" applyBorder="1" applyAlignment="1">
      <alignment vertical="center" wrapText="1"/>
    </xf>
    <xf numFmtId="0" fontId="22" fillId="25" borderId="0" xfId="0" applyFont="1" applyFill="1" applyAlignment="1">
      <alignment vertical="center" wrapText="1"/>
    </xf>
    <xf numFmtId="175" fontId="22" fillId="25" borderId="0" xfId="0" applyNumberFormat="1" applyFont="1" applyFill="1" applyAlignment="1">
      <alignment horizontal="right" vertical="center" wrapText="1"/>
    </xf>
    <xf numFmtId="175" fontId="22" fillId="25" borderId="28" xfId="0" applyNumberFormat="1" applyFont="1" applyFill="1" applyBorder="1" applyAlignment="1">
      <alignment horizontal="right" vertical="center" wrapText="1"/>
    </xf>
    <xf numFmtId="0" fontId="22" fillId="29" borderId="38" xfId="0" applyFont="1" applyFill="1" applyBorder="1" applyAlignment="1">
      <alignment vertical="center" wrapText="1"/>
    </xf>
    <xf numFmtId="0" fontId="22" fillId="29" borderId="40" xfId="0" applyFont="1" applyFill="1" applyBorder="1" applyAlignment="1">
      <alignment vertical="center" wrapText="1"/>
    </xf>
    <xf numFmtId="175" fontId="30" fillId="29" borderId="40" xfId="0" applyNumberFormat="1" applyFont="1" applyFill="1" applyBorder="1" applyAlignment="1">
      <alignment horizontal="right" vertical="center" wrapText="1"/>
    </xf>
    <xf numFmtId="175" fontId="22" fillId="29" borderId="40" xfId="0" applyNumberFormat="1" applyFont="1" applyFill="1" applyBorder="1" applyAlignment="1">
      <alignment horizontal="right" vertical="center" wrapText="1"/>
    </xf>
    <xf numFmtId="175" fontId="22" fillId="29" borderId="57" xfId="0" applyNumberFormat="1" applyFont="1" applyFill="1" applyBorder="1" applyAlignment="1">
      <alignment horizontal="right" vertical="center" wrapText="1"/>
    </xf>
    <xf numFmtId="0" fontId="22" fillId="29" borderId="32" xfId="0" applyFont="1" applyFill="1" applyBorder="1" applyAlignment="1">
      <alignment vertical="center" wrapText="1"/>
    </xf>
    <xf numFmtId="0" fontId="22" fillId="29" borderId="0" xfId="0" applyFont="1" applyFill="1" applyAlignment="1">
      <alignment vertical="center" wrapText="1"/>
    </xf>
    <xf numFmtId="175" fontId="30" fillId="29" borderId="0" xfId="0" applyNumberFormat="1" applyFont="1" applyFill="1" applyAlignment="1">
      <alignment horizontal="right" vertical="center" wrapText="1"/>
    </xf>
    <xf numFmtId="175" fontId="22" fillId="29" borderId="0" xfId="0" applyNumberFormat="1" applyFont="1" applyFill="1" applyAlignment="1">
      <alignment horizontal="right" vertical="center" wrapText="1"/>
    </xf>
    <xf numFmtId="175" fontId="22" fillId="29" borderId="28" xfId="0" applyNumberFormat="1" applyFont="1" applyFill="1" applyBorder="1" applyAlignment="1">
      <alignment horizontal="right" vertical="center" wrapText="1"/>
    </xf>
    <xf numFmtId="0" fontId="22" fillId="29" borderId="56" xfId="0" applyFont="1" applyFill="1" applyBorder="1" applyAlignment="1">
      <alignment vertical="center" wrapText="1"/>
    </xf>
    <xf numFmtId="0" fontId="22" fillId="29" borderId="1" xfId="0" applyFont="1" applyFill="1" applyBorder="1" applyAlignment="1">
      <alignment vertical="center" wrapText="1"/>
    </xf>
    <xf numFmtId="175" fontId="30" fillId="29" borderId="1" xfId="0" applyNumberFormat="1" applyFont="1" applyFill="1" applyBorder="1" applyAlignment="1">
      <alignment horizontal="right" vertical="center" wrapText="1"/>
    </xf>
    <xf numFmtId="175" fontId="22" fillId="29" borderId="1" xfId="0" applyNumberFormat="1" applyFont="1" applyFill="1" applyBorder="1" applyAlignment="1">
      <alignment horizontal="right" vertical="center" wrapText="1"/>
    </xf>
    <xf numFmtId="175" fontId="22" fillId="29" borderId="17" xfId="0" applyNumberFormat="1" applyFont="1" applyFill="1" applyBorder="1" applyAlignment="1">
      <alignment horizontal="right" vertical="center" wrapText="1"/>
    </xf>
    <xf numFmtId="0" fontId="9" fillId="0" borderId="32" xfId="0" applyFont="1" applyBorder="1"/>
    <xf numFmtId="0" fontId="9" fillId="8" borderId="32" xfId="0" applyFont="1" applyFill="1" applyBorder="1" applyAlignment="1">
      <alignment horizontal="center" vertical="center"/>
    </xf>
    <xf numFmtId="0" fontId="9" fillId="8" borderId="0" xfId="0" applyFont="1" applyFill="1" applyAlignment="1">
      <alignment vertical="center"/>
    </xf>
    <xf numFmtId="179" fontId="9" fillId="8" borderId="0" xfId="0" applyNumberFormat="1" applyFont="1" applyFill="1" applyAlignment="1">
      <alignment vertical="center"/>
    </xf>
    <xf numFmtId="0" fontId="9" fillId="8" borderId="0" xfId="0" applyFont="1" applyFill="1"/>
    <xf numFmtId="0" fontId="0" fillId="8" borderId="0" xfId="0" applyFill="1"/>
    <xf numFmtId="0" fontId="22" fillId="18" borderId="53" xfId="0" applyFont="1" applyFill="1" applyBorder="1" applyAlignment="1">
      <alignment horizontal="center" vertical="center" wrapText="1"/>
    </xf>
    <xf numFmtId="0" fontId="32" fillId="41" borderId="38" xfId="0" applyFont="1" applyFill="1" applyBorder="1" applyAlignment="1">
      <alignment horizontal="center" vertical="center" wrapText="1"/>
    </xf>
    <xf numFmtId="9" fontId="14" fillId="0" borderId="0" xfId="0" applyNumberFormat="1" applyFont="1" applyAlignment="1">
      <alignment horizontal="center" vertical="center"/>
    </xf>
    <xf numFmtId="0" fontId="44" fillId="28" borderId="39" xfId="0" applyFont="1" applyFill="1" applyBorder="1" applyAlignment="1">
      <alignment horizontal="center" vertical="center"/>
    </xf>
    <xf numFmtId="168" fontId="8" fillId="28" borderId="34" xfId="1" applyFont="1" applyFill="1" applyBorder="1" applyAlignment="1">
      <alignment horizontal="center" vertical="center"/>
    </xf>
    <xf numFmtId="168" fontId="8" fillId="28" borderId="35" xfId="1" applyFont="1" applyFill="1" applyBorder="1" applyAlignment="1">
      <alignment horizontal="center" vertical="center"/>
    </xf>
    <xf numFmtId="168" fontId="8" fillId="28" borderId="52" xfId="1" applyFont="1" applyFill="1" applyBorder="1" applyAlignment="1">
      <alignment horizontal="center" vertical="center"/>
    </xf>
    <xf numFmtId="2" fontId="30" fillId="44" borderId="63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left" vertical="center"/>
    </xf>
    <xf numFmtId="0" fontId="6" fillId="5" borderId="77" xfId="0" applyFont="1" applyFill="1" applyBorder="1" applyAlignment="1">
      <alignment horizontal="center"/>
    </xf>
    <xf numFmtId="0" fontId="0" fillId="5" borderId="78" xfId="0" applyFill="1" applyBorder="1"/>
    <xf numFmtId="170" fontId="3" fillId="5" borderId="5" xfId="1" applyNumberFormat="1" applyFont="1" applyFill="1" applyBorder="1" applyAlignment="1">
      <alignment horizontal="center" vertical="center"/>
    </xf>
    <xf numFmtId="2" fontId="15" fillId="0" borderId="76" xfId="0" applyNumberFormat="1" applyFont="1" applyBorder="1" applyAlignment="1">
      <alignment vertical="center"/>
    </xf>
    <xf numFmtId="0" fontId="15" fillId="0" borderId="47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6" fillId="48" borderId="85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82" fontId="3" fillId="0" borderId="9" xfId="0" applyNumberFormat="1" applyFont="1" applyBorder="1"/>
    <xf numFmtId="0" fontId="20" fillId="25" borderId="40" xfId="3" applyNumberFormat="1" applyFont="1" applyFill="1" applyBorder="1" applyAlignment="1" applyProtection="1">
      <alignment horizontal="center" vertical="center"/>
    </xf>
    <xf numFmtId="10" fontId="21" fillId="38" borderId="2" xfId="0" applyNumberFormat="1" applyFont="1" applyFill="1" applyBorder="1" applyAlignment="1" applyProtection="1">
      <alignment horizontal="center" vertical="center" wrapText="1"/>
      <protection locked="0"/>
    </xf>
    <xf numFmtId="10" fontId="21" fillId="39" borderId="63" xfId="0" applyNumberFormat="1" applyFont="1" applyFill="1" applyBorder="1" applyAlignment="1" applyProtection="1">
      <alignment horizontal="center" vertical="center"/>
      <protection locked="0"/>
    </xf>
    <xf numFmtId="10" fontId="21" fillId="39" borderId="4" xfId="0" applyNumberFormat="1" applyFont="1" applyFill="1" applyBorder="1" applyAlignment="1" applyProtection="1">
      <alignment horizontal="center" vertical="center"/>
      <protection locked="0"/>
    </xf>
    <xf numFmtId="10" fontId="3" fillId="0" borderId="3" xfId="0" applyNumberFormat="1" applyFont="1" applyBorder="1" applyAlignment="1">
      <alignment horizontal="center"/>
    </xf>
    <xf numFmtId="0" fontId="22" fillId="47" borderId="76" xfId="0" applyFont="1" applyFill="1" applyBorder="1" applyAlignment="1">
      <alignment horizontal="center" vertical="center"/>
    </xf>
    <xf numFmtId="0" fontId="22" fillId="47" borderId="76" xfId="0" applyFont="1" applyFill="1" applyBorder="1" applyAlignment="1">
      <alignment horizontal="center" vertical="center" wrapText="1"/>
    </xf>
    <xf numFmtId="0" fontId="9" fillId="47" borderId="76" xfId="0" applyFont="1" applyFill="1" applyBorder="1"/>
    <xf numFmtId="178" fontId="9" fillId="47" borderId="76" xfId="0" applyNumberFormat="1" applyFont="1" applyFill="1" applyBorder="1"/>
    <xf numFmtId="169" fontId="9" fillId="47" borderId="76" xfId="0" applyNumberFormat="1" applyFont="1" applyFill="1" applyBorder="1"/>
    <xf numFmtId="0" fontId="22" fillId="47" borderId="76" xfId="0" applyFont="1" applyFill="1" applyBorder="1"/>
    <xf numFmtId="0" fontId="43" fillId="4" borderId="76" xfId="0" applyFont="1" applyFill="1" applyBorder="1" applyAlignment="1">
      <alignment horizontal="right"/>
    </xf>
    <xf numFmtId="178" fontId="43" fillId="4" borderId="76" xfId="0" applyNumberFormat="1" applyFont="1" applyFill="1" applyBorder="1"/>
    <xf numFmtId="169" fontId="43" fillId="4" borderId="76" xfId="0" applyNumberFormat="1" applyFont="1" applyFill="1" applyBorder="1"/>
    <xf numFmtId="180" fontId="9" fillId="47" borderId="76" xfId="0" applyNumberFormat="1" applyFont="1" applyFill="1" applyBorder="1"/>
    <xf numFmtId="4" fontId="9" fillId="47" borderId="76" xfId="0" applyNumberFormat="1" applyFont="1" applyFill="1" applyBorder="1"/>
    <xf numFmtId="0" fontId="43" fillId="30" borderId="76" xfId="0" applyFont="1" applyFill="1" applyBorder="1" applyAlignment="1">
      <alignment horizontal="right"/>
    </xf>
    <xf numFmtId="178" fontId="9" fillId="30" borderId="76" xfId="0" applyNumberFormat="1" applyFont="1" applyFill="1" applyBorder="1"/>
    <xf numFmtId="4" fontId="9" fillId="30" borderId="76" xfId="0" applyNumberFormat="1" applyFont="1" applyFill="1" applyBorder="1"/>
    <xf numFmtId="169" fontId="43" fillId="30" borderId="76" xfId="0" applyNumberFormat="1" applyFont="1" applyFill="1" applyBorder="1"/>
    <xf numFmtId="180" fontId="9" fillId="30" borderId="76" xfId="0" applyNumberFormat="1" applyFont="1" applyFill="1" applyBorder="1"/>
    <xf numFmtId="0" fontId="21" fillId="47" borderId="76" xfId="0" applyFont="1" applyFill="1" applyBorder="1"/>
    <xf numFmtId="0" fontId="40" fillId="16" borderId="76" xfId="0" applyFont="1" applyFill="1" applyBorder="1" applyAlignment="1">
      <alignment horizontal="right" vertical="center" wrapText="1"/>
    </xf>
    <xf numFmtId="181" fontId="9" fillId="16" borderId="76" xfId="0" applyNumberFormat="1" applyFont="1" applyFill="1" applyBorder="1"/>
    <xf numFmtId="4" fontId="9" fillId="16" borderId="76" xfId="0" applyNumberFormat="1" applyFont="1" applyFill="1" applyBorder="1"/>
    <xf numFmtId="169" fontId="43" fillId="16" borderId="76" xfId="0" applyNumberFormat="1" applyFont="1" applyFill="1" applyBorder="1"/>
    <xf numFmtId="165" fontId="45" fillId="0" borderId="9" xfId="1" applyNumberFormat="1" applyFont="1" applyBorder="1" applyAlignment="1">
      <alignment horizontal="center" vertical="center"/>
    </xf>
    <xf numFmtId="165" fontId="45" fillId="0" borderId="5" xfId="1" applyNumberFormat="1" applyFont="1" applyBorder="1" applyAlignment="1">
      <alignment horizontal="center" vertical="center"/>
    </xf>
    <xf numFmtId="165" fontId="45" fillId="0" borderId="101" xfId="1" applyNumberFormat="1" applyFont="1" applyBorder="1" applyAlignment="1">
      <alignment horizontal="center" vertical="center"/>
    </xf>
    <xf numFmtId="165" fontId="45" fillId="0" borderId="103" xfId="1" applyNumberFormat="1" applyFont="1" applyBorder="1" applyAlignment="1">
      <alignment horizontal="center" vertical="center"/>
    </xf>
    <xf numFmtId="0" fontId="8" fillId="4" borderId="57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168" fontId="35" fillId="28" borderId="58" xfId="1" applyFont="1" applyFill="1" applyBorder="1" applyAlignment="1">
      <alignment horizontal="center" vertical="center"/>
    </xf>
    <xf numFmtId="165" fontId="35" fillId="28" borderId="58" xfId="1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76" xfId="0" applyFont="1" applyBorder="1" applyAlignment="1">
      <alignment vertical="center"/>
    </xf>
    <xf numFmtId="2" fontId="3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104" xfId="0" applyFont="1" applyBorder="1" applyAlignment="1">
      <alignment vertical="center"/>
    </xf>
    <xf numFmtId="0" fontId="7" fillId="0" borderId="78" xfId="0" applyFont="1" applyBorder="1" applyAlignment="1">
      <alignment vertical="center"/>
    </xf>
    <xf numFmtId="0" fontId="7" fillId="0" borderId="77" xfId="0" applyFont="1" applyBorder="1" applyAlignment="1">
      <alignment horizontal="left" vertical="center"/>
    </xf>
    <xf numFmtId="0" fontId="7" fillId="0" borderId="104" xfId="0" applyFont="1" applyBorder="1" applyAlignment="1">
      <alignment horizontal="left" vertical="center"/>
    </xf>
    <xf numFmtId="0" fontId="7" fillId="0" borderId="47" xfId="0" applyFont="1" applyBorder="1" applyAlignment="1">
      <alignment vertical="center"/>
    </xf>
    <xf numFmtId="0" fontId="7" fillId="0" borderId="105" xfId="0" applyFont="1" applyBorder="1" applyAlignment="1">
      <alignment vertical="center"/>
    </xf>
    <xf numFmtId="0" fontId="7" fillId="0" borderId="86" xfId="0" applyFont="1" applyBorder="1" applyAlignment="1">
      <alignment vertical="center"/>
    </xf>
    <xf numFmtId="10" fontId="7" fillId="0" borderId="106" xfId="0" applyNumberFormat="1" applyFont="1" applyBorder="1" applyAlignment="1">
      <alignment vertical="center"/>
    </xf>
    <xf numFmtId="10" fontId="7" fillId="0" borderId="107" xfId="0" applyNumberFormat="1" applyFont="1" applyBorder="1" applyAlignment="1">
      <alignment vertical="center"/>
    </xf>
    <xf numFmtId="10" fontId="7" fillId="0" borderId="108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/>
    </xf>
    <xf numFmtId="0" fontId="22" fillId="19" borderId="31" xfId="0" applyFont="1" applyFill="1" applyBorder="1" applyAlignment="1">
      <alignment vertical="center" wrapText="1"/>
    </xf>
    <xf numFmtId="4" fontId="20" fillId="0" borderId="3" xfId="0" applyNumberFormat="1" applyFont="1" applyBorder="1" applyAlignment="1">
      <alignment horizontal="right" vertical="center"/>
    </xf>
    <xf numFmtId="4" fontId="20" fillId="0" borderId="6" xfId="0" applyNumberFormat="1" applyFont="1" applyBorder="1" applyAlignment="1">
      <alignment horizontal="right" vertical="center"/>
    </xf>
    <xf numFmtId="4" fontId="20" fillId="0" borderId="54" xfId="0" applyNumberFormat="1" applyFont="1" applyBorder="1" applyAlignment="1">
      <alignment horizontal="right" vertical="center"/>
    </xf>
    <xf numFmtId="0" fontId="46" fillId="0" borderId="109" xfId="0" applyFont="1" applyBorder="1"/>
    <xf numFmtId="0" fontId="46" fillId="0" borderId="84" xfId="0" applyFont="1" applyBorder="1"/>
    <xf numFmtId="8" fontId="46" fillId="0" borderId="84" xfId="0" applyNumberFormat="1" applyFont="1" applyBorder="1" applyAlignment="1">
      <alignment wrapText="1"/>
    </xf>
    <xf numFmtId="0" fontId="15" fillId="0" borderId="109" xfId="0" applyFont="1" applyBorder="1"/>
    <xf numFmtId="0" fontId="15" fillId="0" borderId="110" xfId="0" applyFont="1" applyBorder="1"/>
    <xf numFmtId="0" fontId="15" fillId="0" borderId="78" xfId="0" applyFont="1" applyBorder="1"/>
    <xf numFmtId="8" fontId="15" fillId="0" borderId="84" xfId="0" applyNumberFormat="1" applyFont="1" applyBorder="1" applyAlignment="1">
      <alignment wrapText="1"/>
    </xf>
    <xf numFmtId="0" fontId="15" fillId="0" borderId="111" xfId="0" applyFont="1" applyBorder="1" applyAlignment="1">
      <alignment vertical="center"/>
    </xf>
    <xf numFmtId="0" fontId="15" fillId="0" borderId="112" xfId="0" applyFont="1" applyBorder="1" applyAlignment="1">
      <alignment vertical="center"/>
    </xf>
    <xf numFmtId="0" fontId="41" fillId="0" borderId="113" xfId="0" applyFont="1" applyBorder="1"/>
    <xf numFmtId="8" fontId="15" fillId="0" borderId="115" xfId="0" applyNumberFormat="1" applyFont="1" applyBorder="1" applyAlignment="1">
      <alignment wrapText="1"/>
    </xf>
    <xf numFmtId="168" fontId="20" fillId="41" borderId="38" xfId="1" applyFont="1" applyFill="1" applyBorder="1" applyAlignment="1">
      <alignment vertical="center"/>
    </xf>
    <xf numFmtId="0" fontId="15" fillId="0" borderId="118" xfId="0" applyFont="1" applyBorder="1"/>
    <xf numFmtId="0" fontId="15" fillId="0" borderId="119" xfId="0" applyFont="1" applyBorder="1"/>
    <xf numFmtId="2" fontId="30" fillId="0" borderId="40" xfId="0" applyNumberFormat="1" applyFont="1" applyBorder="1" applyAlignment="1">
      <alignment horizontal="left"/>
    </xf>
    <xf numFmtId="2" fontId="30" fillId="0" borderId="117" xfId="0" applyNumberFormat="1" applyFont="1" applyBorder="1" applyAlignment="1">
      <alignment horizontal="left"/>
    </xf>
    <xf numFmtId="0" fontId="41" fillId="0" borderId="116" xfId="0" applyFont="1" applyBorder="1" applyAlignment="1">
      <alignment horizontal="right"/>
    </xf>
    <xf numFmtId="2" fontId="47" fillId="0" borderId="116" xfId="0" applyNumberFormat="1" applyFont="1" applyBorder="1" applyAlignment="1">
      <alignment horizontal="right"/>
    </xf>
    <xf numFmtId="0" fontId="41" fillId="51" borderId="116" xfId="0" applyFont="1" applyFill="1" applyBorder="1" applyAlignment="1">
      <alignment horizontal="right"/>
    </xf>
    <xf numFmtId="8" fontId="15" fillId="0" borderId="105" xfId="0" applyNumberFormat="1" applyFont="1" applyBorder="1" applyAlignment="1">
      <alignment wrapText="1"/>
    </xf>
    <xf numFmtId="8" fontId="15" fillId="0" borderId="84" xfId="0" applyNumberFormat="1" applyFont="1" applyBorder="1"/>
    <xf numFmtId="8" fontId="15" fillId="0" borderId="115" xfId="0" applyNumberFormat="1" applyFont="1" applyBorder="1"/>
    <xf numFmtId="8" fontId="15" fillId="0" borderId="80" xfId="0" applyNumberFormat="1" applyFont="1" applyBorder="1"/>
    <xf numFmtId="8" fontId="15" fillId="0" borderId="85" xfId="0" applyNumberFormat="1" applyFont="1" applyBorder="1" applyAlignment="1">
      <alignment wrapText="1"/>
    </xf>
    <xf numFmtId="8" fontId="15" fillId="0" borderId="120" xfId="0" applyNumberFormat="1" applyFont="1" applyBorder="1" applyAlignment="1">
      <alignment wrapText="1"/>
    </xf>
    <xf numFmtId="8" fontId="15" fillId="0" borderId="80" xfId="0" applyNumberFormat="1" applyFont="1" applyBorder="1" applyAlignment="1">
      <alignment wrapText="1"/>
    </xf>
    <xf numFmtId="0" fontId="32" fillId="29" borderId="39" xfId="0" applyFont="1" applyFill="1" applyBorder="1" applyAlignment="1">
      <alignment horizontal="center" vertical="center" wrapText="1"/>
    </xf>
    <xf numFmtId="0" fontId="32" fillId="35" borderId="57" xfId="0" applyFont="1" applyFill="1" applyBorder="1" applyAlignment="1">
      <alignment horizontal="center" vertical="center" wrapText="1"/>
    </xf>
    <xf numFmtId="168" fontId="21" fillId="35" borderId="122" xfId="1" applyFont="1" applyFill="1" applyBorder="1" applyAlignment="1">
      <alignment horizontal="center" vertical="center"/>
    </xf>
    <xf numFmtId="168" fontId="21" fillId="35" borderId="63" xfId="1" applyFont="1" applyFill="1" applyBorder="1" applyAlignment="1">
      <alignment horizontal="center" vertical="center"/>
    </xf>
    <xf numFmtId="168" fontId="21" fillId="35" borderId="123" xfId="1" applyFont="1" applyFill="1" applyBorder="1" applyAlignment="1">
      <alignment horizontal="center" vertical="center"/>
    </xf>
    <xf numFmtId="172" fontId="35" fillId="28" borderId="124" xfId="1" applyNumberFormat="1" applyFont="1" applyFill="1" applyBorder="1" applyAlignment="1">
      <alignment horizontal="center" vertical="center"/>
    </xf>
    <xf numFmtId="172" fontId="21" fillId="34" borderId="126" xfId="1" applyNumberFormat="1" applyFont="1" applyFill="1" applyBorder="1" applyAlignment="1">
      <alignment horizontal="center" vertical="center"/>
    </xf>
    <xf numFmtId="172" fontId="21" fillId="34" borderId="127" xfId="1" applyNumberFormat="1" applyFont="1" applyFill="1" applyBorder="1" applyAlignment="1">
      <alignment horizontal="center" vertical="center"/>
    </xf>
    <xf numFmtId="0" fontId="23" fillId="8" borderId="90" xfId="0" applyFont="1" applyFill="1" applyBorder="1" applyAlignment="1">
      <alignment vertical="center"/>
    </xf>
    <xf numFmtId="167" fontId="6" fillId="17" borderId="135" xfId="0" applyNumberFormat="1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vertical="center"/>
    </xf>
    <xf numFmtId="173" fontId="3" fillId="17" borderId="136" xfId="1" applyNumberFormat="1" applyFont="1" applyFill="1" applyBorder="1" applyAlignment="1">
      <alignment horizontal="center" vertical="center"/>
    </xf>
    <xf numFmtId="167" fontId="3" fillId="17" borderId="136" xfId="0" applyNumberFormat="1" applyFont="1" applyFill="1" applyBorder="1" applyAlignment="1">
      <alignment horizontal="center" vertical="center"/>
    </xf>
    <xf numFmtId="167" fontId="3" fillId="17" borderId="137" xfId="0" applyNumberFormat="1" applyFont="1" applyFill="1" applyBorder="1" applyAlignment="1">
      <alignment horizontal="center" vertical="center"/>
    </xf>
    <xf numFmtId="0" fontId="22" fillId="8" borderId="140" xfId="0" applyFont="1" applyFill="1" applyBorder="1" applyAlignment="1">
      <alignment horizontal="center" vertical="center"/>
    </xf>
    <xf numFmtId="0" fontId="22" fillId="18" borderId="141" xfId="0" applyFont="1" applyFill="1" applyBorder="1" applyAlignment="1">
      <alignment horizontal="center" vertical="center" wrapText="1"/>
    </xf>
    <xf numFmtId="0" fontId="22" fillId="19" borderId="142" xfId="0" applyFont="1" applyFill="1" applyBorder="1" applyAlignment="1">
      <alignment vertical="center" wrapText="1"/>
    </xf>
    <xf numFmtId="0" fontId="22" fillId="19" borderId="136" xfId="0" applyFont="1" applyFill="1" applyBorder="1" applyAlignment="1">
      <alignment vertical="center" wrapText="1"/>
    </xf>
    <xf numFmtId="0" fontId="22" fillId="20" borderId="102" xfId="0" applyFont="1" applyFill="1" applyBorder="1" applyAlignment="1">
      <alignment vertical="center" wrapText="1"/>
    </xf>
    <xf numFmtId="169" fontId="22" fillId="20" borderId="143" xfId="1" applyNumberFormat="1" applyFont="1" applyFill="1" applyBorder="1" applyAlignment="1">
      <alignment horizontal="center" vertical="center"/>
    </xf>
    <xf numFmtId="0" fontId="9" fillId="8" borderId="102" xfId="0" applyFont="1" applyFill="1" applyBorder="1" applyAlignment="1">
      <alignment vertical="center" wrapText="1"/>
    </xf>
    <xf numFmtId="169" fontId="22" fillId="8" borderId="143" xfId="1" applyNumberFormat="1" applyFont="1" applyFill="1" applyBorder="1"/>
    <xf numFmtId="0" fontId="20" fillId="6" borderId="102" xfId="0" applyFont="1" applyFill="1" applyBorder="1" applyAlignment="1">
      <alignment horizontal="right" vertical="center"/>
    </xf>
    <xf numFmtId="2" fontId="20" fillId="6" borderId="143" xfId="0" applyNumberFormat="1" applyFont="1" applyFill="1" applyBorder="1" applyAlignment="1">
      <alignment horizontal="right" vertical="center"/>
    </xf>
    <xf numFmtId="0" fontId="9" fillId="8" borderId="102" xfId="0" applyFont="1" applyFill="1" applyBorder="1" applyAlignment="1">
      <alignment horizontal="center" vertical="center"/>
    </xf>
    <xf numFmtId="0" fontId="9" fillId="8" borderId="143" xfId="0" applyFont="1" applyFill="1" applyBorder="1" applyAlignment="1">
      <alignment horizontal="center" vertical="center"/>
    </xf>
    <xf numFmtId="0" fontId="20" fillId="3" borderId="102" xfId="0" applyFont="1" applyFill="1" applyBorder="1" applyAlignment="1">
      <alignment vertical="center"/>
    </xf>
    <xf numFmtId="169" fontId="22" fillId="21" borderId="143" xfId="1" applyNumberFormat="1" applyFont="1" applyFill="1" applyBorder="1" applyAlignment="1">
      <alignment horizontal="center" vertical="center"/>
    </xf>
    <xf numFmtId="0" fontId="21" fillId="0" borderId="102" xfId="0" applyFont="1" applyBorder="1" applyAlignment="1">
      <alignment vertical="center"/>
    </xf>
    <xf numFmtId="0" fontId="20" fillId="3" borderId="143" xfId="0" applyFont="1" applyFill="1" applyBorder="1" applyAlignment="1">
      <alignment vertical="center"/>
    </xf>
    <xf numFmtId="169" fontId="22" fillId="8" borderId="143" xfId="1" applyNumberFormat="1" applyFont="1" applyFill="1" applyBorder="1" applyAlignment="1">
      <alignment vertical="center"/>
    </xf>
    <xf numFmtId="4" fontId="21" fillId="0" borderId="143" xfId="0" applyNumberFormat="1" applyFont="1" applyBorder="1" applyAlignment="1">
      <alignment vertical="center"/>
    </xf>
    <xf numFmtId="0" fontId="20" fillId="3" borderId="143" xfId="0" applyFont="1" applyFill="1" applyBorder="1" applyAlignment="1">
      <alignment horizontal="center" vertical="center"/>
    </xf>
    <xf numFmtId="2" fontId="21" fillId="0" borderId="143" xfId="0" applyNumberFormat="1" applyFont="1" applyBorder="1" applyAlignment="1">
      <alignment horizontal="right" vertical="center"/>
    </xf>
    <xf numFmtId="4" fontId="20" fillId="6" borderId="143" xfId="0" applyNumberFormat="1" applyFont="1" applyFill="1" applyBorder="1" applyAlignment="1">
      <alignment horizontal="right" vertical="center"/>
    </xf>
    <xf numFmtId="4" fontId="20" fillId="0" borderId="143" xfId="0" applyNumberFormat="1" applyFont="1" applyBorder="1" applyAlignment="1">
      <alignment horizontal="right" vertical="center"/>
    </xf>
    <xf numFmtId="0" fontId="22" fillId="22" borderId="102" xfId="0" applyFont="1" applyFill="1" applyBorder="1" applyAlignment="1">
      <alignment horizontal="right" vertical="center" wrapText="1"/>
    </xf>
    <xf numFmtId="169" fontId="22" fillId="22" borderId="143" xfId="0" applyNumberFormat="1" applyFont="1" applyFill="1" applyBorder="1" applyAlignment="1">
      <alignment vertical="center"/>
    </xf>
    <xf numFmtId="0" fontId="22" fillId="19" borderId="144" xfId="0" applyFont="1" applyFill="1" applyBorder="1" applyAlignment="1">
      <alignment vertical="center" wrapText="1"/>
    </xf>
    <xf numFmtId="0" fontId="22" fillId="19" borderId="145" xfId="0" applyFont="1" applyFill="1" applyBorder="1" applyAlignment="1">
      <alignment vertical="center" wrapText="1"/>
    </xf>
    <xf numFmtId="0" fontId="21" fillId="0" borderId="102" xfId="0" applyFont="1" applyBorder="1" applyAlignment="1">
      <alignment wrapText="1"/>
    </xf>
    <xf numFmtId="0" fontId="9" fillId="8" borderId="146" xfId="0" applyFont="1" applyFill="1" applyBorder="1" applyAlignment="1">
      <alignment horizontal="center" vertical="center"/>
    </xf>
    <xf numFmtId="0" fontId="22" fillId="45" borderId="102" xfId="0" applyFont="1" applyFill="1" applyBorder="1" applyAlignment="1">
      <alignment vertical="center" wrapText="1"/>
    </xf>
    <xf numFmtId="169" fontId="22" fillId="45" borderId="143" xfId="1" applyNumberFormat="1" applyFont="1" applyFill="1" applyBorder="1" applyAlignment="1">
      <alignment horizontal="left" vertical="center"/>
    </xf>
    <xf numFmtId="169" fontId="9" fillId="0" borderId="143" xfId="1" applyNumberFormat="1" applyFont="1" applyBorder="1" applyAlignment="1">
      <alignment vertical="center"/>
    </xf>
    <xf numFmtId="169" fontId="9" fillId="0" borderId="146" xfId="1" applyNumberFormat="1" applyFont="1" applyBorder="1" applyAlignment="1">
      <alignment vertical="center"/>
    </xf>
    <xf numFmtId="169" fontId="22" fillId="46" borderId="141" xfId="1" applyNumberFormat="1" applyFont="1" applyFill="1" applyBorder="1" applyAlignment="1">
      <alignment vertical="center"/>
    </xf>
    <xf numFmtId="169" fontId="22" fillId="46" borderId="143" xfId="1" applyNumberFormat="1" applyFont="1" applyFill="1" applyBorder="1" applyAlignment="1">
      <alignment vertical="center"/>
    </xf>
    <xf numFmtId="169" fontId="22" fillId="46" borderId="148" xfId="1" applyNumberFormat="1" applyFont="1" applyFill="1" applyBorder="1" applyAlignment="1">
      <alignment vertical="center"/>
    </xf>
    <xf numFmtId="169" fontId="9" fillId="8" borderId="149" xfId="1" applyNumberFormat="1" applyFont="1" applyFill="1" applyBorder="1" applyAlignment="1">
      <alignment vertical="center"/>
    </xf>
    <xf numFmtId="0" fontId="22" fillId="22" borderId="150" xfId="0" applyFont="1" applyFill="1" applyBorder="1" applyAlignment="1">
      <alignment horizontal="right" vertical="center" wrapText="1"/>
    </xf>
    <xf numFmtId="169" fontId="22" fillId="22" borderId="148" xfId="0" applyNumberFormat="1" applyFont="1" applyFill="1" applyBorder="1" applyAlignment="1">
      <alignment vertical="center"/>
    </xf>
    <xf numFmtId="0" fontId="22" fillId="23" borderId="141" xfId="0" applyFont="1" applyFill="1" applyBorder="1" applyAlignment="1">
      <alignment horizontal="center" vertical="center" wrapText="1"/>
    </xf>
    <xf numFmtId="169" fontId="22" fillId="24" borderId="146" xfId="1" applyNumberFormat="1" applyFont="1" applyFill="1" applyBorder="1" applyAlignment="1">
      <alignment horizontal="center" vertical="center"/>
    </xf>
    <xf numFmtId="169" fontId="22" fillId="8" borderId="141" xfId="0" applyNumberFormat="1" applyFont="1" applyFill="1" applyBorder="1" applyAlignment="1">
      <alignment vertical="center"/>
    </xf>
    <xf numFmtId="169" fontId="22" fillId="8" borderId="143" xfId="0" applyNumberFormat="1" applyFont="1" applyFill="1" applyBorder="1" applyAlignment="1">
      <alignment vertical="center"/>
    </xf>
    <xf numFmtId="169" fontId="26" fillId="8" borderId="143" xfId="0" applyNumberFormat="1" applyFont="1" applyFill="1" applyBorder="1" applyAlignment="1">
      <alignment vertical="center"/>
    </xf>
    <xf numFmtId="169" fontId="26" fillId="8" borderId="146" xfId="0" applyNumberFormat="1" applyFont="1" applyFill="1" applyBorder="1" applyAlignment="1">
      <alignment vertical="center"/>
    </xf>
    <xf numFmtId="169" fontId="26" fillId="8" borderId="145" xfId="0" applyNumberFormat="1" applyFont="1" applyFill="1" applyBorder="1" applyAlignment="1">
      <alignment vertical="center"/>
    </xf>
    <xf numFmtId="0" fontId="22" fillId="25" borderId="154" xfId="0" applyFont="1" applyFill="1" applyBorder="1" applyAlignment="1">
      <alignment vertical="center" wrapText="1"/>
    </xf>
    <xf numFmtId="175" fontId="22" fillId="25" borderId="155" xfId="0" applyNumberFormat="1" applyFont="1" applyFill="1" applyBorder="1" applyAlignment="1">
      <alignment horizontal="right" vertical="center" wrapText="1"/>
    </xf>
    <xf numFmtId="0" fontId="22" fillId="25" borderId="90" xfId="0" applyFont="1" applyFill="1" applyBorder="1" applyAlignment="1">
      <alignment vertical="center" wrapText="1"/>
    </xf>
    <xf numFmtId="175" fontId="22" fillId="25" borderId="91" xfId="0" applyNumberFormat="1" applyFont="1" applyFill="1" applyBorder="1" applyAlignment="1">
      <alignment horizontal="right" vertical="center" wrapText="1"/>
    </xf>
    <xf numFmtId="0" fontId="22" fillId="29" borderId="154" xfId="0" applyFont="1" applyFill="1" applyBorder="1" applyAlignment="1">
      <alignment vertical="center" wrapText="1"/>
    </xf>
    <xf numFmtId="175" fontId="30" fillId="29" borderId="155" xfId="0" applyNumberFormat="1" applyFont="1" applyFill="1" applyBorder="1" applyAlignment="1">
      <alignment horizontal="right" vertical="center" wrapText="1"/>
    </xf>
    <xf numFmtId="0" fontId="22" fillId="29" borderId="90" xfId="0" applyFont="1" applyFill="1" applyBorder="1" applyAlignment="1">
      <alignment vertical="center" wrapText="1"/>
    </xf>
    <xf numFmtId="175" fontId="30" fillId="29" borderId="91" xfId="0" applyNumberFormat="1" applyFont="1" applyFill="1" applyBorder="1" applyAlignment="1">
      <alignment horizontal="right" vertical="center" wrapText="1"/>
    </xf>
    <xf numFmtId="0" fontId="22" fillId="29" borderId="92" xfId="0" applyFont="1" applyFill="1" applyBorder="1" applyAlignment="1">
      <alignment vertical="center" wrapText="1"/>
    </xf>
    <xf numFmtId="0" fontId="22" fillId="29" borderId="93" xfId="0" applyFont="1" applyFill="1" applyBorder="1" applyAlignment="1">
      <alignment vertical="center" wrapText="1"/>
    </xf>
    <xf numFmtId="175" fontId="30" fillId="29" borderId="93" xfId="0" applyNumberFormat="1" applyFont="1" applyFill="1" applyBorder="1" applyAlignment="1">
      <alignment horizontal="right" vertical="center" wrapText="1"/>
    </xf>
    <xf numFmtId="175" fontId="30" fillId="29" borderId="94" xfId="0" applyNumberFormat="1" applyFont="1" applyFill="1" applyBorder="1" applyAlignment="1">
      <alignment horizontal="right" vertical="center" wrapText="1"/>
    </xf>
    <xf numFmtId="171" fontId="24" fillId="8" borderId="3" xfId="2" applyNumberFormat="1" applyFont="1" applyFill="1" applyBorder="1" applyAlignment="1" applyProtection="1">
      <alignment wrapText="1"/>
    </xf>
    <xf numFmtId="171" fontId="24" fillId="8" borderId="3" xfId="2" applyNumberFormat="1" applyFont="1" applyFill="1" applyBorder="1" applyAlignment="1" applyProtection="1">
      <alignment vertical="center" wrapText="1"/>
    </xf>
    <xf numFmtId="166" fontId="24" fillId="8" borderId="3" xfId="2" applyNumberFormat="1" applyFont="1" applyFill="1" applyBorder="1" applyAlignment="1" applyProtection="1">
      <alignment vertical="center" wrapText="1"/>
    </xf>
    <xf numFmtId="10" fontId="24" fillId="8" borderId="3" xfId="2" applyNumberFormat="1" applyFont="1" applyFill="1" applyBorder="1" applyAlignment="1" applyProtection="1">
      <alignment vertical="center" wrapText="1"/>
    </xf>
    <xf numFmtId="2" fontId="30" fillId="0" borderId="0" xfId="0" applyNumberFormat="1" applyFont="1" applyAlignment="1">
      <alignment horizontal="left"/>
    </xf>
    <xf numFmtId="0" fontId="32" fillId="34" borderId="39" xfId="0" applyFont="1" applyFill="1" applyBorder="1" applyAlignment="1">
      <alignment horizontal="center" vertical="center" wrapText="1"/>
    </xf>
    <xf numFmtId="168" fontId="30" fillId="44" borderId="98" xfId="0" applyNumberFormat="1" applyFont="1" applyFill="1" applyBorder="1" applyAlignment="1">
      <alignment horizontal="center" vertical="center" wrapText="1"/>
    </xf>
    <xf numFmtId="0" fontId="32" fillId="13" borderId="116" xfId="0" applyFont="1" applyFill="1" applyBorder="1" applyAlignment="1">
      <alignment horizontal="center" vertical="center" wrapText="1"/>
    </xf>
    <xf numFmtId="0" fontId="32" fillId="44" borderId="82" xfId="0" applyFont="1" applyFill="1" applyBorder="1" applyAlignment="1">
      <alignment horizontal="center" vertical="center" wrapText="1"/>
    </xf>
    <xf numFmtId="0" fontId="30" fillId="44" borderId="159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3" borderId="77" xfId="0" applyFont="1" applyFill="1" applyBorder="1" applyAlignment="1">
      <alignment horizontal="left" vertical="center"/>
    </xf>
    <xf numFmtId="10" fontId="7" fillId="0" borderId="84" xfId="0" applyNumberFormat="1" applyFont="1" applyBorder="1" applyAlignment="1">
      <alignment horizontal="left" vertical="center"/>
    </xf>
    <xf numFmtId="0" fontId="6" fillId="3" borderId="26" xfId="0" applyFont="1" applyFill="1" applyBorder="1" applyAlignment="1">
      <alignment horizontal="left" vertical="center"/>
    </xf>
    <xf numFmtId="0" fontId="18" fillId="0" borderId="0" xfId="0" applyFont="1"/>
    <xf numFmtId="0" fontId="6" fillId="0" borderId="6" xfId="0" applyFont="1" applyBorder="1" applyAlignment="1">
      <alignment vertical="center"/>
    </xf>
    <xf numFmtId="183" fontId="3" fillId="3" borderId="3" xfId="0" applyNumberFormat="1" applyFont="1" applyFill="1" applyBorder="1" applyAlignment="1">
      <alignment horizontal="center" vertical="center"/>
    </xf>
    <xf numFmtId="184" fontId="0" fillId="0" borderId="0" xfId="0" applyNumberFormat="1"/>
    <xf numFmtId="8" fontId="9" fillId="0" borderId="32" xfId="0" applyNumberFormat="1" applyFont="1" applyBorder="1"/>
    <xf numFmtId="8" fontId="9" fillId="0" borderId="0" xfId="0" applyNumberFormat="1" applyFont="1"/>
    <xf numFmtId="0" fontId="48" fillId="0" borderId="0" xfId="4"/>
    <xf numFmtId="168" fontId="21" fillId="35" borderId="111" xfId="1" applyFont="1" applyFill="1" applyBorder="1" applyAlignment="1">
      <alignment horizontal="center" vertical="center"/>
    </xf>
    <xf numFmtId="168" fontId="21" fillId="35" borderId="112" xfId="1" applyFont="1" applyFill="1" applyBorder="1" applyAlignment="1">
      <alignment horizontal="center" vertical="center"/>
    </xf>
    <xf numFmtId="168" fontId="21" fillId="35" borderId="157" xfId="1" applyFont="1" applyFill="1" applyBorder="1" applyAlignment="1">
      <alignment horizontal="center" vertical="center"/>
    </xf>
    <xf numFmtId="168" fontId="21" fillId="35" borderId="161" xfId="1" applyFont="1" applyFill="1" applyBorder="1" applyAlignment="1">
      <alignment horizontal="center" vertical="center"/>
    </xf>
    <xf numFmtId="168" fontId="21" fillId="35" borderId="162" xfId="1" applyFont="1" applyFill="1" applyBorder="1" applyAlignment="1">
      <alignment horizontal="center" vertical="center"/>
    </xf>
    <xf numFmtId="0" fontId="30" fillId="13" borderId="90" xfId="0" applyFont="1" applyFill="1" applyBorder="1" applyAlignment="1">
      <alignment horizontal="center" vertical="center" wrapText="1"/>
    </xf>
    <xf numFmtId="168" fontId="30" fillId="13" borderId="158" xfId="0" applyNumberFormat="1" applyFont="1" applyFill="1" applyBorder="1" applyAlignment="1">
      <alignment horizontal="center" vertical="center" wrapText="1"/>
    </xf>
    <xf numFmtId="172" fontId="21" fillId="37" borderId="112" xfId="1" applyNumberFormat="1" applyFont="1" applyFill="1" applyBorder="1" applyAlignment="1">
      <alignment horizontal="center" vertical="center"/>
    </xf>
    <xf numFmtId="2" fontId="21" fillId="36" borderId="63" xfId="1" applyNumberFormat="1" applyFont="1" applyFill="1" applyBorder="1" applyAlignment="1">
      <alignment horizontal="center" vertical="center"/>
    </xf>
    <xf numFmtId="2" fontId="21" fillId="36" borderId="4" xfId="1" applyNumberFormat="1" applyFont="1" applyFill="1" applyBorder="1" applyAlignment="1">
      <alignment horizontal="center" vertical="center"/>
    </xf>
    <xf numFmtId="2" fontId="21" fillId="36" borderId="104" xfId="1" applyNumberFormat="1" applyFont="1" applyFill="1" applyBorder="1" applyAlignment="1">
      <alignment horizontal="center" vertical="center"/>
    </xf>
    <xf numFmtId="2" fontId="21" fillId="36" borderId="2" xfId="1" applyNumberFormat="1" applyFont="1" applyFill="1" applyBorder="1" applyAlignment="1">
      <alignment horizontal="center" vertical="center"/>
    </xf>
    <xf numFmtId="2" fontId="21" fillId="36" borderId="122" xfId="1" applyNumberFormat="1" applyFont="1" applyFill="1" applyBorder="1" applyAlignment="1">
      <alignment horizontal="center" vertical="center"/>
    </xf>
    <xf numFmtId="0" fontId="30" fillId="44" borderId="158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vertical="center"/>
    </xf>
    <xf numFmtId="10" fontId="7" fillId="0" borderId="85" xfId="0" applyNumberFormat="1" applyFont="1" applyBorder="1" applyAlignment="1">
      <alignment horizontal="left" vertical="center"/>
    </xf>
    <xf numFmtId="0" fontId="6" fillId="3" borderId="47" xfId="0" applyFont="1" applyFill="1" applyBorder="1" applyAlignment="1">
      <alignment horizontal="left" vertical="center"/>
    </xf>
    <xf numFmtId="10" fontId="7" fillId="0" borderId="105" xfId="0" applyNumberFormat="1" applyFont="1" applyBorder="1" applyAlignment="1">
      <alignment horizontal="left" vertical="center"/>
    </xf>
    <xf numFmtId="0" fontId="8" fillId="52" borderId="11" xfId="0" applyFont="1" applyFill="1" applyBorder="1" applyAlignment="1" applyProtection="1">
      <alignment horizontal="center" vertical="center"/>
      <protection locked="0"/>
    </xf>
    <xf numFmtId="0" fontId="21" fillId="0" borderId="169" xfId="0" applyFont="1" applyBorder="1" applyAlignment="1">
      <alignment horizontal="center"/>
    </xf>
    <xf numFmtId="10" fontId="49" fillId="0" borderId="109" xfId="0" applyNumberFormat="1" applyFont="1" applyBorder="1"/>
    <xf numFmtId="2" fontId="49" fillId="0" borderId="170" xfId="0" applyNumberFormat="1" applyFont="1" applyBorder="1" applyAlignment="1">
      <alignment horizontal="center"/>
    </xf>
    <xf numFmtId="2" fontId="49" fillId="54" borderId="170" xfId="0" applyNumberFormat="1" applyFont="1" applyFill="1" applyBorder="1" applyAlignment="1">
      <alignment horizontal="center"/>
    </xf>
    <xf numFmtId="2" fontId="49" fillId="0" borderId="170" xfId="0" quotePrefix="1" applyNumberFormat="1" applyFont="1" applyBorder="1" applyAlignment="1">
      <alignment horizontal="center"/>
    </xf>
    <xf numFmtId="10" fontId="49" fillId="0" borderId="109" xfId="0" applyNumberFormat="1" applyFont="1" applyBorder="1" applyAlignment="1">
      <alignment horizontal="center"/>
    </xf>
    <xf numFmtId="0" fontId="20" fillId="0" borderId="169" xfId="0" applyFont="1" applyBorder="1" applyAlignment="1">
      <alignment horizontal="center"/>
    </xf>
    <xf numFmtId="0" fontId="20" fillId="53" borderId="169" xfId="0" applyFont="1" applyFill="1" applyBorder="1" applyAlignment="1">
      <alignment horizontal="center"/>
    </xf>
    <xf numFmtId="0" fontId="8" fillId="0" borderId="169" xfId="0" applyFont="1" applyBorder="1"/>
    <xf numFmtId="0" fontId="14" fillId="0" borderId="169" xfId="0" applyFont="1" applyBorder="1"/>
    <xf numFmtId="10" fontId="50" fillId="0" borderId="109" xfId="0" applyNumberFormat="1" applyFont="1" applyBorder="1"/>
    <xf numFmtId="2" fontId="49" fillId="55" borderId="170" xfId="0" applyNumberFormat="1" applyFont="1" applyFill="1" applyBorder="1" applyAlignment="1">
      <alignment horizontal="center"/>
    </xf>
    <xf numFmtId="172" fontId="21" fillId="34" borderId="171" xfId="1" applyNumberFormat="1" applyFont="1" applyFill="1" applyBorder="1" applyAlignment="1">
      <alignment horizontal="center" vertical="center"/>
    </xf>
    <xf numFmtId="168" fontId="21" fillId="35" borderId="4" xfId="1" applyFont="1" applyFill="1" applyBorder="1" applyAlignment="1">
      <alignment horizontal="center" vertical="center"/>
    </xf>
    <xf numFmtId="172" fontId="21" fillId="36" borderId="61" xfId="1" applyNumberFormat="1" applyFont="1" applyFill="1" applyBorder="1" applyAlignment="1">
      <alignment horizontal="center" vertical="center"/>
    </xf>
    <xf numFmtId="10" fontId="51" fillId="0" borderId="109" xfId="0" applyNumberFormat="1" applyFont="1" applyBorder="1"/>
    <xf numFmtId="0" fontId="20" fillId="49" borderId="76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 vertical="center" wrapText="1"/>
    </xf>
    <xf numFmtId="165" fontId="35" fillId="28" borderId="174" xfId="1" applyNumberFormat="1" applyFont="1" applyFill="1" applyBorder="1" applyAlignment="1">
      <alignment horizontal="center" vertical="center"/>
    </xf>
    <xf numFmtId="165" fontId="45" fillId="0" borderId="63" xfId="1" applyNumberFormat="1" applyFont="1" applyBorder="1" applyAlignment="1">
      <alignment horizontal="center" vertical="center"/>
    </xf>
    <xf numFmtId="165" fontId="45" fillId="0" borderId="4" xfId="1" applyNumberFormat="1" applyFont="1" applyBorder="1" applyAlignment="1">
      <alignment horizontal="center" vertical="center"/>
    </xf>
    <xf numFmtId="168" fontId="35" fillId="28" borderId="15" xfId="1" applyFont="1" applyFill="1" applyBorder="1" applyAlignment="1">
      <alignment horizontal="center" vertical="center"/>
    </xf>
    <xf numFmtId="172" fontId="35" fillId="28" borderId="16" xfId="1" applyNumberFormat="1" applyFont="1" applyFill="1" applyBorder="1" applyAlignment="1">
      <alignment horizontal="center" vertical="center"/>
    </xf>
    <xf numFmtId="165" fontId="45" fillId="0" borderId="175" xfId="1" applyNumberFormat="1" applyFont="1" applyBorder="1" applyAlignment="1">
      <alignment horizontal="center" vertical="center"/>
    </xf>
    <xf numFmtId="0" fontId="8" fillId="30" borderId="13" xfId="0" applyFont="1" applyFill="1" applyBorder="1" applyAlignment="1">
      <alignment horizontal="center" vertical="center" wrapText="1"/>
    </xf>
    <xf numFmtId="0" fontId="20" fillId="16" borderId="13" xfId="0" applyFont="1" applyFill="1" applyBorder="1" applyAlignment="1">
      <alignment horizontal="center" vertical="center" wrapText="1"/>
    </xf>
    <xf numFmtId="2" fontId="8" fillId="0" borderId="100" xfId="1" applyNumberFormat="1" applyFont="1" applyBorder="1" applyAlignment="1">
      <alignment horizontal="center" vertical="center"/>
    </xf>
    <xf numFmtId="2" fontId="8" fillId="0" borderId="102" xfId="1" applyNumberFormat="1" applyFont="1" applyBorder="1" applyAlignment="1">
      <alignment horizontal="center" vertical="center"/>
    </xf>
    <xf numFmtId="2" fontId="8" fillId="0" borderId="153" xfId="1" applyNumberFormat="1" applyFont="1" applyBorder="1" applyAlignment="1">
      <alignment horizontal="center" vertical="center"/>
    </xf>
    <xf numFmtId="2" fontId="30" fillId="8" borderId="121" xfId="0" applyNumberFormat="1" applyFont="1" applyFill="1" applyBorder="1"/>
    <xf numFmtId="2" fontId="30" fillId="8" borderId="109" xfId="0" applyNumberFormat="1" applyFont="1" applyFill="1" applyBorder="1"/>
    <xf numFmtId="2" fontId="20" fillId="0" borderId="109" xfId="0" applyNumberFormat="1" applyFont="1" applyBorder="1"/>
    <xf numFmtId="2" fontId="30" fillId="0" borderId="109" xfId="0" applyNumberFormat="1" applyFont="1" applyBorder="1"/>
    <xf numFmtId="2" fontId="35" fillId="28" borderId="15" xfId="1" applyNumberFormat="1" applyFont="1" applyFill="1" applyBorder="1" applyAlignment="1">
      <alignment horizontal="center" vertical="center"/>
    </xf>
    <xf numFmtId="172" fontId="32" fillId="29" borderId="2" xfId="0" applyNumberFormat="1" applyFont="1" applyFill="1" applyBorder="1" applyAlignment="1">
      <alignment horizontal="center" vertical="center" wrapText="1"/>
    </xf>
    <xf numFmtId="2" fontId="30" fillId="8" borderId="118" xfId="0" applyNumberFormat="1" applyFont="1" applyFill="1" applyBorder="1"/>
    <xf numFmtId="165" fontId="45" fillId="0" borderId="126" xfId="1" applyNumberFormat="1" applyFont="1" applyBorder="1" applyAlignment="1">
      <alignment horizontal="center" vertical="center"/>
    </xf>
    <xf numFmtId="165" fontId="45" fillId="0" borderId="77" xfId="1" applyNumberFormat="1" applyFont="1" applyBorder="1" applyAlignment="1">
      <alignment horizontal="center" vertical="center"/>
    </xf>
    <xf numFmtId="2" fontId="30" fillId="8" borderId="110" xfId="0" applyNumberFormat="1" applyFont="1" applyFill="1" applyBorder="1"/>
    <xf numFmtId="2" fontId="30" fillId="0" borderId="110" xfId="0" applyNumberFormat="1" applyFont="1" applyBorder="1"/>
    <xf numFmtId="2" fontId="20" fillId="0" borderId="121" xfId="0" applyNumberFormat="1" applyFont="1" applyBorder="1"/>
    <xf numFmtId="2" fontId="20" fillId="0" borderId="118" xfId="0" applyNumberFormat="1" applyFont="1" applyBorder="1"/>
    <xf numFmtId="2" fontId="20" fillId="0" borderId="110" xfId="0" applyNumberFormat="1" applyFont="1" applyBorder="1"/>
    <xf numFmtId="0" fontId="20" fillId="16" borderId="38" xfId="0" applyFont="1" applyFill="1" applyBorder="1" applyAlignment="1">
      <alignment horizontal="center" vertical="center" wrapText="1"/>
    </xf>
    <xf numFmtId="168" fontId="35" fillId="28" borderId="124" xfId="1" applyFont="1" applyFill="1" applyBorder="1" applyAlignment="1">
      <alignment horizontal="center" vertical="center"/>
    </xf>
    <xf numFmtId="165" fontId="45" fillId="0" borderId="125" xfId="1" applyNumberFormat="1" applyFont="1" applyBorder="1" applyAlignment="1">
      <alignment horizontal="center" vertical="center"/>
    </xf>
    <xf numFmtId="165" fontId="45" fillId="0" borderId="145" xfId="1" applyNumberFormat="1" applyFont="1" applyBorder="1" applyAlignment="1">
      <alignment horizontal="center" vertical="center"/>
    </xf>
    <xf numFmtId="2" fontId="8" fillId="0" borderId="176" xfId="1" applyNumberFormat="1" applyFont="1" applyBorder="1" applyAlignment="1">
      <alignment horizontal="center" vertical="center"/>
    </xf>
    <xf numFmtId="2" fontId="8" fillId="0" borderId="177" xfId="1" applyNumberFormat="1" applyFont="1" applyBorder="1" applyAlignment="1">
      <alignment horizontal="center" vertical="center"/>
    </xf>
    <xf numFmtId="2" fontId="8" fillId="0" borderId="5" xfId="1" applyNumberFormat="1" applyFont="1" applyBorder="1" applyAlignment="1">
      <alignment horizontal="center" vertical="center"/>
    </xf>
    <xf numFmtId="2" fontId="8" fillId="0" borderId="65" xfId="1" applyNumberFormat="1" applyFont="1" applyBorder="1" applyAlignment="1">
      <alignment horizontal="center" vertical="center"/>
    </xf>
    <xf numFmtId="2" fontId="8" fillId="0" borderId="78" xfId="1" applyNumberFormat="1" applyFont="1" applyBorder="1" applyAlignment="1">
      <alignment horizontal="center" vertical="center"/>
    </xf>
    <xf numFmtId="168" fontId="35" fillId="28" borderId="8" xfId="1" applyFont="1" applyFill="1" applyBorder="1" applyAlignment="1">
      <alignment horizontal="center" vertical="center"/>
    </xf>
    <xf numFmtId="172" fontId="14" fillId="0" borderId="178" xfId="0" applyNumberFormat="1" applyFont="1" applyBorder="1" applyAlignment="1">
      <alignment horizontal="center" vertical="center"/>
    </xf>
    <xf numFmtId="172" fontId="14" fillId="0" borderId="143" xfId="0" applyNumberFormat="1" applyFont="1" applyBorder="1" applyAlignment="1">
      <alignment horizontal="center" vertical="center"/>
    </xf>
    <xf numFmtId="172" fontId="14" fillId="0" borderId="179" xfId="0" applyNumberFormat="1" applyFont="1" applyBorder="1" applyAlignment="1">
      <alignment horizontal="center" vertical="center"/>
    </xf>
    <xf numFmtId="172" fontId="35" fillId="28" borderId="26" xfId="1" applyNumberFormat="1" applyFont="1" applyFill="1" applyBorder="1" applyAlignment="1">
      <alignment horizontal="center" vertical="center"/>
    </xf>
    <xf numFmtId="168" fontId="35" fillId="28" borderId="50" xfId="1" applyFont="1" applyFill="1" applyBorder="1" applyAlignment="1">
      <alignment horizontal="center" vertical="center"/>
    </xf>
    <xf numFmtId="43" fontId="37" fillId="2" borderId="73" xfId="0" applyNumberFormat="1" applyFont="1" applyFill="1" applyBorder="1" applyAlignment="1">
      <alignment horizontal="center" vertical="center"/>
    </xf>
    <xf numFmtId="0" fontId="21" fillId="0" borderId="169" xfId="0" applyFont="1" applyBorder="1"/>
    <xf numFmtId="0" fontId="21" fillId="0" borderId="90" xfId="0" applyFont="1" applyBorder="1"/>
    <xf numFmtId="0" fontId="21" fillId="0" borderId="109" xfId="0" applyFont="1" applyBorder="1" applyAlignment="1">
      <alignment horizontal="center"/>
    </xf>
    <xf numFmtId="0" fontId="21" fillId="0" borderId="86" xfId="0" applyFont="1" applyBorder="1" applyAlignment="1">
      <alignment horizontal="center"/>
    </xf>
    <xf numFmtId="0" fontId="21" fillId="0" borderId="180" xfId="0" applyFont="1" applyBorder="1" applyAlignment="1">
      <alignment horizontal="center"/>
    </xf>
    <xf numFmtId="2" fontId="47" fillId="8" borderId="86" xfId="0" applyNumberFormat="1" applyFont="1" applyFill="1" applyBorder="1" applyAlignment="1">
      <alignment horizontal="center"/>
    </xf>
    <xf numFmtId="2" fontId="14" fillId="8" borderId="86" xfId="0" applyNumberFormat="1" applyFont="1" applyFill="1" applyBorder="1" applyAlignment="1">
      <alignment horizontal="center"/>
    </xf>
    <xf numFmtId="2" fontId="21" fillId="0" borderId="86" xfId="0" applyNumberFormat="1" applyFont="1" applyBorder="1" applyAlignment="1">
      <alignment horizontal="center"/>
    </xf>
    <xf numFmtId="2" fontId="47" fillId="0" borderId="86" xfId="0" applyNumberFormat="1" applyFont="1" applyBorder="1" applyAlignment="1">
      <alignment horizontal="center"/>
    </xf>
    <xf numFmtId="2" fontId="47" fillId="8" borderId="181" xfId="0" applyNumberFormat="1" applyFont="1" applyFill="1" applyBorder="1" applyAlignment="1">
      <alignment horizontal="center"/>
    </xf>
    <xf numFmtId="2" fontId="47" fillId="0" borderId="181" xfId="0" applyNumberFormat="1" applyFont="1" applyBorder="1" applyAlignment="1">
      <alignment horizontal="center"/>
    </xf>
    <xf numFmtId="2" fontId="14" fillId="8" borderId="181" xfId="0" applyNumberFormat="1" applyFont="1" applyFill="1" applyBorder="1" applyAlignment="1">
      <alignment horizontal="center"/>
    </xf>
    <xf numFmtId="168" fontId="20" fillId="32" borderId="164" xfId="1" applyFont="1" applyFill="1" applyBorder="1" applyAlignment="1">
      <alignment horizontal="center" vertical="center"/>
    </xf>
    <xf numFmtId="168" fontId="20" fillId="32" borderId="40" xfId="1" applyFont="1" applyFill="1" applyBorder="1" applyAlignment="1">
      <alignment horizontal="center" vertical="center"/>
    </xf>
    <xf numFmtId="0" fontId="41" fillId="0" borderId="92" xfId="0" applyFont="1" applyBorder="1" applyAlignment="1">
      <alignment horizontal="right"/>
    </xf>
    <xf numFmtId="165" fontId="16" fillId="8" borderId="0" xfId="0" applyNumberFormat="1" applyFont="1" applyFill="1" applyAlignment="1">
      <alignment vertical="center"/>
    </xf>
    <xf numFmtId="171" fontId="16" fillId="13" borderId="24" xfId="0" applyNumberFormat="1" applyFont="1" applyFill="1" applyBorder="1" applyAlignment="1">
      <alignment vertical="center"/>
    </xf>
    <xf numFmtId="0" fontId="14" fillId="0" borderId="90" xfId="0" applyFont="1" applyBorder="1"/>
    <xf numFmtId="2" fontId="14" fillId="0" borderId="109" xfId="0" applyNumberFormat="1" applyFont="1" applyBorder="1" applyAlignment="1">
      <alignment horizontal="center"/>
    </xf>
    <xf numFmtId="2" fontId="14" fillId="0" borderId="86" xfId="0" applyNumberFormat="1" applyFont="1" applyBorder="1" applyAlignment="1">
      <alignment horizontal="center"/>
    </xf>
    <xf numFmtId="2" fontId="14" fillId="0" borderId="105" xfId="0" applyNumberFormat="1" applyFont="1" applyBorder="1" applyAlignment="1">
      <alignment horizontal="center"/>
    </xf>
    <xf numFmtId="2" fontId="14" fillId="0" borderId="118" xfId="0" applyNumberFormat="1" applyFont="1" applyBorder="1" applyAlignment="1">
      <alignment horizontal="center"/>
    </xf>
    <xf numFmtId="2" fontId="14" fillId="0" borderId="181" xfId="0" applyNumberFormat="1" applyFont="1" applyBorder="1" applyAlignment="1">
      <alignment horizontal="center"/>
    </xf>
    <xf numFmtId="2" fontId="14" fillId="0" borderId="0" xfId="0" applyNumberFormat="1" applyFont="1" applyAlignment="1">
      <alignment horizontal="center"/>
    </xf>
    <xf numFmtId="168" fontId="21" fillId="41" borderId="111" xfId="1" applyFont="1" applyFill="1" applyBorder="1" applyAlignment="1">
      <alignment horizontal="center" vertical="center"/>
    </xf>
    <xf numFmtId="168" fontId="21" fillId="41" borderId="156" xfId="1" applyFont="1" applyFill="1" applyBorder="1" applyAlignment="1">
      <alignment horizontal="center" vertical="center"/>
    </xf>
    <xf numFmtId="168" fontId="21" fillId="41" borderId="162" xfId="1" applyFont="1" applyFill="1" applyBorder="1" applyAlignment="1">
      <alignment horizontal="center" vertical="center"/>
    </xf>
    <xf numFmtId="168" fontId="30" fillId="13" borderId="172" xfId="0" applyNumberFormat="1" applyFont="1" applyFill="1" applyBorder="1" applyAlignment="1">
      <alignment horizontal="center" vertical="center" wrapText="1"/>
    </xf>
    <xf numFmtId="2" fontId="30" fillId="50" borderId="94" xfId="0" applyNumberFormat="1" applyFont="1" applyFill="1" applyBorder="1" applyAlignment="1">
      <alignment horizontal="left"/>
    </xf>
    <xf numFmtId="168" fontId="20" fillId="32" borderId="117" xfId="1" applyFont="1" applyFill="1" applyBorder="1" applyAlignment="1">
      <alignment vertical="center"/>
    </xf>
    <xf numFmtId="0" fontId="41" fillId="50" borderId="92" xfId="0" applyFont="1" applyFill="1" applyBorder="1" applyAlignment="1">
      <alignment horizontal="right"/>
    </xf>
    <xf numFmtId="0" fontId="32" fillId="34" borderId="116" xfId="0" applyFont="1" applyFill="1" applyBorder="1" applyAlignment="1">
      <alignment horizontal="center" vertical="center" wrapText="1"/>
    </xf>
    <xf numFmtId="0" fontId="32" fillId="34" borderId="83" xfId="0" applyFont="1" applyFill="1" applyBorder="1" applyAlignment="1">
      <alignment horizontal="center" vertical="center" wrapText="1"/>
    </xf>
    <xf numFmtId="0" fontId="30" fillId="13" borderId="1" xfId="0" applyFont="1" applyFill="1" applyBorder="1" applyAlignment="1">
      <alignment horizontal="center" vertical="center" wrapText="1"/>
    </xf>
    <xf numFmtId="0" fontId="22" fillId="8" borderId="100" xfId="0" applyFont="1" applyFill="1" applyBorder="1" applyAlignment="1">
      <alignment horizontal="center" vertical="center"/>
    </xf>
    <xf numFmtId="10" fontId="24" fillId="46" borderId="188" xfId="2" applyNumberFormat="1" applyFont="1" applyFill="1" applyBorder="1" applyAlignment="1" applyProtection="1">
      <alignment vertical="center"/>
    </xf>
    <xf numFmtId="169" fontId="22" fillId="46" borderId="189" xfId="1" applyNumberFormat="1" applyFont="1" applyFill="1" applyBorder="1" applyAlignment="1">
      <alignment vertical="center"/>
    </xf>
    <xf numFmtId="169" fontId="22" fillId="46" borderId="179" xfId="1" applyNumberFormat="1" applyFont="1" applyFill="1" applyBorder="1" applyAlignment="1">
      <alignment vertical="center"/>
    </xf>
    <xf numFmtId="0" fontId="9" fillId="8" borderId="19" xfId="0" applyFont="1" applyFill="1" applyBorder="1" applyAlignment="1">
      <alignment vertical="center" wrapText="1"/>
    </xf>
    <xf numFmtId="0" fontId="8" fillId="0" borderId="182" xfId="0" applyFont="1" applyBorder="1"/>
    <xf numFmtId="2" fontId="14" fillId="0" borderId="121" xfId="0" applyNumberFormat="1" applyFont="1" applyBorder="1" applyAlignment="1">
      <alignment horizontal="center"/>
    </xf>
    <xf numFmtId="2" fontId="14" fillId="0" borderId="190" xfId="0" applyNumberFormat="1" applyFont="1" applyBorder="1" applyAlignment="1">
      <alignment horizontal="center"/>
    </xf>
    <xf numFmtId="2" fontId="14" fillId="0" borderId="191" xfId="0" applyNumberFormat="1" applyFont="1" applyBorder="1" applyAlignment="1">
      <alignment horizontal="center"/>
    </xf>
    <xf numFmtId="168" fontId="30" fillId="13" borderId="164" xfId="0" applyNumberFormat="1" applyFont="1" applyFill="1" applyBorder="1" applyAlignment="1">
      <alignment horizontal="center" vertical="center" wrapText="1"/>
    </xf>
    <xf numFmtId="168" fontId="30" fillId="44" borderId="172" xfId="0" applyNumberFormat="1" applyFont="1" applyFill="1" applyBorder="1" applyAlignment="1">
      <alignment horizontal="center" vertical="center" wrapText="1"/>
    </xf>
    <xf numFmtId="0" fontId="22" fillId="19" borderId="21" xfId="0" applyFont="1" applyFill="1" applyBorder="1" applyAlignment="1">
      <alignment vertical="center" wrapText="1"/>
    </xf>
    <xf numFmtId="0" fontId="22" fillId="22" borderId="176" xfId="0" applyFont="1" applyFill="1" applyBorder="1" applyAlignment="1">
      <alignment horizontal="right" vertical="center" wrapText="1"/>
    </xf>
    <xf numFmtId="10" fontId="22" fillId="22" borderId="189" xfId="0" applyNumberFormat="1" applyFont="1" applyFill="1" applyBorder="1" applyAlignment="1">
      <alignment horizontal="right" vertical="center" wrapText="1"/>
    </xf>
    <xf numFmtId="169" fontId="22" fillId="22" borderId="189" xfId="0" applyNumberFormat="1" applyFont="1" applyFill="1" applyBorder="1" applyAlignment="1">
      <alignment vertical="center"/>
    </xf>
    <xf numFmtId="169" fontId="22" fillId="22" borderId="192" xfId="0" applyNumberFormat="1" applyFont="1" applyFill="1" applyBorder="1" applyAlignment="1">
      <alignment vertical="center"/>
    </xf>
    <xf numFmtId="169" fontId="22" fillId="22" borderId="179" xfId="0" applyNumberFormat="1" applyFont="1" applyFill="1" applyBorder="1" applyAlignment="1">
      <alignment vertical="center"/>
    </xf>
    <xf numFmtId="2" fontId="15" fillId="0" borderId="84" xfId="0" applyNumberFormat="1" applyFont="1" applyBorder="1" applyAlignment="1">
      <alignment vertical="center"/>
    </xf>
    <xf numFmtId="0" fontId="21" fillId="0" borderId="0" xfId="0" applyFont="1" applyAlignment="1" applyProtection="1">
      <alignment horizontal="left" vertical="center" wrapText="1"/>
      <protection locked="0"/>
    </xf>
    <xf numFmtId="10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/>
      <protection locked="0"/>
    </xf>
    <xf numFmtId="10" fontId="21" fillId="0" borderId="0" xfId="0" applyNumberFormat="1" applyFont="1" applyAlignment="1" applyProtection="1">
      <alignment horizontal="center" vertical="center"/>
      <protection locked="0"/>
    </xf>
    <xf numFmtId="175" fontId="9" fillId="0" borderId="0" xfId="0" applyNumberFormat="1" applyFont="1"/>
    <xf numFmtId="2" fontId="52" fillId="57" borderId="105" xfId="0" applyNumberFormat="1" applyFont="1" applyFill="1" applyBorder="1" applyAlignment="1">
      <alignment horizontal="center" vertical="center"/>
    </xf>
    <xf numFmtId="2" fontId="52" fillId="56" borderId="169" xfId="0" applyNumberFormat="1" applyFont="1" applyFill="1" applyBorder="1" applyAlignment="1">
      <alignment horizontal="center" vertical="center"/>
    </xf>
    <xf numFmtId="0" fontId="41" fillId="51" borderId="0" xfId="0" applyFont="1" applyFill="1" applyAlignment="1">
      <alignment horizontal="right"/>
    </xf>
    <xf numFmtId="2" fontId="47" fillId="0" borderId="183" xfId="0" applyNumberFormat="1" applyFont="1" applyBorder="1" applyAlignment="1">
      <alignment horizontal="right"/>
    </xf>
    <xf numFmtId="2" fontId="30" fillId="51" borderId="0" xfId="0" applyNumberFormat="1" applyFont="1" applyFill="1" applyAlignment="1">
      <alignment horizontal="left"/>
    </xf>
    <xf numFmtId="2" fontId="52" fillId="56" borderId="90" xfId="0" applyNumberFormat="1" applyFont="1" applyFill="1" applyBorder="1" applyAlignment="1">
      <alignment horizontal="center" vertical="center"/>
    </xf>
    <xf numFmtId="168" fontId="20" fillId="41" borderId="164" xfId="1" applyFont="1" applyFill="1" applyBorder="1" applyAlignment="1">
      <alignment vertical="center"/>
    </xf>
    <xf numFmtId="168" fontId="20" fillId="41" borderId="117" xfId="1" applyFont="1" applyFill="1" applyBorder="1" applyAlignment="1">
      <alignment vertical="center"/>
    </xf>
    <xf numFmtId="2" fontId="52" fillId="56" borderId="169" xfId="0" applyNumberFormat="1" applyFont="1" applyFill="1" applyBorder="1" applyAlignment="1">
      <alignment horizontal="center"/>
    </xf>
    <xf numFmtId="168" fontId="20" fillId="41" borderId="164" xfId="1" applyFont="1" applyFill="1" applyBorder="1" applyAlignment="1">
      <alignment horizontal="center" vertical="center"/>
    </xf>
    <xf numFmtId="168" fontId="20" fillId="28" borderId="37" xfId="1" applyFont="1" applyFill="1" applyBorder="1" applyAlignment="1">
      <alignment horizontal="center" vertical="center"/>
    </xf>
    <xf numFmtId="168" fontId="20" fillId="41" borderId="40" xfId="1" applyFont="1" applyFill="1" applyBorder="1" applyAlignment="1">
      <alignment horizontal="center" vertical="center"/>
    </xf>
    <xf numFmtId="168" fontId="21" fillId="41" borderId="32" xfId="1" applyFont="1" applyFill="1" applyBorder="1" applyAlignment="1">
      <alignment horizontal="center" vertical="center"/>
    </xf>
    <xf numFmtId="172" fontId="21" fillId="37" borderId="111" xfId="1" applyNumberFormat="1" applyFont="1" applyFill="1" applyBorder="1" applyAlignment="1">
      <alignment horizontal="center" vertical="center"/>
    </xf>
    <xf numFmtId="172" fontId="21" fillId="37" borderId="114" xfId="1" applyNumberFormat="1" applyFont="1" applyFill="1" applyBorder="1" applyAlignment="1">
      <alignment horizontal="center" vertical="center"/>
    </xf>
    <xf numFmtId="172" fontId="21" fillId="36" borderId="46" xfId="1" applyNumberFormat="1" applyFont="1" applyFill="1" applyBorder="1" applyAlignment="1">
      <alignment horizontal="center" vertical="center"/>
    </xf>
    <xf numFmtId="172" fontId="21" fillId="36" borderId="6" xfId="1" applyNumberFormat="1" applyFont="1" applyFill="1" applyBorder="1" applyAlignment="1">
      <alignment horizontal="center" vertical="center"/>
    </xf>
    <xf numFmtId="172" fontId="35" fillId="28" borderId="51" xfId="1" applyNumberFormat="1" applyFont="1" applyFill="1" applyBorder="1" applyAlignment="1">
      <alignment horizontal="center" vertical="center"/>
    </xf>
    <xf numFmtId="172" fontId="14" fillId="0" borderId="6" xfId="0" quotePrefix="1" applyNumberFormat="1" applyFont="1" applyBorder="1" applyAlignment="1">
      <alignment horizontal="center" vertical="center"/>
    </xf>
    <xf numFmtId="0" fontId="20" fillId="29" borderId="88" xfId="0" applyFont="1" applyFill="1" applyBorder="1" applyAlignment="1" applyProtection="1">
      <alignment horizontal="center" vertical="center"/>
      <protection locked="0"/>
    </xf>
    <xf numFmtId="0" fontId="20" fillId="29" borderId="0" xfId="0" applyFont="1" applyFill="1" applyAlignment="1" applyProtection="1">
      <alignment horizontal="center" vertical="center"/>
      <protection locked="0"/>
    </xf>
    <xf numFmtId="0" fontId="20" fillId="29" borderId="93" xfId="0" applyFont="1" applyFill="1" applyBorder="1" applyAlignment="1" applyProtection="1">
      <alignment horizontal="center" vertical="center"/>
      <protection locked="0"/>
    </xf>
    <xf numFmtId="0" fontId="8" fillId="40" borderId="123" xfId="0" applyFont="1" applyFill="1" applyBorder="1" applyAlignment="1" applyProtection="1">
      <alignment horizontal="center" vertical="center"/>
      <protection locked="0"/>
    </xf>
    <xf numFmtId="10" fontId="21" fillId="0" borderId="169" xfId="0" applyNumberFormat="1" applyFont="1" applyBorder="1"/>
    <xf numFmtId="10" fontId="8" fillId="0" borderId="169" xfId="0" applyNumberFormat="1" applyFont="1" applyBorder="1"/>
    <xf numFmtId="0" fontId="17" fillId="3" borderId="12" xfId="0" applyFont="1" applyFill="1" applyBorder="1" applyAlignment="1">
      <alignment horizontal="center" vertical="center" wrapText="1"/>
    </xf>
    <xf numFmtId="0" fontId="53" fillId="58" borderId="76" xfId="0" applyFont="1" applyFill="1" applyBorder="1"/>
    <xf numFmtId="0" fontId="46" fillId="0" borderId="118" xfId="0" applyFont="1" applyBorder="1"/>
    <xf numFmtId="0" fontId="46" fillId="0" borderId="115" xfId="0" applyFont="1" applyBorder="1"/>
    <xf numFmtId="0" fontId="53" fillId="58" borderId="79" xfId="0" applyFont="1" applyFill="1" applyBorder="1"/>
    <xf numFmtId="8" fontId="46" fillId="0" borderId="115" xfId="0" applyNumberFormat="1" applyFont="1" applyBorder="1" applyAlignment="1">
      <alignment wrapText="1"/>
    </xf>
    <xf numFmtId="0" fontId="16" fillId="6" borderId="116" xfId="0" applyFont="1" applyFill="1" applyBorder="1" applyAlignment="1">
      <alignment vertical="center"/>
    </xf>
    <xf numFmtId="0" fontId="16" fillId="6" borderId="183" xfId="0" applyFont="1" applyFill="1" applyBorder="1" applyAlignment="1">
      <alignment vertical="center"/>
    </xf>
    <xf numFmtId="165" fontId="16" fillId="6" borderId="183" xfId="0" applyNumberFormat="1" applyFont="1" applyFill="1" applyBorder="1" applyAlignment="1">
      <alignment vertical="center"/>
    </xf>
    <xf numFmtId="0" fontId="17" fillId="3" borderId="24" xfId="0" applyFont="1" applyFill="1" applyBorder="1" applyAlignment="1">
      <alignment horizontal="center" vertical="center" wrapText="1"/>
    </xf>
    <xf numFmtId="0" fontId="15" fillId="0" borderId="157" xfId="0" applyFont="1" applyBorder="1" applyAlignment="1">
      <alignment vertical="center"/>
    </xf>
    <xf numFmtId="171" fontId="16" fillId="3" borderId="87" xfId="0" applyNumberFormat="1" applyFont="1" applyFill="1" applyBorder="1" applyAlignment="1">
      <alignment horizontal="center" vertical="center"/>
    </xf>
    <xf numFmtId="171" fontId="16" fillId="3" borderId="89" xfId="0" applyNumberFormat="1" applyFont="1" applyFill="1" applyBorder="1" applyAlignment="1">
      <alignment horizontal="center" vertical="center"/>
    </xf>
    <xf numFmtId="171" fontId="16" fillId="3" borderId="116" xfId="0" applyNumberFormat="1" applyFont="1" applyFill="1" applyBorder="1" applyAlignment="1">
      <alignment horizontal="center" vertical="center"/>
    </xf>
    <xf numFmtId="171" fontId="16" fillId="3" borderId="117" xfId="0" applyNumberFormat="1" applyFont="1" applyFill="1" applyBorder="1" applyAlignment="1">
      <alignment horizontal="center" vertical="center"/>
    </xf>
    <xf numFmtId="0" fontId="17" fillId="9" borderId="193" xfId="0" applyFont="1" applyFill="1" applyBorder="1" applyAlignment="1">
      <alignment horizontal="center" vertical="center" wrapText="1"/>
    </xf>
    <xf numFmtId="0" fontId="17" fillId="9" borderId="16" xfId="0" applyFont="1" applyFill="1" applyBorder="1" applyAlignment="1">
      <alignment horizontal="center" vertical="center" wrapText="1"/>
    </xf>
    <xf numFmtId="0" fontId="17" fillId="9" borderId="24" xfId="0" applyFont="1" applyFill="1" applyBorder="1" applyAlignment="1">
      <alignment horizontal="center" vertical="center" wrapText="1"/>
    </xf>
    <xf numFmtId="0" fontId="15" fillId="0" borderId="194" xfId="0" applyFont="1" applyBorder="1"/>
    <xf numFmtId="8" fontId="15" fillId="0" borderId="85" xfId="0" applyNumberFormat="1" applyFont="1" applyBorder="1"/>
    <xf numFmtId="171" fontId="16" fillId="9" borderId="164" xfId="0" applyNumberFormat="1" applyFont="1" applyFill="1" applyBorder="1" applyAlignment="1">
      <alignment vertical="center"/>
    </xf>
    <xf numFmtId="0" fontId="17" fillId="11" borderId="197" xfId="0" applyFont="1" applyFill="1" applyBorder="1" applyAlignment="1">
      <alignment horizontal="center" vertical="center" wrapText="1"/>
    </xf>
    <xf numFmtId="0" fontId="15" fillId="0" borderId="198" xfId="0" applyFont="1" applyBorder="1" applyAlignment="1">
      <alignment vertical="center"/>
    </xf>
    <xf numFmtId="0" fontId="15" fillId="0" borderId="102" xfId="0" applyFont="1" applyBorder="1" applyAlignment="1">
      <alignment vertical="center"/>
    </xf>
    <xf numFmtId="0" fontId="15" fillId="0" borderId="153" xfId="0" applyFont="1" applyBorder="1" applyAlignment="1">
      <alignment vertical="center"/>
    </xf>
    <xf numFmtId="0" fontId="15" fillId="0" borderId="150" xfId="0" applyFont="1" applyBorder="1" applyAlignment="1">
      <alignment vertical="center"/>
    </xf>
    <xf numFmtId="0" fontId="17" fillId="14" borderId="197" xfId="0" applyFont="1" applyFill="1" applyBorder="1" applyAlignment="1">
      <alignment horizontal="center" vertical="center" wrapText="1"/>
    </xf>
    <xf numFmtId="0" fontId="17" fillId="14" borderId="18" xfId="0" applyFont="1" applyFill="1" applyBorder="1" applyAlignment="1">
      <alignment horizontal="center" vertical="center" wrapText="1"/>
    </xf>
    <xf numFmtId="0" fontId="17" fillId="14" borderId="134" xfId="0" applyFont="1" applyFill="1" applyBorder="1" applyAlignment="1">
      <alignment horizontal="center" vertical="center" wrapText="1"/>
    </xf>
    <xf numFmtId="171" fontId="16" fillId="13" borderId="83" xfId="0" applyNumberFormat="1" applyFont="1" applyFill="1" applyBorder="1" applyAlignment="1">
      <alignment vertical="center"/>
    </xf>
    <xf numFmtId="0" fontId="15" fillId="0" borderId="84" xfId="0" applyFont="1" applyBorder="1" applyAlignment="1">
      <alignment vertical="center"/>
    </xf>
    <xf numFmtId="0" fontId="15" fillId="0" borderId="76" xfId="0" applyFont="1" applyBorder="1" applyAlignment="1">
      <alignment vertical="center"/>
    </xf>
    <xf numFmtId="0" fontId="15" fillId="0" borderId="79" xfId="0" applyFont="1" applyBorder="1" applyAlignment="1">
      <alignment vertical="center"/>
    </xf>
    <xf numFmtId="0" fontId="15" fillId="0" borderId="115" xfId="0" applyFont="1" applyBorder="1" applyAlignment="1">
      <alignment vertical="center"/>
    </xf>
    <xf numFmtId="8" fontId="15" fillId="0" borderId="79" xfId="0" applyNumberFormat="1" applyFont="1" applyBorder="1"/>
    <xf numFmtId="171" fontId="15" fillId="0" borderId="13" xfId="0" applyNumberFormat="1" applyFont="1" applyBorder="1" applyAlignment="1">
      <alignment vertical="center"/>
    </xf>
    <xf numFmtId="0" fontId="17" fillId="14" borderId="185" xfId="0" applyFont="1" applyFill="1" applyBorder="1" applyAlignment="1">
      <alignment horizontal="center" vertical="center" wrapText="1"/>
    </xf>
    <xf numFmtId="0" fontId="17" fillId="14" borderId="186" xfId="0" applyFont="1" applyFill="1" applyBorder="1" applyAlignment="1">
      <alignment horizontal="center" vertical="center" wrapText="1"/>
    </xf>
    <xf numFmtId="0" fontId="17" fillId="14" borderId="200" xfId="0" applyFont="1" applyFill="1" applyBorder="1" applyAlignment="1">
      <alignment horizontal="center" vertical="center" wrapText="1"/>
    </xf>
    <xf numFmtId="0" fontId="17" fillId="14" borderId="82" xfId="0" applyFont="1" applyFill="1" applyBorder="1" applyAlignment="1">
      <alignment horizontal="center" vertical="center" wrapText="1"/>
    </xf>
    <xf numFmtId="0" fontId="17" fillId="14" borderId="83" xfId="0" applyFont="1" applyFill="1" applyBorder="1" applyAlignment="1">
      <alignment horizontal="center" vertical="center" wrapText="1"/>
    </xf>
    <xf numFmtId="0" fontId="15" fillId="0" borderId="48" xfId="0" applyFont="1" applyBorder="1" applyAlignment="1">
      <alignment vertical="center"/>
    </xf>
    <xf numFmtId="171" fontId="16" fillId="3" borderId="39" xfId="0" applyNumberFormat="1" applyFont="1" applyFill="1" applyBorder="1" applyAlignment="1">
      <alignment horizontal="right" vertical="center"/>
    </xf>
    <xf numFmtId="0" fontId="15" fillId="8" borderId="164" xfId="0" applyFont="1" applyFill="1" applyBorder="1" applyAlignment="1">
      <alignment vertical="center"/>
    </xf>
    <xf numFmtId="0" fontId="17" fillId="9" borderId="139" xfId="0" applyFont="1" applyFill="1" applyBorder="1" applyAlignment="1">
      <alignment horizontal="center" vertical="center" wrapText="1"/>
    </xf>
    <xf numFmtId="0" fontId="15" fillId="0" borderId="201" xfId="0" applyFont="1" applyBorder="1" applyAlignment="1">
      <alignment vertical="center"/>
    </xf>
    <xf numFmtId="0" fontId="15" fillId="0" borderId="105" xfId="0" applyFont="1" applyBorder="1" applyAlignment="1">
      <alignment vertical="center"/>
    </xf>
    <xf numFmtId="0" fontId="16" fillId="0" borderId="202" xfId="0" applyFont="1" applyBorder="1" applyAlignment="1">
      <alignment vertical="center"/>
    </xf>
    <xf numFmtId="0" fontId="16" fillId="0" borderId="106" xfId="0" applyFont="1" applyBorder="1" applyAlignment="1">
      <alignment vertical="center"/>
    </xf>
    <xf numFmtId="171" fontId="16" fillId="9" borderId="18" xfId="0" applyNumberFormat="1" applyFont="1" applyFill="1" applyBorder="1" applyAlignment="1">
      <alignment vertical="center"/>
    </xf>
    <xf numFmtId="171" fontId="16" fillId="9" borderId="196" xfId="0" applyNumberFormat="1" applyFont="1" applyFill="1" applyBorder="1" applyAlignment="1">
      <alignment vertical="center"/>
    </xf>
    <xf numFmtId="0" fontId="18" fillId="7" borderId="0" xfId="0" applyFont="1" applyFill="1" applyAlignment="1">
      <alignment vertical="center"/>
    </xf>
    <xf numFmtId="0" fontId="19" fillId="7" borderId="0" xfId="0" applyFont="1" applyFill="1" applyAlignment="1">
      <alignment vertical="center"/>
    </xf>
    <xf numFmtId="0" fontId="16" fillId="6" borderId="94" xfId="0" applyFont="1" applyFill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17" fillId="7" borderId="0" xfId="0" applyFont="1" applyFill="1"/>
    <xf numFmtId="0" fontId="15" fillId="8" borderId="1" xfId="0" applyFont="1" applyFill="1" applyBorder="1" applyAlignment="1">
      <alignment vertical="center"/>
    </xf>
    <xf numFmtId="0" fontId="0" fillId="0" borderId="1" xfId="0" applyBorder="1"/>
    <xf numFmtId="0" fontId="17" fillId="11" borderId="113" xfId="0" applyFont="1" applyFill="1" applyBorder="1" applyAlignment="1">
      <alignment horizontal="center" vertical="center" wrapText="1"/>
    </xf>
    <xf numFmtId="165" fontId="16" fillId="12" borderId="203" xfId="0" applyNumberFormat="1" applyFont="1" applyFill="1" applyBorder="1" applyAlignment="1">
      <alignment vertical="center"/>
    </xf>
    <xf numFmtId="165" fontId="15" fillId="0" borderId="156" xfId="0" applyNumberFormat="1" applyFont="1" applyBorder="1" applyAlignment="1">
      <alignment vertical="center"/>
    </xf>
    <xf numFmtId="165" fontId="16" fillId="11" borderId="203" xfId="0" applyNumberFormat="1" applyFont="1" applyFill="1" applyBorder="1" applyAlignment="1">
      <alignment vertical="center"/>
    </xf>
    <xf numFmtId="165" fontId="16" fillId="11" borderId="99" xfId="0" applyNumberFormat="1" applyFont="1" applyFill="1" applyBorder="1" applyAlignment="1">
      <alignment vertical="center"/>
    </xf>
    <xf numFmtId="165" fontId="15" fillId="0" borderId="0" xfId="0" applyNumberFormat="1" applyFont="1" applyAlignment="1">
      <alignment vertical="center"/>
    </xf>
    <xf numFmtId="165" fontId="16" fillId="15" borderId="83" xfId="0" applyNumberFormat="1" applyFont="1" applyFill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165" fontId="15" fillId="0" borderId="162" xfId="0" applyNumberFormat="1" applyFont="1" applyBorder="1" applyAlignment="1">
      <alignment vertical="center"/>
    </xf>
    <xf numFmtId="2" fontId="51" fillId="56" borderId="182" xfId="0" applyNumberFormat="1" applyFont="1" applyFill="1" applyBorder="1" applyAlignment="1">
      <alignment horizontal="center"/>
    </xf>
    <xf numFmtId="2" fontId="51" fillId="56" borderId="163" xfId="0" applyNumberFormat="1" applyFont="1" applyFill="1" applyBorder="1" applyAlignment="1">
      <alignment horizontal="center"/>
    </xf>
    <xf numFmtId="2" fontId="51" fillId="57" borderId="105" xfId="0" applyNumberFormat="1" applyFont="1" applyFill="1" applyBorder="1" applyAlignment="1">
      <alignment horizontal="center"/>
    </xf>
    <xf numFmtId="2" fontId="51" fillId="57" borderId="169" xfId="0" applyNumberFormat="1" applyFont="1" applyFill="1" applyBorder="1" applyAlignment="1">
      <alignment horizontal="center"/>
    </xf>
    <xf numFmtId="2" fontId="51" fillId="56" borderId="169" xfId="0" applyNumberFormat="1" applyFont="1" applyFill="1" applyBorder="1" applyAlignment="1">
      <alignment horizontal="center"/>
    </xf>
    <xf numFmtId="2" fontId="51" fillId="56" borderId="165" xfId="0" applyNumberFormat="1" applyFont="1" applyFill="1" applyBorder="1" applyAlignment="1">
      <alignment horizontal="center"/>
    </xf>
    <xf numFmtId="2" fontId="51" fillId="56" borderId="90" xfId="0" applyNumberFormat="1" applyFont="1" applyFill="1" applyBorder="1" applyAlignment="1">
      <alignment horizontal="center"/>
    </xf>
    <xf numFmtId="2" fontId="51" fillId="56" borderId="113" xfId="0" applyNumberFormat="1" applyFont="1" applyFill="1" applyBorder="1" applyAlignment="1">
      <alignment horizontal="center"/>
    </xf>
    <xf numFmtId="2" fontId="51" fillId="57" borderId="0" xfId="0" applyNumberFormat="1" applyFont="1" applyFill="1" applyAlignment="1">
      <alignment horizontal="center"/>
    </xf>
    <xf numFmtId="2" fontId="51" fillId="56" borderId="182" xfId="0" applyNumberFormat="1" applyFont="1" applyFill="1" applyBorder="1" applyAlignment="1">
      <alignment horizontal="center" vertical="center"/>
    </xf>
    <xf numFmtId="2" fontId="51" fillId="56" borderId="163" xfId="0" applyNumberFormat="1" applyFont="1" applyFill="1" applyBorder="1" applyAlignment="1">
      <alignment horizontal="center" vertical="center"/>
    </xf>
    <xf numFmtId="2" fontId="51" fillId="57" borderId="105" xfId="0" applyNumberFormat="1" applyFont="1" applyFill="1" applyBorder="1" applyAlignment="1">
      <alignment horizontal="center" vertical="center"/>
    </xf>
    <xf numFmtId="2" fontId="51" fillId="57" borderId="169" xfId="0" applyNumberFormat="1" applyFont="1" applyFill="1" applyBorder="1" applyAlignment="1">
      <alignment horizontal="center" vertical="center"/>
    </xf>
    <xf numFmtId="2" fontId="51" fillId="56" borderId="169" xfId="0" applyNumberFormat="1" applyFont="1" applyFill="1" applyBorder="1" applyAlignment="1">
      <alignment horizontal="center" vertical="center"/>
    </xf>
    <xf numFmtId="2" fontId="51" fillId="56" borderId="165" xfId="0" applyNumberFormat="1" applyFont="1" applyFill="1" applyBorder="1" applyAlignment="1">
      <alignment horizontal="center" vertical="center"/>
    </xf>
    <xf numFmtId="2" fontId="51" fillId="56" borderId="113" xfId="0" applyNumberFormat="1" applyFont="1" applyFill="1" applyBorder="1" applyAlignment="1">
      <alignment horizontal="center" vertical="center"/>
    </xf>
    <xf numFmtId="2" fontId="51" fillId="57" borderId="0" xfId="0" applyNumberFormat="1" applyFont="1" applyFill="1" applyAlignment="1">
      <alignment horizontal="center" vertical="center"/>
    </xf>
    <xf numFmtId="2" fontId="51" fillId="57" borderId="90" xfId="0" applyNumberFormat="1" applyFont="1" applyFill="1" applyBorder="1" applyAlignment="1">
      <alignment horizontal="center" vertical="center"/>
    </xf>
    <xf numFmtId="2" fontId="51" fillId="57" borderId="163" xfId="0" applyNumberFormat="1" applyFont="1" applyFill="1" applyBorder="1" applyAlignment="1">
      <alignment horizontal="center"/>
    </xf>
    <xf numFmtId="2" fontId="51" fillId="57" borderId="165" xfId="0" applyNumberFormat="1" applyFont="1" applyFill="1" applyBorder="1" applyAlignment="1">
      <alignment horizontal="center"/>
    </xf>
    <xf numFmtId="2" fontId="51" fillId="57" borderId="113" xfId="0" applyNumberFormat="1" applyFont="1" applyFill="1" applyBorder="1" applyAlignment="1">
      <alignment horizontal="center"/>
    </xf>
    <xf numFmtId="0" fontId="21" fillId="0" borderId="22" xfId="0" applyFont="1" applyBorder="1"/>
    <xf numFmtId="8" fontId="24" fillId="8" borderId="5" xfId="0" applyNumberFormat="1" applyFont="1" applyFill="1" applyBorder="1"/>
    <xf numFmtId="0" fontId="21" fillId="0" borderId="19" xfId="0" applyFont="1" applyBorder="1" applyAlignment="1">
      <alignment wrapText="1"/>
    </xf>
    <xf numFmtId="0" fontId="24" fillId="8" borderId="9" xfId="0" applyFont="1" applyFill="1" applyBorder="1"/>
    <xf numFmtId="8" fontId="24" fillId="8" borderId="9" xfId="0" applyNumberFormat="1" applyFont="1" applyFill="1" applyBorder="1"/>
    <xf numFmtId="0" fontId="22" fillId="8" borderId="9" xfId="0" applyFont="1" applyFill="1" applyBorder="1"/>
    <xf numFmtId="0" fontId="22" fillId="8" borderId="2" xfId="0" applyFont="1" applyFill="1" applyBorder="1"/>
    <xf numFmtId="10" fontId="24" fillId="8" borderId="9" xfId="0" applyNumberFormat="1" applyFont="1" applyFill="1" applyBorder="1"/>
    <xf numFmtId="0" fontId="22" fillId="8" borderId="60" xfId="0" applyFont="1" applyFill="1" applyBorder="1"/>
    <xf numFmtId="0" fontId="22" fillId="8" borderId="60" xfId="0" quotePrefix="1" applyFont="1" applyFill="1" applyBorder="1"/>
    <xf numFmtId="2" fontId="22" fillId="8" borderId="5" xfId="0" applyNumberFormat="1" applyFont="1" applyFill="1" applyBorder="1"/>
    <xf numFmtId="8" fontId="22" fillId="8" borderId="5" xfId="0" applyNumberFormat="1" applyFont="1" applyFill="1" applyBorder="1"/>
    <xf numFmtId="8" fontId="22" fillId="8" borderId="63" xfId="0" applyNumberFormat="1" applyFont="1" applyFill="1" applyBorder="1"/>
    <xf numFmtId="8" fontId="22" fillId="8" borderId="76" xfId="0" applyNumberFormat="1" applyFont="1" applyFill="1" applyBorder="1"/>
    <xf numFmtId="169" fontId="22" fillId="20" borderId="11" xfId="1" applyNumberFormat="1" applyFont="1" applyFill="1" applyBorder="1" applyAlignment="1">
      <alignment horizontal="center" vertical="center"/>
    </xf>
    <xf numFmtId="8" fontId="22" fillId="8" borderId="9" xfId="0" applyNumberFormat="1" applyFont="1" applyFill="1" applyBorder="1"/>
    <xf numFmtId="8" fontId="22" fillId="8" borderId="2" xfId="0" applyNumberFormat="1" applyFont="1" applyFill="1" applyBorder="1"/>
    <xf numFmtId="2" fontId="22" fillId="8" borderId="9" xfId="0" applyNumberFormat="1" applyFont="1" applyFill="1" applyBorder="1"/>
    <xf numFmtId="2" fontId="22" fillId="8" borderId="2" xfId="0" applyNumberFormat="1" applyFont="1" applyFill="1" applyBorder="1"/>
    <xf numFmtId="175" fontId="22" fillId="8" borderId="60" xfId="0" applyNumberFormat="1" applyFont="1" applyFill="1" applyBorder="1"/>
    <xf numFmtId="169" fontId="54" fillId="47" borderId="76" xfId="0" applyNumberFormat="1" applyFont="1" applyFill="1" applyBorder="1"/>
    <xf numFmtId="169" fontId="21" fillId="47" borderId="76" xfId="0" applyNumberFormat="1" applyFont="1" applyFill="1" applyBorder="1"/>
    <xf numFmtId="0" fontId="22" fillId="8" borderId="210" xfId="0" applyFont="1" applyFill="1" applyBorder="1" applyAlignment="1">
      <alignment horizontal="center" vertical="center"/>
    </xf>
    <xf numFmtId="0" fontId="22" fillId="19" borderId="211" xfId="0" applyFont="1" applyFill="1" applyBorder="1" applyAlignment="1">
      <alignment vertical="center" wrapText="1"/>
    </xf>
    <xf numFmtId="0" fontId="22" fillId="18" borderId="164" xfId="0" applyFont="1" applyFill="1" applyBorder="1" applyAlignment="1">
      <alignment horizontal="center" vertical="center" wrapText="1"/>
    </xf>
    <xf numFmtId="0" fontId="22" fillId="18" borderId="116" xfId="0" applyFont="1" applyFill="1" applyBorder="1" applyAlignment="1">
      <alignment horizontal="center" vertical="center" wrapText="1"/>
    </xf>
    <xf numFmtId="0" fontId="22" fillId="18" borderId="199" xfId="0" applyFont="1" applyFill="1" applyBorder="1" applyAlignment="1">
      <alignment horizontal="center" vertical="center" wrapText="1"/>
    </xf>
    <xf numFmtId="0" fontId="22" fillId="18" borderId="200" xfId="0" applyFont="1" applyFill="1" applyBorder="1" applyAlignment="1">
      <alignment horizontal="center" vertical="center" wrapText="1"/>
    </xf>
    <xf numFmtId="172" fontId="55" fillId="0" borderId="20" xfId="0" applyNumberFormat="1" applyFont="1" applyBorder="1" applyAlignment="1">
      <alignment horizontal="center" vertical="center"/>
    </xf>
    <xf numFmtId="172" fontId="56" fillId="28" borderId="16" xfId="1" applyNumberFormat="1" applyFont="1" applyFill="1" applyBorder="1" applyAlignment="1">
      <alignment horizontal="center" vertical="center"/>
    </xf>
    <xf numFmtId="172" fontId="56" fillId="28" borderId="37" xfId="1" applyNumberFormat="1" applyFont="1" applyFill="1" applyBorder="1" applyAlignment="1">
      <alignment horizontal="center" vertical="center"/>
    </xf>
    <xf numFmtId="2" fontId="0" fillId="0" borderId="0" xfId="0" applyNumberFormat="1"/>
    <xf numFmtId="0" fontId="47" fillId="8" borderId="109" xfId="0" applyFont="1" applyFill="1" applyBorder="1"/>
    <xf numFmtId="4" fontId="47" fillId="8" borderId="109" xfId="0" applyNumberFormat="1" applyFont="1" applyFill="1" applyBorder="1"/>
    <xf numFmtId="0" fontId="47" fillId="0" borderId="109" xfId="0" applyFont="1" applyBorder="1"/>
    <xf numFmtId="0" fontId="47" fillId="8" borderId="118" xfId="0" applyFont="1" applyFill="1" applyBorder="1"/>
    <xf numFmtId="0" fontId="47" fillId="8" borderId="84" xfId="0" applyFont="1" applyFill="1" applyBorder="1"/>
    <xf numFmtId="4" fontId="47" fillId="8" borderId="84" xfId="0" applyNumberFormat="1" applyFont="1" applyFill="1" applyBorder="1"/>
    <xf numFmtId="0" fontId="21" fillId="0" borderId="84" xfId="0" applyFont="1" applyBorder="1"/>
    <xf numFmtId="4" fontId="21" fillId="0" borderId="84" xfId="0" applyNumberFormat="1" applyFont="1" applyBorder="1"/>
    <xf numFmtId="0" fontId="47" fillId="8" borderId="115" xfId="0" applyFont="1" applyFill="1" applyBorder="1"/>
    <xf numFmtId="0" fontId="47" fillId="0" borderId="84" xfId="0" applyFont="1" applyBorder="1"/>
    <xf numFmtId="0" fontId="47" fillId="0" borderId="115" xfId="0" applyFont="1" applyBorder="1"/>
    <xf numFmtId="0" fontId="21" fillId="0" borderId="115" xfId="0" applyFont="1" applyBorder="1"/>
    <xf numFmtId="0" fontId="47" fillId="0" borderId="170" xfId="0" applyFont="1" applyBorder="1"/>
    <xf numFmtId="0" fontId="47" fillId="8" borderId="170" xfId="0" applyFont="1" applyFill="1" applyBorder="1"/>
    <xf numFmtId="0" fontId="47" fillId="8" borderId="212" xfId="0" applyFont="1" applyFill="1" applyBorder="1"/>
    <xf numFmtId="4" fontId="30" fillId="8" borderId="109" xfId="0" applyNumberFormat="1" applyFont="1" applyFill="1" applyBorder="1"/>
    <xf numFmtId="0" fontId="30" fillId="8" borderId="109" xfId="0" applyFont="1" applyFill="1" applyBorder="1"/>
    <xf numFmtId="0" fontId="30" fillId="0" borderId="109" xfId="0" applyFont="1" applyBorder="1"/>
    <xf numFmtId="0" fontId="30" fillId="8" borderId="118" xfId="0" applyFont="1" applyFill="1" applyBorder="1"/>
    <xf numFmtId="0" fontId="20" fillId="0" borderId="84" xfId="0" applyFont="1" applyBorder="1"/>
    <xf numFmtId="165" fontId="45" fillId="0" borderId="93" xfId="1" applyNumberFormat="1" applyFont="1" applyBorder="1" applyAlignment="1">
      <alignment horizontal="center" vertical="center"/>
    </xf>
    <xf numFmtId="0" fontId="30" fillId="8" borderId="121" xfId="0" applyFont="1" applyFill="1" applyBorder="1"/>
    <xf numFmtId="0" fontId="30" fillId="8" borderId="110" xfId="0" applyFont="1" applyFill="1" applyBorder="1"/>
    <xf numFmtId="4" fontId="30" fillId="8" borderId="110" xfId="0" applyNumberFormat="1" applyFont="1" applyFill="1" applyBorder="1"/>
    <xf numFmtId="4" fontId="20" fillId="0" borderId="110" xfId="0" applyNumberFormat="1" applyFont="1" applyBorder="1"/>
    <xf numFmtId="0" fontId="20" fillId="0" borderId="110" xfId="0" applyFont="1" applyBorder="1"/>
    <xf numFmtId="0" fontId="30" fillId="8" borderId="213" xfId="0" applyFont="1" applyFill="1" applyBorder="1"/>
    <xf numFmtId="165" fontId="45" fillId="0" borderId="127" xfId="1" applyNumberFormat="1" applyFont="1" applyBorder="1" applyAlignment="1">
      <alignment horizontal="center" vertical="center"/>
    </xf>
    <xf numFmtId="0" fontId="20" fillId="0" borderId="109" xfId="0" applyFont="1" applyBorder="1"/>
    <xf numFmtId="0" fontId="30" fillId="8" borderId="173" xfId="0" applyFont="1" applyFill="1" applyBorder="1"/>
    <xf numFmtId="165" fontId="45" fillId="0" borderId="214" xfId="1" applyNumberFormat="1" applyFont="1" applyBorder="1" applyAlignment="1">
      <alignment horizontal="center" vertical="center"/>
    </xf>
    <xf numFmtId="165" fontId="45" fillId="0" borderId="215" xfId="1" applyNumberFormat="1" applyFont="1" applyBorder="1" applyAlignment="1">
      <alignment horizontal="center" vertical="center"/>
    </xf>
    <xf numFmtId="0" fontId="20" fillId="0" borderId="115" xfId="0" applyFont="1" applyBorder="1"/>
    <xf numFmtId="0" fontId="30" fillId="0" borderId="170" xfId="0" applyFont="1" applyBorder="1"/>
    <xf numFmtId="0" fontId="30" fillId="8" borderId="170" xfId="0" applyFont="1" applyFill="1" applyBorder="1"/>
    <xf numFmtId="0" fontId="30" fillId="8" borderId="212" xfId="0" applyFont="1" applyFill="1" applyBorder="1"/>
    <xf numFmtId="0" fontId="33" fillId="33" borderId="216" xfId="0" applyFont="1" applyFill="1" applyBorder="1" applyAlignment="1">
      <alignment horizontal="center" vertical="center" wrapText="1"/>
    </xf>
    <xf numFmtId="0" fontId="31" fillId="33" borderId="0" xfId="0" applyFont="1" applyFill="1" applyBorder="1" applyAlignment="1">
      <alignment horizontal="center" vertical="center" wrapText="1"/>
    </xf>
    <xf numFmtId="2" fontId="21" fillId="37" borderId="182" xfId="1" applyNumberFormat="1" applyFont="1" applyFill="1" applyBorder="1" applyAlignment="1">
      <alignment horizontal="center" vertical="center"/>
    </xf>
    <xf numFmtId="172" fontId="21" fillId="37" borderId="217" xfId="1" applyNumberFormat="1" applyFont="1" applyFill="1" applyBorder="1" applyAlignment="1">
      <alignment horizontal="center" vertical="center"/>
    </xf>
    <xf numFmtId="172" fontId="21" fillId="37" borderId="218" xfId="1" applyNumberFormat="1" applyFont="1" applyFill="1" applyBorder="1" applyAlignment="1">
      <alignment horizontal="center" vertical="center"/>
    </xf>
    <xf numFmtId="172" fontId="21" fillId="37" borderId="144" xfId="1" applyNumberFormat="1" applyFont="1" applyFill="1" applyBorder="1" applyAlignment="1">
      <alignment horizontal="center" vertical="center"/>
    </xf>
    <xf numFmtId="172" fontId="21" fillId="37" borderId="219" xfId="1" applyNumberFormat="1" applyFont="1" applyFill="1" applyBorder="1" applyAlignment="1">
      <alignment horizontal="center" vertical="center"/>
    </xf>
    <xf numFmtId="172" fontId="21" fillId="37" borderId="92" xfId="1" applyNumberFormat="1" applyFont="1" applyFill="1" applyBorder="1" applyAlignment="1">
      <alignment horizontal="center" vertical="center"/>
    </xf>
    <xf numFmtId="168" fontId="31" fillId="33" borderId="1" xfId="0" applyNumberFormat="1" applyFont="1" applyFill="1" applyBorder="1" applyAlignment="1">
      <alignment horizontal="center" vertical="center" wrapText="1"/>
    </xf>
    <xf numFmtId="168" fontId="21" fillId="43" borderId="21" xfId="1" applyFont="1" applyFill="1" applyBorder="1" applyAlignment="1">
      <alignment horizontal="center" vertical="center"/>
    </xf>
    <xf numFmtId="168" fontId="21" fillId="43" borderId="31" xfId="1" applyFont="1" applyFill="1" applyBorder="1" applyAlignment="1">
      <alignment horizontal="center" vertical="center"/>
    </xf>
    <xf numFmtId="168" fontId="21" fillId="43" borderId="48" xfId="1" applyFont="1" applyFill="1" applyBorder="1" applyAlignment="1">
      <alignment horizontal="center" vertical="center"/>
    </xf>
    <xf numFmtId="168" fontId="20" fillId="42" borderId="12" xfId="1" applyFont="1" applyFill="1" applyBorder="1" applyAlignment="1">
      <alignment horizontal="center" vertical="center"/>
    </xf>
    <xf numFmtId="0" fontId="33" fillId="33" borderId="220" xfId="0" applyFont="1" applyFill="1" applyBorder="1" applyAlignment="1">
      <alignment horizontal="center" vertical="center" wrapText="1"/>
    </xf>
    <xf numFmtId="0" fontId="31" fillId="33" borderId="116" xfId="0" applyFont="1" applyFill="1" applyBorder="1" applyAlignment="1">
      <alignment horizontal="center" vertical="center" wrapText="1"/>
    </xf>
    <xf numFmtId="2" fontId="21" fillId="37" borderId="169" xfId="1" applyNumberFormat="1" applyFont="1" applyFill="1" applyBorder="1" applyAlignment="1">
      <alignment horizontal="center" vertical="center"/>
    </xf>
    <xf numFmtId="168" fontId="21" fillId="43" borderId="21" xfId="1" applyFont="1" applyFill="1" applyBorder="1" applyAlignment="1">
      <alignment vertical="center"/>
    </xf>
    <xf numFmtId="168" fontId="21" fillId="43" borderId="31" xfId="1" applyFont="1" applyFill="1" applyBorder="1" applyAlignment="1">
      <alignment vertical="center"/>
    </xf>
    <xf numFmtId="168" fontId="20" fillId="42" borderId="12" xfId="1" applyFont="1" applyFill="1" applyBorder="1" applyAlignment="1">
      <alignment vertical="center"/>
    </xf>
    <xf numFmtId="168" fontId="31" fillId="33" borderId="116" xfId="0" applyNumberFormat="1" applyFont="1" applyFill="1" applyBorder="1" applyAlignment="1">
      <alignment horizontal="center" vertical="center" wrapText="1"/>
    </xf>
    <xf numFmtId="165" fontId="15" fillId="0" borderId="221" xfId="0" applyNumberFormat="1" applyFont="1" applyBorder="1" applyAlignment="1">
      <alignment vertical="center"/>
    </xf>
    <xf numFmtId="165" fontId="15" fillId="0" borderId="3" xfId="0" applyNumberFormat="1" applyFont="1" applyBorder="1" applyAlignment="1">
      <alignment vertical="center"/>
    </xf>
    <xf numFmtId="0" fontId="20" fillId="16" borderId="12" xfId="0" applyFont="1" applyFill="1" applyBorder="1" applyAlignment="1">
      <alignment horizontal="center" vertical="center" wrapText="1"/>
    </xf>
    <xf numFmtId="172" fontId="21" fillId="34" borderId="170" xfId="1" applyNumberFormat="1" applyFont="1" applyFill="1" applyBorder="1" applyAlignment="1">
      <alignment horizontal="center" vertical="center"/>
    </xf>
    <xf numFmtId="0" fontId="32" fillId="34" borderId="12" xfId="0" applyFont="1" applyFill="1" applyBorder="1" applyAlignment="1">
      <alignment horizontal="center" vertical="center" wrapText="1"/>
    </xf>
    <xf numFmtId="0" fontId="33" fillId="37" borderId="12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66" xfId="0" applyFont="1" applyBorder="1" applyAlignment="1">
      <alignment horizontal="left" vertical="center"/>
    </xf>
    <xf numFmtId="0" fontId="6" fillId="0" borderId="167" xfId="0" applyFont="1" applyBorder="1" applyAlignment="1">
      <alignment horizontal="left" vertical="center"/>
    </xf>
    <xf numFmtId="0" fontId="6" fillId="0" borderId="16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4" fillId="2" borderId="96" xfId="0" applyFont="1" applyFill="1" applyBorder="1" applyAlignment="1">
      <alignment horizontal="left" vertical="center"/>
    </xf>
    <xf numFmtId="0" fontId="7" fillId="0" borderId="77" xfId="0" applyFont="1" applyBorder="1" applyAlignment="1">
      <alignment horizontal="left" vertical="center"/>
    </xf>
    <xf numFmtId="0" fontId="7" fillId="0" borderId="105" xfId="0" applyFont="1" applyBorder="1" applyAlignment="1">
      <alignment horizontal="left" vertical="center"/>
    </xf>
    <xf numFmtId="0" fontId="7" fillId="0" borderId="8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6" fillId="0" borderId="76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left" vertical="center" wrapText="1"/>
    </xf>
    <xf numFmtId="0" fontId="16" fillId="15" borderId="81" xfId="0" applyFont="1" applyFill="1" applyBorder="1" applyAlignment="1">
      <alignment horizontal="center" vertical="center"/>
    </xf>
    <xf numFmtId="0" fontId="16" fillId="15" borderId="82" xfId="0" applyFont="1" applyFill="1" applyBorder="1" applyAlignment="1">
      <alignment horizontal="center" vertical="center"/>
    </xf>
    <xf numFmtId="171" fontId="15" fillId="0" borderId="16" xfId="0" applyNumberFormat="1" applyFont="1" applyBorder="1" applyAlignment="1">
      <alignment horizontal="center" vertical="center"/>
    </xf>
    <xf numFmtId="171" fontId="15" fillId="0" borderId="1" xfId="0" applyNumberFormat="1" applyFont="1" applyBorder="1" applyAlignment="1">
      <alignment horizontal="center" vertical="center"/>
    </xf>
    <xf numFmtId="0" fontId="16" fillId="6" borderId="39" xfId="0" applyFont="1" applyFill="1" applyBorder="1" applyAlignment="1">
      <alignment horizontal="center" vertical="center"/>
    </xf>
    <xf numFmtId="0" fontId="16" fillId="6" borderId="59" xfId="0" applyFont="1" applyFill="1" applyBorder="1" applyAlignment="1">
      <alignment horizontal="center" vertical="center"/>
    </xf>
    <xf numFmtId="0" fontId="16" fillId="6" borderId="36" xfId="0" applyFont="1" applyFill="1" applyBorder="1" applyAlignment="1">
      <alignment horizontal="center" vertical="center"/>
    </xf>
    <xf numFmtId="0" fontId="16" fillId="13" borderId="87" xfId="0" applyFont="1" applyFill="1" applyBorder="1" applyAlignment="1">
      <alignment horizontal="center" vertical="center"/>
    </xf>
    <xf numFmtId="0" fontId="16" fillId="13" borderId="88" xfId="0" applyFont="1" applyFill="1" applyBorder="1" applyAlignment="1">
      <alignment horizontal="center" vertical="center"/>
    </xf>
    <xf numFmtId="0" fontId="16" fillId="13" borderId="89" xfId="0" applyFont="1" applyFill="1" applyBorder="1" applyAlignment="1">
      <alignment horizontal="center" vertical="center"/>
    </xf>
    <xf numFmtId="0" fontId="16" fillId="13" borderId="116" xfId="0" applyFont="1" applyFill="1" applyBorder="1" applyAlignment="1">
      <alignment horizontal="center" vertical="center"/>
    </xf>
    <xf numFmtId="0" fontId="16" fillId="13" borderId="183" xfId="0" applyFont="1" applyFill="1" applyBorder="1" applyAlignment="1">
      <alignment horizontal="center" vertical="center"/>
    </xf>
    <xf numFmtId="0" fontId="16" fillId="13" borderId="199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16" fillId="13" borderId="17" xfId="0" applyFont="1" applyFill="1" applyBorder="1" applyAlignment="1">
      <alignment horizontal="center" vertical="center"/>
    </xf>
    <xf numFmtId="0" fontId="17" fillId="8" borderId="22" xfId="0" applyFont="1" applyFill="1" applyBorder="1" applyAlignment="1">
      <alignment horizontal="left" vertical="top"/>
    </xf>
    <xf numFmtId="0" fontId="16" fillId="9" borderId="147" xfId="0" applyFont="1" applyFill="1" applyBorder="1" applyAlignment="1">
      <alignment horizontal="center" vertical="center"/>
    </xf>
    <xf numFmtId="0" fontId="16" fillId="9" borderId="12" xfId="0" applyFont="1" applyFill="1" applyBorder="1" applyAlignment="1">
      <alignment horizontal="center" vertical="center"/>
    </xf>
    <xf numFmtId="0" fontId="16" fillId="9" borderId="39" xfId="0" applyFont="1" applyFill="1" applyBorder="1" applyAlignment="1">
      <alignment horizontal="center" vertical="center"/>
    </xf>
    <xf numFmtId="0" fontId="16" fillId="9" borderId="195" xfId="0" applyFont="1" applyFill="1" applyBorder="1" applyAlignment="1">
      <alignment horizontal="right" vertical="center"/>
    </xf>
    <xf numFmtId="0" fontId="16" fillId="9" borderId="39" xfId="0" applyFont="1" applyFill="1" applyBorder="1" applyAlignment="1">
      <alignment horizontal="right" vertical="center"/>
    </xf>
    <xf numFmtId="0" fontId="16" fillId="9" borderId="187" xfId="0" applyFont="1" applyFill="1" applyBorder="1" applyAlignment="1">
      <alignment horizontal="center" vertical="center"/>
    </xf>
    <xf numFmtId="0" fontId="16" fillId="9" borderId="196" xfId="0" applyFont="1" applyFill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0" fontId="16" fillId="3" borderId="59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6" fillId="37" borderId="87" xfId="0" applyFont="1" applyFill="1" applyBorder="1" applyAlignment="1">
      <alignment horizontal="center" vertical="center"/>
    </xf>
    <xf numFmtId="0" fontId="16" fillId="37" borderId="88" xfId="0" applyFont="1" applyFill="1" applyBorder="1" applyAlignment="1">
      <alignment horizontal="center" vertical="center"/>
    </xf>
    <xf numFmtId="0" fontId="16" fillId="37" borderId="0" xfId="0" applyFont="1" applyFill="1" applyAlignment="1">
      <alignment horizontal="center" vertical="center"/>
    </xf>
    <xf numFmtId="0" fontId="16" fillId="37" borderId="91" xfId="0" applyFont="1" applyFill="1" applyBorder="1" applyAlignment="1">
      <alignment horizontal="center" vertical="center"/>
    </xf>
    <xf numFmtId="0" fontId="16" fillId="10" borderId="204" xfId="0" applyFont="1" applyFill="1" applyBorder="1" applyAlignment="1">
      <alignment horizontal="center" vertical="center"/>
    </xf>
    <xf numFmtId="0" fontId="16" fillId="10" borderId="172" xfId="0" applyFont="1" applyFill="1" applyBorder="1" applyAlignment="1">
      <alignment horizontal="center" vertical="center"/>
    </xf>
    <xf numFmtId="0" fontId="16" fillId="10" borderId="205" xfId="0" applyFont="1" applyFill="1" applyBorder="1" applyAlignment="1">
      <alignment horizontal="center" vertical="center"/>
    </xf>
    <xf numFmtId="0" fontId="16" fillId="12" borderId="195" xfId="0" applyFont="1" applyFill="1" applyBorder="1" applyAlignment="1">
      <alignment horizontal="center" vertical="center"/>
    </xf>
    <xf numFmtId="0" fontId="16" fillId="12" borderId="59" xfId="0" applyFont="1" applyFill="1" applyBorder="1" applyAlignment="1">
      <alignment horizontal="center" vertical="center"/>
    </xf>
    <xf numFmtId="0" fontId="16" fillId="12" borderId="206" xfId="0" applyFont="1" applyFill="1" applyBorder="1" applyAlignment="1">
      <alignment horizontal="center" vertical="center"/>
    </xf>
    <xf numFmtId="0" fontId="16" fillId="12" borderId="158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0" fontId="16" fillId="12" borderId="160" xfId="0" applyFont="1" applyFill="1" applyBorder="1" applyAlignment="1">
      <alignment horizontal="center" vertical="center"/>
    </xf>
    <xf numFmtId="0" fontId="16" fillId="11" borderId="195" xfId="0" applyFont="1" applyFill="1" applyBorder="1" applyAlignment="1">
      <alignment horizontal="center" vertical="center"/>
    </xf>
    <xf numFmtId="0" fontId="16" fillId="11" borderId="59" xfId="0" applyFont="1" applyFill="1" applyBorder="1" applyAlignment="1">
      <alignment horizontal="center" vertical="center"/>
    </xf>
    <xf numFmtId="0" fontId="16" fillId="11" borderId="206" xfId="0" applyFont="1" applyFill="1" applyBorder="1" applyAlignment="1">
      <alignment horizontal="center" vertical="center"/>
    </xf>
    <xf numFmtId="0" fontId="16" fillId="11" borderId="207" xfId="0" applyFont="1" applyFill="1" applyBorder="1" applyAlignment="1">
      <alignment horizontal="center" vertical="center"/>
    </xf>
    <xf numFmtId="0" fontId="16" fillId="11" borderId="208" xfId="0" applyFont="1" applyFill="1" applyBorder="1" applyAlignment="1">
      <alignment horizontal="center" vertical="center"/>
    </xf>
    <xf numFmtId="0" fontId="16" fillId="11" borderId="209" xfId="0" applyFont="1" applyFill="1" applyBorder="1" applyAlignment="1">
      <alignment horizontal="center" vertical="center"/>
    </xf>
    <xf numFmtId="0" fontId="30" fillId="32" borderId="57" xfId="0" applyFont="1" applyFill="1" applyBorder="1" applyAlignment="1">
      <alignment horizontal="center" vertical="center" wrapText="1"/>
    </xf>
    <xf numFmtId="0" fontId="30" fillId="32" borderId="28" xfId="0" applyFont="1" applyFill="1" applyBorder="1" applyAlignment="1">
      <alignment horizontal="center" vertical="center" wrapText="1"/>
    </xf>
    <xf numFmtId="0" fontId="34" fillId="28" borderId="92" xfId="0" applyFont="1" applyFill="1" applyBorder="1" applyAlignment="1">
      <alignment horizontal="center" vertical="center"/>
    </xf>
    <xf numFmtId="0" fontId="34" fillId="28" borderId="93" xfId="0" applyFont="1" applyFill="1" applyBorder="1" applyAlignment="1">
      <alignment horizontal="center" vertical="center"/>
    </xf>
    <xf numFmtId="0" fontId="34" fillId="28" borderId="94" xfId="0" applyFont="1" applyFill="1" applyBorder="1" applyAlignment="1">
      <alignment horizontal="center" vertical="center"/>
    </xf>
    <xf numFmtId="0" fontId="34" fillId="28" borderId="97" xfId="0" applyFont="1" applyFill="1" applyBorder="1" applyAlignment="1">
      <alignment horizontal="center" vertical="center"/>
    </xf>
    <xf numFmtId="0" fontId="34" fillId="28" borderId="96" xfId="0" applyFont="1" applyFill="1" applyBorder="1" applyAlignment="1">
      <alignment horizontal="center" vertical="center"/>
    </xf>
    <xf numFmtId="0" fontId="34" fillId="28" borderId="95" xfId="0" applyFont="1" applyFill="1" applyBorder="1" applyAlignment="1">
      <alignment horizontal="center" vertical="center"/>
    </xf>
    <xf numFmtId="4" fontId="35" fillId="2" borderId="72" xfId="0" applyNumberFormat="1" applyFont="1" applyFill="1" applyBorder="1" applyAlignment="1">
      <alignment horizontal="center" vertical="center"/>
    </xf>
    <xf numFmtId="0" fontId="30" fillId="44" borderId="13" xfId="0" applyFont="1" applyFill="1" applyBorder="1" applyAlignment="1">
      <alignment horizontal="center" vertical="center" wrapText="1"/>
    </xf>
    <xf numFmtId="0" fontId="30" fillId="44" borderId="24" xfId="0" applyFont="1" applyFill="1" applyBorder="1" applyAlignment="1">
      <alignment horizontal="center" vertical="center" wrapText="1"/>
    </xf>
    <xf numFmtId="0" fontId="20" fillId="29" borderId="87" xfId="0" applyFont="1" applyFill="1" applyBorder="1" applyAlignment="1" applyProtection="1">
      <alignment horizontal="center" vertical="center"/>
      <protection locked="0"/>
    </xf>
    <xf numFmtId="0" fontId="20" fillId="29" borderId="90" xfId="0" applyFont="1" applyFill="1" applyBorder="1" applyAlignment="1" applyProtection="1">
      <alignment horizontal="center" vertical="center"/>
      <protection locked="0"/>
    </xf>
    <xf numFmtId="0" fontId="20" fillId="29" borderId="92" xfId="0" applyFont="1" applyFill="1" applyBorder="1" applyAlignment="1" applyProtection="1">
      <alignment horizontal="center" vertical="center"/>
      <protection locked="0"/>
    </xf>
    <xf numFmtId="0" fontId="31" fillId="33" borderId="13" xfId="0" applyFont="1" applyFill="1" applyBorder="1" applyAlignment="1">
      <alignment horizontal="center" vertical="center" wrapText="1"/>
    </xf>
    <xf numFmtId="0" fontId="31" fillId="33" borderId="24" xfId="0" applyFont="1" applyFill="1" applyBorder="1" applyAlignment="1">
      <alignment horizontal="center" vertical="center" wrapText="1"/>
    </xf>
    <xf numFmtId="0" fontId="36" fillId="2" borderId="69" xfId="0" applyFont="1" applyFill="1" applyBorder="1" applyAlignment="1">
      <alignment horizontal="center" vertical="center"/>
    </xf>
    <xf numFmtId="0" fontId="20" fillId="16" borderId="12" xfId="0" applyFont="1" applyFill="1" applyBorder="1" applyAlignment="1">
      <alignment horizontal="center" vertical="center" wrapText="1"/>
    </xf>
    <xf numFmtId="0" fontId="8" fillId="16" borderId="12" xfId="0" applyFont="1" applyFill="1" applyBorder="1" applyAlignment="1">
      <alignment horizontal="center" vertical="center" wrapText="1"/>
    </xf>
    <xf numFmtId="0" fontId="30" fillId="31" borderId="12" xfId="0" applyFont="1" applyFill="1" applyBorder="1" applyAlignment="1">
      <alignment horizontal="center" vertical="center" wrapText="1"/>
    </xf>
    <xf numFmtId="0" fontId="30" fillId="13" borderId="13" xfId="0" applyFont="1" applyFill="1" applyBorder="1" applyAlignment="1">
      <alignment horizontal="center" vertical="center" wrapText="1"/>
    </xf>
    <xf numFmtId="0" fontId="30" fillId="13" borderId="24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30" borderId="12" xfId="0" applyFont="1" applyFill="1" applyBorder="1" applyAlignment="1">
      <alignment horizontal="center" vertical="center" wrapText="1"/>
    </xf>
    <xf numFmtId="0" fontId="14" fillId="30" borderId="12" xfId="0" applyFont="1" applyFill="1" applyBorder="1" applyAlignment="1">
      <alignment horizontal="center" vertical="center" wrapText="1"/>
    </xf>
    <xf numFmtId="0" fontId="20" fillId="29" borderId="88" xfId="0" applyFont="1" applyFill="1" applyBorder="1" applyAlignment="1" applyProtection="1">
      <alignment horizontal="center" vertical="center"/>
      <protection locked="0"/>
    </xf>
    <xf numFmtId="0" fontId="20" fillId="29" borderId="0" xfId="0" applyFont="1" applyFill="1" applyAlignment="1" applyProtection="1">
      <alignment horizontal="center" vertical="center"/>
      <protection locked="0"/>
    </xf>
    <xf numFmtId="0" fontId="20" fillId="29" borderId="93" xfId="0" applyFont="1" applyFill="1" applyBorder="1" applyAlignment="1" applyProtection="1">
      <alignment horizontal="center" vertical="center"/>
      <protection locked="0"/>
    </xf>
    <xf numFmtId="0" fontId="8" fillId="4" borderId="36" xfId="0" applyFont="1" applyFill="1" applyBorder="1" applyAlignment="1">
      <alignment horizontal="center" vertical="center" wrapText="1"/>
    </xf>
    <xf numFmtId="0" fontId="20" fillId="29" borderId="89" xfId="0" applyFont="1" applyFill="1" applyBorder="1" applyAlignment="1" applyProtection="1">
      <alignment horizontal="center" vertical="center"/>
      <protection locked="0"/>
    </xf>
    <xf numFmtId="0" fontId="20" fillId="29" borderId="91" xfId="0" applyFont="1" applyFill="1" applyBorder="1" applyAlignment="1" applyProtection="1">
      <alignment horizontal="center" vertical="center"/>
      <protection locked="0"/>
    </xf>
    <xf numFmtId="0" fontId="20" fillId="29" borderId="94" xfId="0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>
      <alignment horizontal="center" vertical="center"/>
    </xf>
    <xf numFmtId="0" fontId="20" fillId="25" borderId="38" xfId="3" applyNumberFormat="1" applyFont="1" applyFill="1" applyBorder="1" applyAlignment="1" applyProtection="1">
      <alignment horizontal="center" vertical="center"/>
    </xf>
    <xf numFmtId="0" fontId="20" fillId="26" borderId="59" xfId="0" applyFont="1" applyFill="1" applyBorder="1" applyAlignment="1">
      <alignment horizontal="center" vertical="center"/>
    </xf>
    <xf numFmtId="0" fontId="20" fillId="27" borderId="59" xfId="0" applyFont="1" applyFill="1" applyBorder="1" applyAlignment="1">
      <alignment horizontal="center" vertical="center"/>
    </xf>
    <xf numFmtId="0" fontId="20" fillId="28" borderId="59" xfId="0" applyFont="1" applyFill="1" applyBorder="1" applyAlignment="1">
      <alignment horizontal="center" vertical="center"/>
    </xf>
    <xf numFmtId="0" fontId="20" fillId="16" borderId="39" xfId="0" applyFont="1" applyFill="1" applyBorder="1" applyAlignment="1">
      <alignment horizontal="center" vertical="center" wrapText="1"/>
    </xf>
    <xf numFmtId="0" fontId="8" fillId="16" borderId="59" xfId="0" applyFont="1" applyFill="1" applyBorder="1" applyAlignment="1">
      <alignment horizontal="center" vertical="center" wrapText="1"/>
    </xf>
    <xf numFmtId="0" fontId="32" fillId="41" borderId="3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2" fillId="41" borderId="13" xfId="0" applyFont="1" applyFill="1" applyBorder="1" applyAlignment="1">
      <alignment horizontal="center" vertical="center" wrapText="1"/>
    </xf>
    <xf numFmtId="0" fontId="32" fillId="32" borderId="40" xfId="0" applyFont="1" applyFill="1" applyBorder="1" applyAlignment="1">
      <alignment horizontal="center" vertical="center" wrapText="1"/>
    </xf>
    <xf numFmtId="0" fontId="20" fillId="40" borderId="39" xfId="0" applyFont="1" applyFill="1" applyBorder="1" applyAlignment="1" applyProtection="1">
      <alignment horizontal="center" vertical="center"/>
      <protection locked="0"/>
    </xf>
    <xf numFmtId="0" fontId="8" fillId="4" borderId="59" xfId="0" applyFont="1" applyFill="1" applyBorder="1" applyAlignment="1">
      <alignment horizontal="center" vertical="center" wrapText="1"/>
    </xf>
    <xf numFmtId="0" fontId="20" fillId="40" borderId="184" xfId="0" applyFont="1" applyFill="1" applyBorder="1" applyAlignment="1" applyProtection="1">
      <alignment horizontal="center" vertical="center"/>
      <protection locked="0"/>
    </xf>
    <xf numFmtId="0" fontId="20" fillId="40" borderId="162" xfId="0" applyFont="1" applyFill="1" applyBorder="1" applyAlignment="1" applyProtection="1">
      <alignment horizontal="center" vertical="center"/>
      <protection locked="0"/>
    </xf>
    <xf numFmtId="0" fontId="20" fillId="26" borderId="49" xfId="0" applyFont="1" applyFill="1" applyBorder="1" applyAlignment="1">
      <alignment horizontal="center" vertical="center"/>
    </xf>
    <xf numFmtId="0" fontId="20" fillId="27" borderId="50" xfId="0" applyFont="1" applyFill="1" applyBorder="1" applyAlignment="1">
      <alignment horizontal="center" vertical="center"/>
    </xf>
    <xf numFmtId="0" fontId="20" fillId="28" borderId="74" xfId="0" applyFont="1" applyFill="1" applyBorder="1" applyAlignment="1">
      <alignment horizontal="center" vertical="center"/>
    </xf>
    <xf numFmtId="0" fontId="8" fillId="30" borderId="39" xfId="0" applyFont="1" applyFill="1" applyBorder="1" applyAlignment="1">
      <alignment horizontal="center" vertical="center" wrapText="1"/>
    </xf>
    <xf numFmtId="0" fontId="14" fillId="30" borderId="98" xfId="0" applyFont="1" applyFill="1" applyBorder="1" applyAlignment="1">
      <alignment horizontal="center" wrapText="1"/>
    </xf>
    <xf numFmtId="0" fontId="14" fillId="30" borderId="99" xfId="0" applyFont="1" applyFill="1" applyBorder="1" applyAlignment="1">
      <alignment horizontal="center" wrapText="1"/>
    </xf>
    <xf numFmtId="0" fontId="8" fillId="30" borderId="59" xfId="0" applyFont="1" applyFill="1" applyBorder="1" applyAlignment="1">
      <alignment horizontal="center" vertical="center" wrapText="1"/>
    </xf>
    <xf numFmtId="0" fontId="9" fillId="0" borderId="12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0" fillId="30" borderId="76" xfId="0" applyFont="1" applyFill="1" applyBorder="1" applyAlignment="1">
      <alignment horizontal="center" vertical="center" wrapText="1"/>
    </xf>
    <xf numFmtId="0" fontId="20" fillId="16" borderId="77" xfId="0" applyFont="1" applyFill="1" applyBorder="1" applyAlignment="1">
      <alignment horizontal="center" vertical="center" wrapText="1"/>
    </xf>
    <xf numFmtId="0" fontId="20" fillId="16" borderId="78" xfId="0" applyFont="1" applyFill="1" applyBorder="1" applyAlignment="1">
      <alignment horizontal="center" vertical="center" wrapText="1"/>
    </xf>
    <xf numFmtId="0" fontId="20" fillId="16" borderId="76" xfId="0" applyFont="1" applyFill="1" applyBorder="1" applyAlignment="1">
      <alignment horizontal="center" vertical="center" wrapText="1"/>
    </xf>
    <xf numFmtId="0" fontId="20" fillId="30" borderId="77" xfId="0" applyFont="1" applyFill="1" applyBorder="1" applyAlignment="1">
      <alignment horizontal="center" vertical="center" wrapText="1"/>
    </xf>
    <xf numFmtId="0" fontId="20" fillId="30" borderId="78" xfId="0" applyFont="1" applyFill="1" applyBorder="1" applyAlignment="1">
      <alignment horizontal="center" vertical="center" wrapText="1"/>
    </xf>
    <xf numFmtId="0" fontId="20" fillId="4" borderId="76" xfId="0" applyFont="1" applyFill="1" applyBorder="1" applyAlignment="1">
      <alignment horizontal="center" vertical="center" wrapText="1"/>
    </xf>
    <xf numFmtId="0" fontId="20" fillId="4" borderId="77" xfId="0" applyFont="1" applyFill="1" applyBorder="1" applyAlignment="1">
      <alignment horizontal="center" vertical="center" wrapText="1"/>
    </xf>
    <xf numFmtId="0" fontId="20" fillId="4" borderId="78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128" xfId="0" applyFont="1" applyFill="1" applyBorder="1" applyAlignment="1">
      <alignment horizontal="center" vertical="center" wrapText="1"/>
    </xf>
    <xf numFmtId="0" fontId="20" fillId="4" borderId="129" xfId="0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left" vertical="center" wrapText="1"/>
    </xf>
    <xf numFmtId="0" fontId="22" fillId="8" borderId="25" xfId="0" applyFont="1" applyFill="1" applyBorder="1" applyAlignment="1">
      <alignment horizontal="left" vertical="center" wrapText="1"/>
    </xf>
    <xf numFmtId="0" fontId="20" fillId="4" borderId="79" xfId="0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24" borderId="41" xfId="0" applyFont="1" applyFill="1" applyBorder="1" applyAlignment="1">
      <alignment horizontal="left" vertical="center" wrapText="1"/>
    </xf>
    <xf numFmtId="0" fontId="22" fillId="8" borderId="44" xfId="0" applyFont="1" applyFill="1" applyBorder="1" applyAlignment="1">
      <alignment horizontal="left" vertical="center" wrapText="1"/>
    </xf>
    <xf numFmtId="0" fontId="9" fillId="8" borderId="22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22" fillId="23" borderId="44" xfId="0" applyFont="1" applyFill="1" applyBorder="1" applyAlignment="1">
      <alignment horizontal="center" vertical="center" wrapText="1"/>
    </xf>
    <xf numFmtId="0" fontId="22" fillId="19" borderId="31" xfId="0" applyFont="1" applyFill="1" applyBorder="1" applyAlignment="1">
      <alignment horizontal="left" vertical="center" wrapText="1"/>
    </xf>
    <xf numFmtId="0" fontId="23" fillId="0" borderId="13" xfId="0" applyFont="1" applyBorder="1" applyAlignment="1">
      <alignment horizontal="center" vertical="center"/>
    </xf>
    <xf numFmtId="0" fontId="23" fillId="8" borderId="18" xfId="0" applyFont="1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22" fillId="8" borderId="102" xfId="0" applyFont="1" applyFill="1" applyBorder="1" applyAlignment="1">
      <alignment horizontal="left" vertical="center" wrapText="1"/>
    </xf>
    <xf numFmtId="0" fontId="22" fillId="8" borderId="153" xfId="0" applyFont="1" applyFill="1" applyBorder="1" applyAlignment="1">
      <alignment horizontal="left" vertical="center" wrapText="1"/>
    </xf>
    <xf numFmtId="0" fontId="22" fillId="8" borderId="102" xfId="0" applyFont="1" applyFill="1" applyBorder="1" applyAlignment="1">
      <alignment horizontal="center" vertical="center" wrapText="1"/>
    </xf>
    <xf numFmtId="0" fontId="9" fillId="8" borderId="102" xfId="0" applyFont="1" applyFill="1" applyBorder="1" applyAlignment="1">
      <alignment horizontal="center" vertical="center"/>
    </xf>
    <xf numFmtId="0" fontId="22" fillId="19" borderId="142" xfId="0" applyFont="1" applyFill="1" applyBorder="1" applyAlignment="1">
      <alignment horizontal="left" vertical="center" wrapText="1"/>
    </xf>
    <xf numFmtId="0" fontId="22" fillId="19" borderId="136" xfId="0" applyFont="1" applyFill="1" applyBorder="1" applyAlignment="1">
      <alignment horizontal="left" vertical="center" wrapText="1"/>
    </xf>
    <xf numFmtId="0" fontId="20" fillId="6" borderId="147" xfId="0" applyFont="1" applyFill="1" applyBorder="1" applyAlignment="1">
      <alignment horizontal="center" vertical="center"/>
    </xf>
    <xf numFmtId="0" fontId="9" fillId="8" borderId="151" xfId="0" applyFont="1" applyFill="1" applyBorder="1" applyAlignment="1">
      <alignment horizontal="center" vertical="center"/>
    </xf>
    <xf numFmtId="0" fontId="9" fillId="8" borderId="152" xfId="0" applyFont="1" applyFill="1" applyBorder="1" applyAlignment="1">
      <alignment horizontal="center" vertical="center"/>
    </xf>
    <xf numFmtId="0" fontId="9" fillId="8" borderId="133" xfId="0" applyFont="1" applyFill="1" applyBorder="1" applyAlignment="1">
      <alignment horizontal="center" vertical="center"/>
    </xf>
    <xf numFmtId="0" fontId="9" fillId="8" borderId="134" xfId="0" applyFont="1" applyFill="1" applyBorder="1" applyAlignment="1">
      <alignment horizontal="center" vertical="center"/>
    </xf>
    <xf numFmtId="0" fontId="22" fillId="23" borderId="140" xfId="0" applyFont="1" applyFill="1" applyBorder="1" applyAlignment="1">
      <alignment horizontal="center" vertical="center" wrapText="1"/>
    </xf>
    <xf numFmtId="0" fontId="22" fillId="24" borderId="150" xfId="0" applyFont="1" applyFill="1" applyBorder="1" applyAlignment="1">
      <alignment horizontal="left" vertical="center" wrapText="1"/>
    </xf>
    <xf numFmtId="0" fontId="22" fillId="8" borderId="140" xfId="0" applyFont="1" applyFill="1" applyBorder="1" applyAlignment="1">
      <alignment horizontal="left" vertical="center" wrapText="1"/>
    </xf>
    <xf numFmtId="0" fontId="23" fillId="0" borderId="130" xfId="0" applyFont="1" applyBorder="1" applyAlignment="1">
      <alignment horizontal="center" vertical="center"/>
    </xf>
    <xf numFmtId="0" fontId="23" fillId="0" borderId="131" xfId="0" applyFont="1" applyBorder="1" applyAlignment="1">
      <alignment horizontal="center" vertical="center"/>
    </xf>
    <xf numFmtId="0" fontId="23" fillId="0" borderId="132" xfId="0" applyFont="1" applyBorder="1" applyAlignment="1">
      <alignment horizontal="center" vertical="center"/>
    </xf>
    <xf numFmtId="0" fontId="23" fillId="8" borderId="133" xfId="0" applyFont="1" applyFill="1" applyBorder="1" applyAlignment="1">
      <alignment horizontal="center" vertical="center"/>
    </xf>
    <xf numFmtId="0" fontId="23" fillId="8" borderId="134" xfId="0" applyFont="1" applyFill="1" applyBorder="1" applyAlignment="1">
      <alignment horizontal="center" vertical="center"/>
    </xf>
    <xf numFmtId="0" fontId="9" fillId="8" borderId="138" xfId="0" applyFont="1" applyFill="1" applyBorder="1" applyAlignment="1">
      <alignment horizontal="center" vertical="center"/>
    </xf>
    <xf numFmtId="0" fontId="9" fillId="8" borderId="139" xfId="0" applyFont="1" applyFill="1" applyBorder="1" applyAlignment="1">
      <alignment horizontal="center" vertical="center"/>
    </xf>
    <xf numFmtId="0" fontId="32" fillId="41" borderId="59" xfId="0" applyFont="1" applyFill="1" applyBorder="1" applyAlignment="1">
      <alignment horizontal="center" vertical="center" wrapText="1"/>
    </xf>
    <xf numFmtId="0" fontId="32" fillId="41" borderId="40" xfId="0" applyFont="1" applyFill="1" applyBorder="1" applyAlignment="1">
      <alignment horizontal="center" vertical="center" wrapText="1"/>
    </xf>
    <xf numFmtId="0" fontId="8" fillId="26" borderId="49" xfId="0" applyFont="1" applyFill="1" applyBorder="1" applyAlignment="1">
      <alignment horizontal="center" vertical="center"/>
    </xf>
    <xf numFmtId="0" fontId="8" fillId="27" borderId="50" xfId="0" applyFont="1" applyFill="1" applyBorder="1" applyAlignment="1">
      <alignment horizontal="center" vertical="center"/>
    </xf>
    <xf numFmtId="0" fontId="8" fillId="28" borderId="57" xfId="0" applyFont="1" applyFill="1" applyBorder="1" applyAlignment="1">
      <alignment horizontal="center" vertical="center"/>
    </xf>
    <xf numFmtId="0" fontId="8" fillId="16" borderId="36" xfId="0" applyFont="1" applyFill="1" applyBorder="1" applyAlignment="1">
      <alignment horizontal="center" vertical="center" wrapText="1"/>
    </xf>
    <xf numFmtId="0" fontId="20" fillId="6" borderId="187" xfId="0" applyFont="1" applyFill="1" applyBorder="1" applyAlignment="1">
      <alignment horizontal="center" vertical="center"/>
    </xf>
  </cellXfs>
  <cellStyles count="5">
    <cellStyle name="Hyperlink" xfId="4"/>
    <cellStyle name="Normal" xfId="0" builtinId="0"/>
    <cellStyle name="Porcentagem" xfId="2" builtinId="5"/>
    <cellStyle name="TableStyleLight1" xfId="3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DDDDDD"/>
      <rgbColor rgb="FFFFFF00"/>
      <rgbColor rgb="FFF4B183"/>
      <rgbColor rgb="FFA9D18E"/>
      <rgbColor rgb="FFD9D9D9"/>
      <rgbColor rgb="FF5EB91E"/>
      <rgbColor rgb="FFFFE699"/>
      <rgbColor rgb="FF70AD47"/>
      <rgbColor rgb="FFCCCCCC"/>
      <rgbColor rgb="FF8FAADC"/>
      <rgbColor rgb="FFC0C0C0"/>
      <rgbColor rgb="FF808080"/>
      <rgbColor rgb="FF8EA9DB"/>
      <rgbColor rgb="FFA1467E"/>
      <rgbColor rgb="FFFFFFCC"/>
      <rgbColor rgb="FFDEEBF7"/>
      <rgbColor rgb="FFFFCCCC"/>
      <rgbColor rgb="FFBF819E"/>
      <rgbColor rgb="FFB4C6E7"/>
      <rgbColor rgb="FFCCCCFF"/>
      <rgbColor rgb="FFFFF2CC"/>
      <rgbColor rgb="FFC1C1C1"/>
      <rgbColor rgb="FFFFD966"/>
      <rgbColor rgb="FFA9D08E"/>
      <rgbColor rgb="FFD0CECE"/>
      <rgbColor rgb="FFDBDBDB"/>
      <rgbColor rgb="FFADB9CA"/>
      <rgbColor rgb="FFFCE4D6"/>
      <rgbColor rgb="FF00CCFF"/>
      <rgbColor rgb="FFD9E1F2"/>
      <rgbColor rgb="FFC6E0B4"/>
      <rgbColor rgb="FFFFFF99"/>
      <rgbColor rgb="FF9BC2E6"/>
      <rgbColor rgb="FFFF9999"/>
      <rgbColor rgb="FFCC99FF"/>
      <rgbColor rgb="FFF8CBAD"/>
      <rgbColor rgb="FF729FCF"/>
      <rgbColor rgb="FF5B9BD5"/>
      <rgbColor rgb="FFBBE33D"/>
      <rgbColor rgb="FFFFCC00"/>
      <rgbColor rgb="FFFFC000"/>
      <rgbColor rgb="FFFD6802"/>
      <rgbColor rgb="FF5983B0"/>
      <rgbColor rgb="FF8497B0"/>
      <rgbColor rgb="FFB4C7DC"/>
      <rgbColor rgb="FF49873A"/>
      <rgbColor rgb="FFD6DCE4"/>
      <rgbColor rgb="FF3D4C2F"/>
      <rgbColor rgb="FF824802"/>
      <rgbColor rgb="FFA6A6A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A7070"/>
      <color rgb="FFFACFD6"/>
      <color rgb="FFF7C8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br/compras/pt-br/agente-publico/cadernos-tecnicos-e-valores-limites/cadernos-tecnicos-e-valores-limites-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43C0B"/>
  </sheetPr>
  <dimension ref="A1:AMK1048508"/>
  <sheetViews>
    <sheetView topLeftCell="A19" zoomScale="80" zoomScaleNormal="80" workbookViewId="0">
      <selection activeCell="L84" sqref="L84"/>
    </sheetView>
  </sheetViews>
  <sheetFormatPr defaultRowHeight="14.25" x14ac:dyDescent="0.2"/>
  <cols>
    <col min="1" max="1" width="4.375" style="4"/>
    <col min="2" max="2" width="39.75" style="4"/>
    <col min="3" max="3" width="11" style="4"/>
    <col min="4" max="4" width="15.625" style="4"/>
    <col min="5" max="5" width="10" style="5"/>
    <col min="6" max="6" width="10.75" style="5"/>
    <col min="7" max="7" width="12" style="5"/>
    <col min="8" max="8" width="26.625" style="5"/>
    <col min="9" max="9" width="12.75" style="5"/>
    <col min="10" max="10" width="10.75" style="5"/>
    <col min="11" max="11" width="8.875" style="5"/>
    <col min="12" max="12" width="10.75" style="5"/>
    <col min="13" max="13" width="27.125" style="5"/>
    <col min="14" max="14" width="10.75" style="5"/>
    <col min="15" max="15" width="8.875" style="4"/>
    <col min="16" max="16" width="10.375" style="4"/>
    <col min="17" max="17" width="6.625" style="4"/>
    <col min="18" max="18" width="6.25" style="4"/>
    <col min="19" max="20" width="11.125" style="4"/>
    <col min="21" max="21" width="12.5" style="4"/>
    <col min="22" max="22" width="3.75" style="4"/>
    <col min="23" max="23" width="8.125" style="4"/>
    <col min="24" max="24" width="8" style="4"/>
    <col min="25" max="1025" width="10.5" style="4"/>
  </cols>
  <sheetData>
    <row r="1" spans="1:17" ht="23.25" x14ac:dyDescent="0.2">
      <c r="A1" s="2"/>
      <c r="B1" s="881" t="s">
        <v>0</v>
      </c>
      <c r="C1" s="881"/>
      <c r="D1" s="881"/>
      <c r="E1" s="881"/>
      <c r="F1" s="881"/>
      <c r="G1" s="881"/>
      <c r="H1" s="881"/>
      <c r="I1" s="881"/>
      <c r="J1" s="881"/>
      <c r="K1" s="881"/>
      <c r="L1" s="881"/>
      <c r="M1"/>
      <c r="N1"/>
      <c r="O1"/>
      <c r="P1"/>
      <c r="Q1"/>
    </row>
    <row r="2" spans="1:17" x14ac:dyDescent="0.2">
      <c r="B2" s="6"/>
      <c r="C2" s="6"/>
      <c r="D2" s="6"/>
      <c r="E2" s="6"/>
      <c r="F2"/>
      <c r="G2"/>
      <c r="H2"/>
      <c r="I2"/>
      <c r="J2"/>
      <c r="K2"/>
      <c r="L2"/>
      <c r="M2"/>
      <c r="N2"/>
      <c r="O2"/>
      <c r="P2"/>
      <c r="Q2"/>
    </row>
    <row r="3" spans="1:17" x14ac:dyDescent="0.2">
      <c r="B3" s="7" t="s">
        <v>1</v>
      </c>
      <c r="C3" s="882" t="s">
        <v>2</v>
      </c>
      <c r="D3" s="882"/>
      <c r="E3" s="3">
        <v>22</v>
      </c>
      <c r="F3"/>
      <c r="G3"/>
      <c r="H3"/>
      <c r="I3"/>
      <c r="J3"/>
      <c r="K3"/>
      <c r="L3"/>
      <c r="M3"/>
      <c r="N3"/>
      <c r="O3"/>
      <c r="P3"/>
      <c r="Q3"/>
    </row>
    <row r="4" spans="1:17" x14ac:dyDescent="0.2">
      <c r="B4"/>
      <c r="C4" s="883" t="s">
        <v>3</v>
      </c>
      <c r="D4" s="883"/>
      <c r="E4" s="8">
        <v>30</v>
      </c>
      <c r="F4"/>
      <c r="G4"/>
      <c r="H4"/>
      <c r="I4"/>
      <c r="J4"/>
      <c r="K4"/>
      <c r="L4"/>
      <c r="M4"/>
      <c r="N4"/>
      <c r="O4"/>
      <c r="P4"/>
      <c r="Q4"/>
    </row>
    <row r="5" spans="1:17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7" ht="17.100000000000001" customHeight="1" x14ac:dyDescent="0.2">
      <c r="A6" s="2"/>
      <c r="B6" s="867" t="s">
        <v>4</v>
      </c>
      <c r="C6" s="867"/>
      <c r="D6" s="867"/>
      <c r="E6" s="867"/>
      <c r="F6" s="867"/>
      <c r="G6" s="867"/>
      <c r="H6" s="867"/>
      <c r="I6" s="867"/>
      <c r="J6" s="867"/>
      <c r="K6" s="867"/>
      <c r="L6" s="867"/>
      <c r="M6"/>
      <c r="N6"/>
      <c r="O6"/>
      <c r="P6"/>
      <c r="Q6"/>
    </row>
    <row r="7" spans="1:17" x14ac:dyDescent="0.2">
      <c r="B7" s="9" t="s">
        <v>5</v>
      </c>
      <c r="C7" s="10" t="s">
        <v>6</v>
      </c>
      <c r="D7" s="10" t="s">
        <v>7</v>
      </c>
      <c r="E7" s="11" t="s">
        <v>8</v>
      </c>
      <c r="F7"/>
      <c r="G7"/>
      <c r="H7" s="512" t="s">
        <v>9</v>
      </c>
      <c r="I7" s="513">
        <v>183.8</v>
      </c>
      <c r="J7"/>
      <c r="K7"/>
      <c r="L7"/>
      <c r="M7"/>
      <c r="N7"/>
      <c r="O7"/>
      <c r="P7"/>
      <c r="Q7"/>
    </row>
    <row r="8" spans="1:17" x14ac:dyDescent="0.2">
      <c r="B8"/>
      <c r="C8" s="7" t="s">
        <v>10</v>
      </c>
      <c r="D8" s="12">
        <v>44593</v>
      </c>
      <c r="E8" s="13" t="s">
        <v>11</v>
      </c>
      <c r="F8"/>
      <c r="G8"/>
      <c r="H8" s="511" t="s">
        <v>12</v>
      </c>
      <c r="I8"/>
      <c r="J8"/>
      <c r="K8"/>
      <c r="L8"/>
      <c r="M8"/>
      <c r="N8"/>
      <c r="O8"/>
      <c r="P8"/>
      <c r="Q8"/>
    </row>
    <row r="9" spans="1:17" x14ac:dyDescent="0.2">
      <c r="B9"/>
      <c r="C9" s="884" t="s">
        <v>13</v>
      </c>
      <c r="D9" s="885"/>
      <c r="E9" s="885"/>
      <c r="F9" s="885"/>
      <c r="G9"/>
      <c r="H9"/>
      <c r="I9"/>
      <c r="J9"/>
      <c r="K9"/>
      <c r="L9"/>
      <c r="M9"/>
      <c r="N9"/>
      <c r="O9"/>
      <c r="P9"/>
      <c r="Q9"/>
    </row>
    <row r="10" spans="1:17" x14ac:dyDescent="0.2">
      <c r="B10" s="9" t="s">
        <v>14</v>
      </c>
      <c r="C10" s="3">
        <v>44</v>
      </c>
      <c r="D10" s="3">
        <v>40</v>
      </c>
      <c r="E10" s="3">
        <v>30</v>
      </c>
      <c r="F10" s="3">
        <v>20</v>
      </c>
      <c r="G10"/>
      <c r="H10"/>
      <c r="I10"/>
      <c r="J10"/>
      <c r="K10"/>
      <c r="L10"/>
      <c r="M10"/>
      <c r="N10"/>
      <c r="O10"/>
      <c r="P10"/>
      <c r="Q10"/>
    </row>
    <row r="11" spans="1:17" x14ac:dyDescent="0.2">
      <c r="C11" s="14">
        <v>1446.9</v>
      </c>
      <c r="D11" s="15">
        <f>C11/C10*D10</f>
        <v>1315.3636363636363</v>
      </c>
      <c r="E11" s="15">
        <f>C11/C10*E10</f>
        <v>986.52272727272725</v>
      </c>
      <c r="F11" s="15">
        <f>C11/C10*F10</f>
        <v>657.68181818181813</v>
      </c>
      <c r="G11"/>
      <c r="H11"/>
      <c r="I11"/>
      <c r="J11"/>
      <c r="K11"/>
      <c r="L11"/>
      <c r="M11"/>
      <c r="N11"/>
      <c r="O11"/>
      <c r="P11"/>
      <c r="Q11"/>
    </row>
    <row r="12" spans="1:17" x14ac:dyDescent="0.2">
      <c r="B12" s="9" t="s">
        <v>15</v>
      </c>
      <c r="C12" s="16">
        <v>1883.44</v>
      </c>
      <c r="D12" s="15">
        <f>C12/C10*D10</f>
        <v>1712.2181818181818</v>
      </c>
      <c r="E12" s="15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B13" s="9" t="s">
        <v>16</v>
      </c>
      <c r="C13" s="16">
        <v>33.9</v>
      </c>
      <c r="D13" s="15"/>
      <c r="E13" s="15">
        <f>C13</f>
        <v>33.9</v>
      </c>
      <c r="F13"/>
      <c r="G13"/>
      <c r="H13"/>
      <c r="I13"/>
      <c r="J13"/>
      <c r="K13"/>
      <c r="L13"/>
      <c r="M13"/>
      <c r="N13"/>
      <c r="O13"/>
      <c r="P13"/>
      <c r="Q13"/>
    </row>
    <row r="14" spans="1:17" ht="15.75" x14ac:dyDescent="0.2">
      <c r="A14" s="2"/>
      <c r="B14" s="867" t="s">
        <v>17</v>
      </c>
      <c r="C14" s="867"/>
      <c r="D14" s="867"/>
      <c r="E14" s="867"/>
      <c r="F14" s="867"/>
      <c r="G14" s="867"/>
      <c r="H14" s="867"/>
      <c r="I14" s="867"/>
      <c r="J14" s="867"/>
      <c r="K14" s="867"/>
      <c r="L14" s="867"/>
      <c r="M14"/>
      <c r="N14"/>
      <c r="O14"/>
      <c r="P14"/>
      <c r="Q14"/>
    </row>
    <row r="15" spans="1:17" ht="24" x14ac:dyDescent="0.2">
      <c r="B15" s="338" t="s">
        <v>18</v>
      </c>
      <c r="C15" s="339"/>
      <c r="D15" s="339" t="s">
        <v>19</v>
      </c>
      <c r="E15" s="340" t="s">
        <v>20</v>
      </c>
      <c r="F15"/>
      <c r="G15"/>
      <c r="H15"/>
      <c r="I15" s="514"/>
      <c r="J15"/>
      <c r="K15"/>
      <c r="L15"/>
      <c r="M15"/>
      <c r="N15"/>
      <c r="O15"/>
      <c r="P15"/>
      <c r="Q15"/>
    </row>
    <row r="16" spans="1:17" x14ac:dyDescent="0.2">
      <c r="B16" s="337" t="s">
        <v>21</v>
      </c>
      <c r="C16" s="390">
        <v>500.85</v>
      </c>
      <c r="D16" s="391">
        <v>0.2</v>
      </c>
      <c r="E16" s="17">
        <f>ROUND(C16*0.8,2)</f>
        <v>400.68</v>
      </c>
      <c r="F16"/>
      <c r="G16"/>
      <c r="H16"/>
      <c r="I16"/>
      <c r="J16"/>
      <c r="K16"/>
      <c r="L16"/>
      <c r="M16"/>
      <c r="N16"/>
      <c r="O16"/>
      <c r="P16"/>
      <c r="Q16"/>
    </row>
    <row r="17" spans="1:17" ht="17.100000000000001" customHeight="1" x14ac:dyDescent="0.2">
      <c r="B17" s="7" t="s">
        <v>22</v>
      </c>
      <c r="C17" s="392">
        <f>C16</f>
        <v>500.85</v>
      </c>
      <c r="D17" s="393">
        <f>D16</f>
        <v>0.2</v>
      </c>
      <c r="E17" s="392">
        <f>ROUND(C17*0.8,2)</f>
        <v>400.68</v>
      </c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2">
      <c r="B18" s="7" t="s">
        <v>23</v>
      </c>
      <c r="C18" s="392"/>
      <c r="D18" s="393">
        <v>0.06</v>
      </c>
      <c r="E18" s="392"/>
      <c r="F18"/>
      <c r="G18"/>
      <c r="H18"/>
      <c r="I18"/>
      <c r="J18"/>
      <c r="K18"/>
      <c r="L18"/>
      <c r="M18"/>
      <c r="N18"/>
      <c r="O18"/>
      <c r="P18"/>
      <c r="Q18"/>
    </row>
    <row r="19" spans="1:17" ht="12.95" customHeight="1" x14ac:dyDescent="0.2">
      <c r="B19" s="7" t="s">
        <v>24</v>
      </c>
      <c r="C19" s="392"/>
      <c r="D19" s="393"/>
      <c r="E19" s="392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2">
      <c r="B20" s="7" t="s">
        <v>25</v>
      </c>
      <c r="C20" s="15"/>
      <c r="D20" s="392"/>
      <c r="E20" s="15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2">
      <c r="B21" s="18" t="s">
        <v>26</v>
      </c>
      <c r="C21" s="346">
        <v>1.4999999999999999E-2</v>
      </c>
      <c r="D21" s="15"/>
      <c r="E21" s="15">
        <f>(C21*C11)*22</f>
        <v>477.47700000000003</v>
      </c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2">
      <c r="B22" s="18"/>
      <c r="C22" s="394"/>
      <c r="D22" s="392"/>
      <c r="E22" s="15"/>
      <c r="F22"/>
      <c r="G22"/>
      <c r="H22"/>
      <c r="I22"/>
      <c r="J22"/>
      <c r="K22"/>
      <c r="L22"/>
      <c r="M22"/>
      <c r="N22"/>
      <c r="O22"/>
      <c r="P22"/>
      <c r="Q22"/>
    </row>
    <row r="23" spans="1:17" ht="12.95" customHeight="1" x14ac:dyDescent="0.2">
      <c r="B23" s="376" t="s">
        <v>27</v>
      </c>
      <c r="C23" s="19">
        <v>71.5</v>
      </c>
      <c r="D23" s="393"/>
      <c r="E23" s="19">
        <f>C23</f>
        <v>71.5</v>
      </c>
      <c r="F23"/>
      <c r="G23"/>
      <c r="H23"/>
      <c r="I23"/>
      <c r="J23"/>
      <c r="K23"/>
      <c r="L23"/>
      <c r="M23"/>
      <c r="N23"/>
      <c r="O23"/>
      <c r="P23"/>
      <c r="Q23"/>
    </row>
    <row r="24" spans="1:17" ht="12.95" customHeight="1" x14ac:dyDescent="0.2">
      <c r="B24" s="377" t="s">
        <v>28</v>
      </c>
      <c r="C24" s="378">
        <v>23.5</v>
      </c>
      <c r="D24" s="393"/>
      <c r="E24" s="19">
        <f>C24</f>
        <v>23.5</v>
      </c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2"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2">
      <c r="B26"/>
      <c r="C26"/>
      <c r="D26" s="5"/>
      <c r="E26"/>
      <c r="F26"/>
      <c r="G26"/>
      <c r="H26"/>
      <c r="I26"/>
      <c r="J26" s="20"/>
      <c r="K26"/>
      <c r="L26"/>
      <c r="M26"/>
      <c r="N26"/>
    </row>
    <row r="27" spans="1:17" s="4" customFormat="1" ht="15.75" x14ac:dyDescent="0.2">
      <c r="A27" s="2"/>
      <c r="B27" s="867" t="s">
        <v>29</v>
      </c>
      <c r="C27" s="867"/>
      <c r="D27" s="867"/>
      <c r="E27" s="867"/>
      <c r="F27" s="867"/>
      <c r="G27" s="867"/>
      <c r="H27" s="867"/>
      <c r="I27" s="867"/>
      <c r="J27" s="867"/>
      <c r="K27" s="867"/>
      <c r="L27" s="867"/>
    </row>
    <row r="28" spans="1:17" s="4" customFormat="1" ht="12" x14ac:dyDescent="0.2">
      <c r="B28" s="876" t="s">
        <v>30</v>
      </c>
      <c r="C28" s="876"/>
      <c r="D28" s="876"/>
      <c r="E28" s="876"/>
      <c r="F28" s="876"/>
      <c r="G28" s="876"/>
      <c r="H28" s="876"/>
      <c r="I28" s="876"/>
      <c r="J28" s="876"/>
      <c r="K28" s="876"/>
      <c r="L28" s="876"/>
    </row>
    <row r="29" spans="1:17" s="4" customFormat="1" ht="12" x14ac:dyDescent="0.2">
      <c r="B29" s="880" t="s">
        <v>31</v>
      </c>
      <c r="C29" s="880"/>
      <c r="D29" s="880"/>
      <c r="E29" s="880"/>
      <c r="F29" s="880"/>
      <c r="G29" s="880"/>
      <c r="H29" s="880"/>
      <c r="I29" s="880"/>
      <c r="J29" s="880"/>
      <c r="K29" s="880"/>
      <c r="L29" s="880"/>
    </row>
    <row r="30" spans="1:17" s="4" customFormat="1" ht="12" x14ac:dyDescent="0.2">
      <c r="B30" s="876" t="s">
        <v>32</v>
      </c>
      <c r="C30" s="876"/>
      <c r="D30" s="876"/>
      <c r="E30" s="876"/>
      <c r="F30" s="876"/>
      <c r="G30" s="876"/>
      <c r="H30" s="876"/>
      <c r="I30" s="876"/>
      <c r="J30" s="876"/>
      <c r="K30" s="876"/>
      <c r="L30" s="876"/>
    </row>
    <row r="31" spans="1:17" s="4" customFormat="1" ht="12" x14ac:dyDescent="0.2">
      <c r="B31" s="877" t="s">
        <v>33</v>
      </c>
      <c r="C31" s="877"/>
      <c r="D31" s="877"/>
      <c r="E31" s="877"/>
      <c r="F31" s="877"/>
      <c r="G31" s="877"/>
      <c r="H31" s="877"/>
      <c r="I31" s="877"/>
      <c r="J31" s="877"/>
      <c r="K31" s="877"/>
      <c r="L31" s="877"/>
    </row>
    <row r="32" spans="1:17" s="4" customFormat="1" ht="12" x14ac:dyDescent="0.2">
      <c r="B32" s="876" t="s">
        <v>34</v>
      </c>
      <c r="C32" s="876"/>
      <c r="D32" s="876"/>
      <c r="E32" s="876"/>
      <c r="F32" s="876"/>
      <c r="G32" s="876"/>
      <c r="H32" s="876"/>
      <c r="I32" s="876"/>
      <c r="J32" s="876"/>
      <c r="K32" s="876"/>
      <c r="L32" s="876"/>
    </row>
    <row r="33" spans="1:14" s="4" customFormat="1" ht="12" x14ac:dyDescent="0.2">
      <c r="B33" s="879" t="s">
        <v>35</v>
      </c>
      <c r="C33" s="879"/>
      <c r="D33" s="879"/>
      <c r="E33" s="879"/>
      <c r="F33" s="879"/>
      <c r="G33" s="879"/>
      <c r="H33" s="879"/>
      <c r="I33" s="879"/>
      <c r="J33" s="879"/>
      <c r="K33" s="879"/>
      <c r="L33" s="879"/>
    </row>
    <row r="34" spans="1:14" s="4" customFormat="1" ht="12" x14ac:dyDescent="0.2">
      <c r="B34" s="877" t="s">
        <v>36</v>
      </c>
      <c r="C34" s="877"/>
      <c r="D34" s="877"/>
      <c r="E34" s="877"/>
      <c r="F34" s="877"/>
      <c r="G34" s="877"/>
      <c r="H34" s="877"/>
      <c r="I34" s="877"/>
      <c r="J34" s="877"/>
      <c r="K34" s="877"/>
      <c r="L34" s="877"/>
    </row>
    <row r="35" spans="1:14" s="4" customFormat="1" ht="12" x14ac:dyDescent="0.2">
      <c r="B35" s="877" t="s">
        <v>37</v>
      </c>
      <c r="C35" s="877"/>
      <c r="D35" s="877"/>
      <c r="E35" s="877"/>
      <c r="F35" s="877"/>
      <c r="G35" s="877"/>
      <c r="H35" s="877"/>
      <c r="I35" s="877"/>
      <c r="J35" s="877"/>
      <c r="K35" s="877"/>
      <c r="L35" s="877"/>
    </row>
    <row r="36" spans="1:14" s="4" customFormat="1" ht="12" x14ac:dyDescent="0.2">
      <c r="B36" s="876" t="s">
        <v>38</v>
      </c>
      <c r="C36" s="876"/>
      <c r="D36" s="876"/>
      <c r="E36" s="876"/>
      <c r="F36" s="876"/>
      <c r="G36" s="876"/>
      <c r="H36" s="876"/>
      <c r="I36" s="876"/>
      <c r="J36" s="876"/>
      <c r="K36" s="876"/>
      <c r="L36" s="876"/>
    </row>
    <row r="37" spans="1:14" s="4" customFormat="1" ht="12" x14ac:dyDescent="0.2">
      <c r="B37" s="877" t="s">
        <v>39</v>
      </c>
      <c r="C37" s="877"/>
      <c r="D37" s="877"/>
      <c r="E37" s="877"/>
      <c r="F37" s="877"/>
      <c r="G37" s="877"/>
      <c r="H37" s="877"/>
      <c r="I37" s="877"/>
      <c r="J37" s="877"/>
      <c r="K37" s="877"/>
      <c r="L37" s="877"/>
      <c r="N37" s="20"/>
    </row>
    <row r="38" spans="1:14" s="4" customFormat="1" x14ac:dyDescent="0.2">
      <c r="B38"/>
      <c r="C38"/>
      <c r="D38" s="5"/>
      <c r="E38"/>
      <c r="F38"/>
      <c r="G38"/>
      <c r="H38"/>
      <c r="I38"/>
      <c r="J38"/>
      <c r="N38" s="20"/>
    </row>
    <row r="39" spans="1:14" ht="15.75" x14ac:dyDescent="0.2">
      <c r="A39" s="2"/>
      <c r="B39" s="867" t="s">
        <v>40</v>
      </c>
      <c r="C39" s="867"/>
      <c r="D39" s="867"/>
      <c r="E39" s="867"/>
      <c r="F39" s="867"/>
      <c r="G39" s="867"/>
      <c r="H39" s="867"/>
      <c r="I39" s="867"/>
      <c r="J39" s="867"/>
      <c r="K39" s="867"/>
      <c r="L39" s="867"/>
      <c r="M39" s="20"/>
      <c r="N39" s="20"/>
    </row>
    <row r="40" spans="1:14" x14ac:dyDescent="0.2">
      <c r="B40" s="876" t="s">
        <v>41</v>
      </c>
      <c r="C40" s="876"/>
      <c r="D40" s="876"/>
      <c r="E40" s="876"/>
      <c r="F40" s="876"/>
      <c r="G40" s="876"/>
      <c r="H40" s="876"/>
      <c r="I40" s="876"/>
      <c r="J40" s="876"/>
      <c r="K40" s="876"/>
      <c r="L40" s="876"/>
      <c r="M40" s="20"/>
      <c r="N40" s="20"/>
    </row>
    <row r="41" spans="1:14" ht="26.1" customHeight="1" x14ac:dyDescent="0.2">
      <c r="B41" s="1" t="s">
        <v>42</v>
      </c>
      <c r="C41" s="878" t="s">
        <v>43</v>
      </c>
      <c r="D41" s="878"/>
      <c r="E41" s="878"/>
      <c r="F41" s="878"/>
      <c r="G41" s="878"/>
      <c r="H41" s="878"/>
      <c r="I41" s="878"/>
      <c r="J41" s="878"/>
      <c r="K41" s="878"/>
      <c r="L41" s="878"/>
      <c r="M41" s="20"/>
      <c r="N41" s="20"/>
    </row>
    <row r="42" spans="1:14" ht="26.1" customHeight="1" x14ac:dyDescent="0.2">
      <c r="B42" s="330" t="s">
        <v>44</v>
      </c>
      <c r="C42" s="875" t="s">
        <v>45</v>
      </c>
      <c r="D42" s="875"/>
      <c r="E42" s="875"/>
      <c r="F42" s="875"/>
      <c r="G42" s="875"/>
      <c r="H42" s="875"/>
      <c r="I42" s="875"/>
      <c r="J42" s="875"/>
      <c r="K42" s="875"/>
      <c r="L42" s="875"/>
      <c r="M42" s="20"/>
      <c r="N42" s="20"/>
    </row>
    <row r="43" spans="1:14" x14ac:dyDescent="0.2">
      <c r="B43" s="21"/>
      <c r="C43" s="874" t="s">
        <v>46</v>
      </c>
      <c r="D43" s="874"/>
      <c r="E43" s="22">
        <v>1</v>
      </c>
      <c r="F43" s="20"/>
      <c r="G43" s="20"/>
      <c r="H43" s="20"/>
      <c r="I43" s="20"/>
      <c r="J43" s="20"/>
      <c r="K43" s="20"/>
      <c r="L43" s="20"/>
      <c r="M43" s="20"/>
      <c r="N43" s="20"/>
    </row>
    <row r="44" spans="1:14" x14ac:dyDescent="0.2">
      <c r="B44"/>
      <c r="C44" s="874" t="s">
        <v>47</v>
      </c>
      <c r="D44" s="874"/>
      <c r="E44" s="22">
        <v>3.4931999999999999</v>
      </c>
      <c r="F44" s="20"/>
      <c r="G44" s="20" t="s">
        <v>48</v>
      </c>
      <c r="H44" s="20"/>
      <c r="I44" s="20"/>
      <c r="J44" s="20"/>
      <c r="K44" s="20"/>
      <c r="L44" s="20"/>
      <c r="M44" s="20"/>
      <c r="N44" s="20"/>
    </row>
    <row r="45" spans="1:14" x14ac:dyDescent="0.2">
      <c r="B45"/>
      <c r="C45" s="874" t="s">
        <v>49</v>
      </c>
      <c r="D45" s="874"/>
      <c r="E45" s="22">
        <v>0.26879999999999998</v>
      </c>
      <c r="F45" s="20"/>
      <c r="G45" s="20"/>
      <c r="H45" s="20"/>
      <c r="I45" s="20"/>
      <c r="J45" s="20"/>
      <c r="K45" s="20"/>
      <c r="L45" s="20"/>
      <c r="M45" s="20"/>
      <c r="N45" s="20"/>
    </row>
    <row r="46" spans="1:14" x14ac:dyDescent="0.2">
      <c r="B46"/>
      <c r="C46" s="874" t="s">
        <v>50</v>
      </c>
      <c r="D46" s="874"/>
      <c r="E46" s="22">
        <v>4.2700000000000002E-2</v>
      </c>
      <c r="F46" s="20"/>
      <c r="G46" s="20"/>
      <c r="H46" s="20"/>
      <c r="I46" s="20"/>
      <c r="J46" s="20"/>
      <c r="K46" s="20"/>
      <c r="L46" s="20"/>
      <c r="M46" s="20"/>
      <c r="N46" s="20"/>
    </row>
    <row r="47" spans="1:14" x14ac:dyDescent="0.2">
      <c r="B47"/>
      <c r="C47" s="874" t="s">
        <v>51</v>
      </c>
      <c r="D47" s="874"/>
      <c r="E47" s="22">
        <v>3.5499999999999997E-2</v>
      </c>
      <c r="F47" s="20"/>
      <c r="G47" s="20"/>
      <c r="H47" s="20"/>
      <c r="I47" s="20"/>
      <c r="J47" s="20"/>
      <c r="K47" s="20"/>
      <c r="L47" s="20"/>
      <c r="M47" s="20"/>
      <c r="N47" s="20"/>
    </row>
    <row r="48" spans="1:14" x14ac:dyDescent="0.2">
      <c r="B48"/>
      <c r="C48" s="874" t="s">
        <v>52</v>
      </c>
      <c r="D48" s="874"/>
      <c r="E48" s="341">
        <v>0.02</v>
      </c>
      <c r="F48" s="20"/>
      <c r="G48" s="20"/>
      <c r="H48" s="20"/>
      <c r="I48" s="20"/>
      <c r="J48" s="20"/>
      <c r="K48" s="20"/>
      <c r="L48" s="20"/>
      <c r="M48" s="20"/>
      <c r="N48" s="20"/>
    </row>
    <row r="49" spans="1:14" x14ac:dyDescent="0.2">
      <c r="B49"/>
      <c r="C49" s="874" t="s">
        <v>53</v>
      </c>
      <c r="D49" s="874"/>
      <c r="E49" s="341">
        <v>4.0000000000000001E-3</v>
      </c>
      <c r="F49" s="20"/>
      <c r="G49" s="20"/>
      <c r="H49" s="20"/>
      <c r="I49" s="20"/>
      <c r="J49" s="20"/>
      <c r="K49" s="20"/>
      <c r="L49" s="20"/>
      <c r="M49" s="20"/>
      <c r="N49" s="20"/>
    </row>
    <row r="50" spans="1:14" x14ac:dyDescent="0.2">
      <c r="B50"/>
      <c r="C50" s="874" t="s">
        <v>54</v>
      </c>
      <c r="D50" s="874"/>
      <c r="E50" s="22">
        <v>9.7999999999999997E-3</v>
      </c>
      <c r="F50" s="20"/>
      <c r="G50" s="20"/>
      <c r="H50" s="20"/>
      <c r="I50" s="20"/>
      <c r="J50" s="20"/>
      <c r="K50" s="20"/>
      <c r="L50" s="20"/>
      <c r="M50" s="20"/>
      <c r="N50" s="20"/>
    </row>
    <row r="51" spans="1:14" s="4" customFormat="1" x14ac:dyDescent="0.2">
      <c r="B51"/>
      <c r="C51" s="862" t="s">
        <v>55</v>
      </c>
      <c r="D51" s="862"/>
      <c r="E51" s="23">
        <f>SUM(E43:E50)</f>
        <v>4.8739999999999988</v>
      </c>
      <c r="F51"/>
      <c r="G51"/>
      <c r="H51"/>
      <c r="I51"/>
      <c r="J51"/>
      <c r="M51" s="20"/>
      <c r="N51" s="20"/>
    </row>
    <row r="52" spans="1:14" x14ac:dyDescent="0.2">
      <c r="B52" s="534" t="s">
        <v>56</v>
      </c>
      <c r="C52" s="863" t="s">
        <v>57</v>
      </c>
      <c r="D52" s="864"/>
      <c r="E52" s="864"/>
      <c r="F52" s="864"/>
      <c r="G52" s="864"/>
      <c r="H52" s="864"/>
      <c r="I52" s="864"/>
      <c r="J52" s="864"/>
      <c r="K52" s="864"/>
      <c r="L52" s="865"/>
      <c r="M52" s="20"/>
      <c r="N52" s="20"/>
    </row>
    <row r="53" spans="1:14" x14ac:dyDescent="0.2">
      <c r="B53" s="871" t="s">
        <v>58</v>
      </c>
      <c r="C53" s="872"/>
      <c r="D53" s="872"/>
      <c r="E53" s="873"/>
      <c r="F53" s="535">
        <v>1.4999999999999999E-2</v>
      </c>
      <c r="G53" s="385"/>
      <c r="H53" s="385"/>
      <c r="I53" s="385"/>
      <c r="J53" s="385"/>
      <c r="K53" s="385"/>
      <c r="L53" s="386"/>
      <c r="M53" s="20"/>
      <c r="N53" s="20"/>
    </row>
    <row r="54" spans="1:14" ht="12.75" customHeight="1" x14ac:dyDescent="0.2">
      <c r="B54" s="532" t="s">
        <v>59</v>
      </c>
      <c r="C54" s="533">
        <v>0.51670000000000005</v>
      </c>
      <c r="D54" s="385"/>
      <c r="E54" s="385"/>
      <c r="F54" s="385"/>
      <c r="G54" s="385"/>
      <c r="H54" s="385"/>
      <c r="I54" s="385"/>
      <c r="J54" s="385"/>
      <c r="K54" s="385"/>
      <c r="L54" s="386"/>
      <c r="M54" s="20"/>
      <c r="N54" s="20"/>
    </row>
    <row r="55" spans="1:14" ht="26.1" customHeight="1" x14ac:dyDescent="0.2">
      <c r="B55" s="25" t="s">
        <v>60</v>
      </c>
      <c r="C55" s="866" t="s">
        <v>61</v>
      </c>
      <c r="D55" s="866"/>
      <c r="E55" s="866"/>
      <c r="F55" s="866"/>
      <c r="G55" s="866"/>
      <c r="H55" s="866"/>
      <c r="I55" s="866"/>
      <c r="J55" s="866"/>
      <c r="K55" s="866"/>
      <c r="L55" s="866"/>
      <c r="M55" s="20"/>
      <c r="N55" s="20"/>
    </row>
    <row r="56" spans="1:14" ht="12.75" customHeight="1" x14ac:dyDescent="0.2">
      <c r="B56" s="379" t="s">
        <v>62</v>
      </c>
      <c r="C56" s="382">
        <v>0.96589999999999998</v>
      </c>
      <c r="D56" s="380"/>
      <c r="E56" s="380"/>
      <c r="F56" s="380"/>
      <c r="G56" s="380"/>
      <c r="H56" s="380"/>
      <c r="I56" s="380"/>
      <c r="J56" s="380"/>
      <c r="K56" s="380"/>
      <c r="L56" s="381"/>
      <c r="M56" s="20"/>
      <c r="N56" s="20"/>
    </row>
    <row r="57" spans="1:14" x14ac:dyDescent="0.2">
      <c r="B57" s="868" t="s">
        <v>63</v>
      </c>
      <c r="C57" s="868"/>
      <c r="D57" s="868"/>
      <c r="E57" s="868"/>
      <c r="F57" s="868"/>
      <c r="G57" s="868"/>
      <c r="H57" s="868"/>
      <c r="I57" s="868"/>
      <c r="J57" s="868"/>
      <c r="K57" s="868"/>
      <c r="L57" s="868"/>
      <c r="M57" s="20"/>
      <c r="N57" s="20"/>
    </row>
    <row r="58" spans="1:14" ht="33" customHeight="1" x14ac:dyDescent="0.2">
      <c r="B58" s="24" t="s">
        <v>64</v>
      </c>
      <c r="C58" s="869" t="s">
        <v>65</v>
      </c>
      <c r="D58" s="869"/>
      <c r="E58" s="869"/>
      <c r="F58" s="869"/>
      <c r="G58" s="869"/>
      <c r="H58" s="869"/>
      <c r="I58" s="869"/>
      <c r="J58" s="869"/>
      <c r="K58" s="869"/>
      <c r="L58" s="869"/>
      <c r="M58" s="20"/>
      <c r="N58" s="20"/>
    </row>
    <row r="59" spans="1:14" ht="12.75" customHeight="1" x14ac:dyDescent="0.2">
      <c r="B59" s="384" t="s">
        <v>66</v>
      </c>
      <c r="C59" s="389">
        <v>0.48330000000000001</v>
      </c>
      <c r="D59" s="387"/>
      <c r="E59" s="387"/>
      <c r="F59" s="387"/>
      <c r="G59" s="387"/>
      <c r="H59" s="387"/>
      <c r="I59" s="387"/>
      <c r="J59" s="387"/>
      <c r="K59" s="387"/>
      <c r="L59" s="388"/>
      <c r="M59" s="20"/>
      <c r="N59" s="20"/>
    </row>
    <row r="60" spans="1:14" ht="12.75" customHeight="1" x14ac:dyDescent="0.2">
      <c r="B60" s="379" t="s">
        <v>67</v>
      </c>
      <c r="C60" s="382">
        <v>3.2000000000000002E-3</v>
      </c>
      <c r="D60" s="383"/>
      <c r="E60" s="380"/>
      <c r="F60" s="380"/>
      <c r="G60" s="380"/>
      <c r="H60" s="380"/>
      <c r="I60" s="380"/>
      <c r="J60" s="380"/>
      <c r="K60" s="380"/>
      <c r="L60" s="381"/>
      <c r="M60" s="20"/>
      <c r="N60" s="20"/>
    </row>
    <row r="61" spans="1:14" ht="12.75" customHeight="1" x14ac:dyDescent="0.2">
      <c r="B61" s="506"/>
      <c r="C61" s="507"/>
      <c r="D61" s="507"/>
      <c r="E61" s="506"/>
      <c r="F61" s="506"/>
      <c r="G61" s="506"/>
      <c r="H61" s="506"/>
      <c r="I61" s="506"/>
      <c r="J61" s="506"/>
      <c r="K61" s="506"/>
      <c r="L61" s="506"/>
      <c r="M61" s="20"/>
      <c r="N61" s="20"/>
    </row>
    <row r="62" spans="1:14" ht="12.75" customHeight="1" x14ac:dyDescent="0.2">
      <c r="A62" s="2"/>
      <c r="B62" s="870" t="s">
        <v>68</v>
      </c>
      <c r="C62" s="870"/>
      <c r="D62" s="870"/>
      <c r="E62" s="870"/>
      <c r="F62" s="870"/>
      <c r="G62" s="870"/>
      <c r="H62" s="870"/>
      <c r="I62" s="870"/>
      <c r="J62" s="870"/>
      <c r="K62" s="870"/>
      <c r="L62" s="870"/>
      <c r="M62" s="20"/>
      <c r="N62" s="20"/>
    </row>
    <row r="63" spans="1:14" ht="12.75" customHeight="1" x14ac:dyDescent="0.2">
      <c r="B63" s="510" t="s">
        <v>69</v>
      </c>
      <c r="C63" s="509">
        <v>0.03</v>
      </c>
      <c r="D63" s="507"/>
      <c r="E63" s="506"/>
      <c r="F63" s="506"/>
      <c r="G63" s="506"/>
      <c r="H63" s="506"/>
      <c r="I63" s="506"/>
      <c r="J63" s="506"/>
      <c r="K63" s="506"/>
      <c r="L63" s="506"/>
      <c r="M63" s="20"/>
      <c r="N63" s="20"/>
    </row>
    <row r="64" spans="1:14" ht="12.75" customHeight="1" x14ac:dyDescent="0.2">
      <c r="B64" s="508" t="s">
        <v>70</v>
      </c>
      <c r="C64" s="509">
        <v>6.7900000000000002E-2</v>
      </c>
      <c r="D64" s="507"/>
      <c r="E64" s="506"/>
      <c r="F64" s="506"/>
      <c r="G64" s="506"/>
      <c r="H64" s="506"/>
      <c r="I64" s="506"/>
      <c r="J64" s="506"/>
      <c r="K64" s="506"/>
      <c r="L64" s="506"/>
      <c r="M64" s="20"/>
      <c r="N64" s="20"/>
    </row>
    <row r="65" spans="1:14" x14ac:dyDescent="0.2">
      <c r="M65" s="20"/>
      <c r="N65" s="20"/>
    </row>
    <row r="66" spans="1:14" ht="15.75" x14ac:dyDescent="0.2">
      <c r="A66" s="2"/>
      <c r="B66" s="867" t="s">
        <v>71</v>
      </c>
      <c r="C66" s="867"/>
      <c r="D66" s="867"/>
      <c r="E66" s="867"/>
      <c r="F66" s="867"/>
      <c r="G66" s="867"/>
      <c r="H66" s="867"/>
      <c r="I66" s="867"/>
      <c r="J66" s="867"/>
      <c r="K66" s="867"/>
      <c r="L66" s="867"/>
    </row>
    <row r="67" spans="1:14" x14ac:dyDescent="0.2">
      <c r="B67" s="544" t="s">
        <v>72</v>
      </c>
      <c r="C67" s="26" t="s">
        <v>73</v>
      </c>
      <c r="D67" s="26" t="s">
        <v>74</v>
      </c>
      <c r="E67" s="27" t="s">
        <v>75</v>
      </c>
      <c r="F67" s="28" t="s">
        <v>76</v>
      </c>
      <c r="G67"/>
      <c r="H67" s="536" t="s">
        <v>77</v>
      </c>
      <c r="I67" s="26" t="s">
        <v>73</v>
      </c>
      <c r="J67" s="26" t="s">
        <v>74</v>
      </c>
      <c r="K67" s="27" t="s">
        <v>75</v>
      </c>
      <c r="L67" s="28" t="s">
        <v>76</v>
      </c>
    </row>
    <row r="68" spans="1:14" x14ac:dyDescent="0.2">
      <c r="B68" s="543" t="s">
        <v>78</v>
      </c>
      <c r="C68" s="542">
        <v>0.03</v>
      </c>
      <c r="D68" s="539">
        <v>4.0999999999999996</v>
      </c>
      <c r="E68" s="29">
        <f>SUM('Prod. GEXCAS'!N4:Q4,'Prod. GEXCAS'!U4)</f>
        <v>4</v>
      </c>
      <c r="F68" s="30">
        <f>E68*D68</f>
        <v>16.399999999999999</v>
      </c>
      <c r="G68"/>
      <c r="H68" s="545" t="s">
        <v>79</v>
      </c>
      <c r="I68" s="538">
        <v>0.05</v>
      </c>
      <c r="J68" s="539">
        <v>4</v>
      </c>
      <c r="K68" s="29">
        <f>SUM('Prod. GEXLON'!N4:R4,'Prod. GEXLON'!V4)</f>
        <v>4</v>
      </c>
      <c r="L68" s="30">
        <f t="shared" ref="L68:L82" si="0">K68*J68</f>
        <v>16</v>
      </c>
    </row>
    <row r="69" spans="1:14" x14ac:dyDescent="0.2">
      <c r="B69" s="537" t="s">
        <v>80</v>
      </c>
      <c r="C69" s="542">
        <v>0.04</v>
      </c>
      <c r="D69" s="539">
        <v>3</v>
      </c>
      <c r="E69" s="29">
        <f>SUM('Prod. GEXCAS'!N5:Q5)</f>
        <v>1</v>
      </c>
      <c r="F69" s="30">
        <f t="shared" ref="F69:F84" si="1">E69*D69</f>
        <v>3</v>
      </c>
      <c r="G69"/>
      <c r="H69" s="546" t="s">
        <v>81</v>
      </c>
      <c r="I69" s="538">
        <v>2.5000000000000001E-2</v>
      </c>
      <c r="J69" s="539">
        <v>3.4</v>
      </c>
      <c r="K69" s="29">
        <f>SUM('Prod. GEXLON'!N5:R5)</f>
        <v>5</v>
      </c>
      <c r="L69" s="30">
        <f t="shared" si="0"/>
        <v>17</v>
      </c>
    </row>
    <row r="70" spans="1:14" x14ac:dyDescent="0.2">
      <c r="B70" s="537" t="s">
        <v>82</v>
      </c>
      <c r="C70" s="542">
        <v>0.03</v>
      </c>
      <c r="D70" s="539">
        <v>4.0999999999999996</v>
      </c>
      <c r="E70" s="29">
        <f>SUM('Prod. GEXCAS'!N6:Q6)</f>
        <v>6</v>
      </c>
      <c r="F70" s="30">
        <f t="shared" si="1"/>
        <v>24.599999999999998</v>
      </c>
      <c r="G70"/>
      <c r="H70" s="546" t="s">
        <v>83</v>
      </c>
      <c r="I70" s="538">
        <v>0.05</v>
      </c>
      <c r="J70" s="539">
        <v>4.75</v>
      </c>
      <c r="K70" s="29">
        <f>SUM('Prod. GEXLON'!N6:R6)</f>
        <v>5</v>
      </c>
      <c r="L70" s="30">
        <f t="shared" si="0"/>
        <v>23.75</v>
      </c>
    </row>
    <row r="71" spans="1:14" x14ac:dyDescent="0.2">
      <c r="B71" s="537" t="s">
        <v>84</v>
      </c>
      <c r="C71" s="542">
        <v>0.04</v>
      </c>
      <c r="D71" s="539">
        <v>4.0999999999999996</v>
      </c>
      <c r="E71" s="29">
        <f>SUM('Prod. GEXCAS'!N7:Q7)</f>
        <v>5</v>
      </c>
      <c r="F71" s="30">
        <f t="shared" si="1"/>
        <v>20.5</v>
      </c>
      <c r="G71"/>
      <c r="H71" s="546" t="s">
        <v>85</v>
      </c>
      <c r="I71" s="538">
        <v>0.05</v>
      </c>
      <c r="J71" s="539">
        <v>4</v>
      </c>
      <c r="K71" s="29">
        <f>SUM('Prod. GEXLON'!N7:R7)</f>
        <v>3</v>
      </c>
      <c r="L71" s="30">
        <f t="shared" si="0"/>
        <v>12</v>
      </c>
    </row>
    <row r="72" spans="1:14" x14ac:dyDescent="0.2">
      <c r="B72" s="537" t="s">
        <v>86</v>
      </c>
      <c r="C72" s="542">
        <v>0.03</v>
      </c>
      <c r="D72" s="539">
        <v>3.65</v>
      </c>
      <c r="E72" s="29">
        <f>SUM('Prod. GEXCAS'!N8:Q8)</f>
        <v>4</v>
      </c>
      <c r="F72" s="30">
        <f t="shared" si="1"/>
        <v>14.6</v>
      </c>
      <c r="G72"/>
      <c r="H72" s="546" t="s">
        <v>87</v>
      </c>
      <c r="I72" s="547">
        <v>0.04</v>
      </c>
      <c r="J72" s="541" t="s">
        <v>88</v>
      </c>
      <c r="K72" s="29">
        <f>SUM('Prod. GEXLON'!N8:R8)</f>
        <v>3</v>
      </c>
      <c r="L72" s="30"/>
    </row>
    <row r="73" spans="1:14" x14ac:dyDescent="0.2">
      <c r="B73" s="537" t="s">
        <v>89</v>
      </c>
      <c r="C73" s="542">
        <v>0.03</v>
      </c>
      <c r="D73" s="540">
        <v>4</v>
      </c>
      <c r="E73" s="29">
        <f>SUM('Prod. GEXCAS'!N9:Q9)</f>
        <v>2</v>
      </c>
      <c r="F73" s="30">
        <f t="shared" si="1"/>
        <v>8</v>
      </c>
      <c r="G73"/>
      <c r="H73" s="546" t="s">
        <v>90</v>
      </c>
      <c r="I73" s="538">
        <v>0.05</v>
      </c>
      <c r="J73" s="539">
        <v>4.75</v>
      </c>
      <c r="K73" s="29">
        <f>SUM('Prod. GEXLON'!N9:R9)</f>
        <v>4</v>
      </c>
      <c r="L73" s="30">
        <f t="shared" si="0"/>
        <v>19</v>
      </c>
    </row>
    <row r="74" spans="1:14" x14ac:dyDescent="0.2">
      <c r="B74" s="537" t="s">
        <v>91</v>
      </c>
      <c r="C74" s="542">
        <v>0.02</v>
      </c>
      <c r="D74" s="539">
        <v>3.5</v>
      </c>
      <c r="E74" s="29">
        <f>SUM('Prod. GEXCAS'!N10:Q10)</f>
        <v>5</v>
      </c>
      <c r="F74" s="30">
        <f t="shared" si="1"/>
        <v>17.5</v>
      </c>
      <c r="G74"/>
      <c r="H74" s="546" t="s">
        <v>92</v>
      </c>
      <c r="I74" s="552">
        <v>0.03</v>
      </c>
      <c r="J74" s="539">
        <v>4.25</v>
      </c>
      <c r="K74" s="29">
        <f>SUM('Prod. GEXLON'!N10:R10)</f>
        <v>1</v>
      </c>
      <c r="L74" s="30">
        <f t="shared" si="0"/>
        <v>4.25</v>
      </c>
    </row>
    <row r="75" spans="1:14" x14ac:dyDescent="0.2">
      <c r="B75" s="537" t="s">
        <v>93</v>
      </c>
      <c r="C75" s="542">
        <v>0.03</v>
      </c>
      <c r="D75" s="541" t="s">
        <v>94</v>
      </c>
      <c r="E75" s="29">
        <f>SUM('Prod. GEXCAS'!N11:Q11)</f>
        <v>1</v>
      </c>
      <c r="F75" s="30" t="s">
        <v>88</v>
      </c>
      <c r="G75"/>
      <c r="H75" s="546" t="s">
        <v>95</v>
      </c>
      <c r="I75" s="547">
        <v>0.03</v>
      </c>
      <c r="J75" s="541" t="s">
        <v>88</v>
      </c>
      <c r="K75" s="29">
        <f>SUM('Prod. GEXLON'!N11:R11)</f>
        <v>1</v>
      </c>
      <c r="L75" s="30"/>
    </row>
    <row r="76" spans="1:14" x14ac:dyDescent="0.2">
      <c r="B76" s="537" t="s">
        <v>96</v>
      </c>
      <c r="C76" s="542">
        <v>0.03</v>
      </c>
      <c r="D76" s="539">
        <v>4.3</v>
      </c>
      <c r="E76" s="29">
        <f>SUM('Prod. GEXCAS'!N12:Q12)</f>
        <v>4</v>
      </c>
      <c r="F76" s="30">
        <f t="shared" si="1"/>
        <v>17.2</v>
      </c>
      <c r="G76"/>
      <c r="H76" s="546" t="s">
        <v>97</v>
      </c>
      <c r="I76" s="547">
        <v>0.03</v>
      </c>
      <c r="J76" s="548">
        <v>3</v>
      </c>
      <c r="K76" s="29">
        <f>SUM('Prod. GEXLON'!N12:R12)</f>
        <v>1</v>
      </c>
      <c r="L76" s="30">
        <f t="shared" si="0"/>
        <v>3</v>
      </c>
    </row>
    <row r="77" spans="1:14" x14ac:dyDescent="0.2">
      <c r="B77" s="537" t="s">
        <v>98</v>
      </c>
      <c r="C77" s="542">
        <v>0.04</v>
      </c>
      <c r="D77" s="539">
        <v>3.07</v>
      </c>
      <c r="E77" s="29">
        <f>SUM('Prod. GEXCAS'!N13:Q13)</f>
        <v>2</v>
      </c>
      <c r="F77" s="30">
        <f t="shared" si="1"/>
        <v>6.14</v>
      </c>
      <c r="G77"/>
      <c r="H77" s="546" t="s">
        <v>99</v>
      </c>
      <c r="I77" s="538">
        <v>0.05</v>
      </c>
      <c r="J77" s="539">
        <v>4</v>
      </c>
      <c r="K77" s="29">
        <f>SUM('Prod. GEXLON'!N13:R13)</f>
        <v>3</v>
      </c>
      <c r="L77" s="30">
        <f t="shared" si="0"/>
        <v>12</v>
      </c>
    </row>
    <row r="78" spans="1:14" x14ac:dyDescent="0.2">
      <c r="B78" s="537" t="s">
        <v>100</v>
      </c>
      <c r="C78" s="542">
        <v>0.03</v>
      </c>
      <c r="D78" s="541" t="s">
        <v>94</v>
      </c>
      <c r="E78" s="29">
        <f>SUM('Prod. GEXCAS'!N14:Q14)</f>
        <v>1</v>
      </c>
      <c r="F78" s="30" t="s">
        <v>88</v>
      </c>
      <c r="G78"/>
      <c r="H78" s="546" t="s">
        <v>101</v>
      </c>
      <c r="I78" s="538">
        <v>0.05</v>
      </c>
      <c r="J78" s="539">
        <v>4</v>
      </c>
      <c r="K78" s="29">
        <f>SUM('Prod. GEXLON'!N14:R14)</f>
        <v>6</v>
      </c>
      <c r="L78" s="30">
        <f t="shared" si="0"/>
        <v>24</v>
      </c>
    </row>
    <row r="79" spans="1:14" x14ac:dyDescent="0.2">
      <c r="B79" s="537" t="s">
        <v>102</v>
      </c>
      <c r="C79" s="542">
        <v>0.03</v>
      </c>
      <c r="D79" s="539">
        <v>2.95</v>
      </c>
      <c r="E79" s="29">
        <f>SUM('Prod. GEXCAS'!N15:Q15)</f>
        <v>2</v>
      </c>
      <c r="F79" s="30" t="s">
        <v>88</v>
      </c>
      <c r="G79"/>
      <c r="H79" s="546" t="s">
        <v>103</v>
      </c>
      <c r="I79" s="538">
        <v>0.05</v>
      </c>
      <c r="J79" s="539">
        <v>4.25</v>
      </c>
      <c r="K79" s="29">
        <f>SUM('Prod. GEXLON'!N15:R15)</f>
        <v>2</v>
      </c>
      <c r="L79" s="30">
        <f t="shared" si="0"/>
        <v>8.5</v>
      </c>
    </row>
    <row r="80" spans="1:14" x14ac:dyDescent="0.2">
      <c r="B80" s="537" t="s">
        <v>104</v>
      </c>
      <c r="C80" s="542">
        <v>0.03</v>
      </c>
      <c r="D80" s="539">
        <v>3</v>
      </c>
      <c r="E80" s="29">
        <f>SUM('Prod. GEXCAS'!N16:Q16)</f>
        <v>2</v>
      </c>
      <c r="F80" s="30">
        <f t="shared" si="1"/>
        <v>6</v>
      </c>
      <c r="G80"/>
      <c r="H80" s="546" t="s">
        <v>105</v>
      </c>
      <c r="I80" s="547">
        <v>0.05</v>
      </c>
      <c r="J80" s="541" t="s">
        <v>94</v>
      </c>
      <c r="K80" s="29">
        <f>SUM('Prod. GEXLON'!N16:R16)</f>
        <v>1</v>
      </c>
      <c r="L80" s="30"/>
    </row>
    <row r="81" spans="2:12" x14ac:dyDescent="0.2">
      <c r="B81" s="537" t="s">
        <v>106</v>
      </c>
      <c r="C81" s="542">
        <v>0.03</v>
      </c>
      <c r="D81" s="541" t="s">
        <v>94</v>
      </c>
      <c r="E81" s="29">
        <f>SUM('Prod. GEXCAS'!N17:Q17)</f>
        <v>1</v>
      </c>
      <c r="F81" s="30" t="s">
        <v>88</v>
      </c>
      <c r="G81"/>
      <c r="H81" s="546" t="s">
        <v>107</v>
      </c>
      <c r="I81" s="547">
        <v>0.05</v>
      </c>
      <c r="J81" s="539">
        <v>4.45</v>
      </c>
      <c r="K81" s="29">
        <f>SUM('Prod. GEXLON'!N17:R17)</f>
        <v>2</v>
      </c>
      <c r="L81" s="30">
        <f t="shared" si="0"/>
        <v>8.9</v>
      </c>
    </row>
    <row r="82" spans="2:12" x14ac:dyDescent="0.2">
      <c r="B82" s="537" t="s">
        <v>108</v>
      </c>
      <c r="C82" s="542">
        <v>0.03</v>
      </c>
      <c r="D82" s="539">
        <v>3</v>
      </c>
      <c r="E82" s="29">
        <f>SUM('Prod. GEXCAS'!N18:Q18)</f>
        <v>1</v>
      </c>
      <c r="F82" s="30">
        <f t="shared" si="1"/>
        <v>3</v>
      </c>
      <c r="G82"/>
      <c r="H82" s="546" t="s">
        <v>109</v>
      </c>
      <c r="I82" s="547">
        <v>0.05</v>
      </c>
      <c r="J82" s="539">
        <v>4</v>
      </c>
      <c r="K82" s="29">
        <f>SUM('Prod. GEXLON'!N18:R18)</f>
        <v>1</v>
      </c>
      <c r="L82" s="30">
        <f t="shared" si="0"/>
        <v>4</v>
      </c>
    </row>
    <row r="83" spans="2:12" x14ac:dyDescent="0.2">
      <c r="B83" s="537" t="s">
        <v>110</v>
      </c>
      <c r="C83" s="542">
        <v>0.03</v>
      </c>
      <c r="D83" s="541" t="s">
        <v>88</v>
      </c>
      <c r="E83" s="29">
        <f>SUM('Prod. GEXCAS'!N19:Q19)</f>
        <v>1</v>
      </c>
      <c r="F83" s="30" t="s">
        <v>88</v>
      </c>
      <c r="G83"/>
      <c r="H83" s="31" t="s">
        <v>111</v>
      </c>
      <c r="I83"/>
      <c r="J83" s="32">
        <f>AVERAGE(J68:J82)</f>
        <v>4.0708333333333337</v>
      </c>
      <c r="K83" s="29"/>
      <c r="L83" s="30"/>
    </row>
    <row r="84" spans="2:12" x14ac:dyDescent="0.2">
      <c r="B84" s="537" t="s">
        <v>112</v>
      </c>
      <c r="C84" s="542">
        <v>0.05</v>
      </c>
      <c r="D84" s="539">
        <v>2.6</v>
      </c>
      <c r="E84" s="29">
        <f>SUM('Prod. GEXCAS'!N20:Q20)</f>
        <v>1</v>
      </c>
      <c r="F84" s="30">
        <f t="shared" si="1"/>
        <v>2.6</v>
      </c>
      <c r="G84"/>
      <c r="H84" s="331" t="s">
        <v>113</v>
      </c>
      <c r="I84" s="332"/>
      <c r="J84" s="333">
        <f>L84/K84</f>
        <v>4.1189189189189195</v>
      </c>
      <c r="K84" s="29">
        <f>SUM(K68:K82)-K72-K75-K80</f>
        <v>37</v>
      </c>
      <c r="L84" s="30">
        <f>SUM(L68:L82)</f>
        <v>152.4</v>
      </c>
    </row>
    <row r="85" spans="2:12" x14ac:dyDescent="0.2">
      <c r="B85" s="537" t="s">
        <v>114</v>
      </c>
      <c r="C85" s="542">
        <v>0.03</v>
      </c>
      <c r="D85" s="541" t="s">
        <v>88</v>
      </c>
      <c r="E85" s="29">
        <f>SUM('Prod. GEXCAS'!N21:Q21)</f>
        <v>1</v>
      </c>
      <c r="F85" s="30" t="s">
        <v>88</v>
      </c>
      <c r="G85"/>
      <c r="K85" s="4"/>
      <c r="L85" s="4"/>
    </row>
    <row r="86" spans="2:12" x14ac:dyDescent="0.2">
      <c r="B86" s="537" t="s">
        <v>115</v>
      </c>
      <c r="C86" s="542">
        <v>0.02</v>
      </c>
      <c r="D86" s="541" t="s">
        <v>88</v>
      </c>
      <c r="E86" s="29">
        <f>SUM('Prod. GEXCAS'!N22:Q22)</f>
        <v>1</v>
      </c>
      <c r="F86" s="30" t="s">
        <v>88</v>
      </c>
      <c r="G86"/>
    </row>
    <row r="87" spans="2:12" x14ac:dyDescent="0.2">
      <c r="B87" s="31" t="s">
        <v>111</v>
      </c>
      <c r="C87"/>
      <c r="D87" s="32">
        <f>AVERAGE(D68:D86)</f>
        <v>3.49</v>
      </c>
      <c r="E87" s="29">
        <f>SUM(E68:E86)-E75-E78-E81-E83-E85-E86</f>
        <v>39</v>
      </c>
      <c r="F87" s="30">
        <f>SUM(F68:F86)</f>
        <v>139.54</v>
      </c>
      <c r="G87"/>
    </row>
    <row r="88" spans="2:12" x14ac:dyDescent="0.2">
      <c r="B88" s="331" t="s">
        <v>113</v>
      </c>
      <c r="C88" s="332"/>
      <c r="D88" s="333">
        <f>F87/E87</f>
        <v>3.5779487179487179</v>
      </c>
      <c r="E88"/>
      <c r="F88"/>
      <c r="G88"/>
    </row>
    <row r="89" spans="2:12" x14ac:dyDescent="0.2">
      <c r="B89"/>
      <c r="C89"/>
      <c r="D89"/>
      <c r="E89"/>
      <c r="F89"/>
      <c r="G89"/>
    </row>
    <row r="90" spans="2:12" x14ac:dyDescent="0.2">
      <c r="B90" s="553" t="s">
        <v>116</v>
      </c>
      <c r="C90" s="554" t="s">
        <v>73</v>
      </c>
      <c r="D90" s="26" t="s">
        <v>74</v>
      </c>
      <c r="E90" s="27" t="s">
        <v>75</v>
      </c>
      <c r="F90" s="28" t="s">
        <v>76</v>
      </c>
      <c r="G90"/>
    </row>
    <row r="91" spans="2:12" x14ac:dyDescent="0.2">
      <c r="B91" s="545" t="s">
        <v>117</v>
      </c>
      <c r="C91" s="542">
        <v>0.03</v>
      </c>
      <c r="D91" s="539">
        <v>4</v>
      </c>
      <c r="E91" s="29">
        <f>SUM('Prod. GEXMRG'!N4:O4,'Prod. GEXMRG'!U4)</f>
        <v>5</v>
      </c>
      <c r="F91" s="30">
        <f>E91*D91</f>
        <v>20</v>
      </c>
    </row>
    <row r="92" spans="2:12" x14ac:dyDescent="0.2">
      <c r="B92" s="546" t="s">
        <v>118</v>
      </c>
      <c r="C92" s="542">
        <v>0.05</v>
      </c>
      <c r="D92" s="539">
        <v>4.8099999999999996</v>
      </c>
      <c r="E92" s="29">
        <f>SUM('Prod. GEXMRG'!N5:O5)</f>
        <v>4</v>
      </c>
      <c r="F92" s="30">
        <f t="shared" ref="F92:F104" si="2">E92*D92</f>
        <v>19.239999999999998</v>
      </c>
    </row>
    <row r="93" spans="2:12" x14ac:dyDescent="0.2">
      <c r="B93" s="546" t="s">
        <v>119</v>
      </c>
      <c r="C93" s="542">
        <v>0.05</v>
      </c>
      <c r="D93" s="539">
        <v>2</v>
      </c>
      <c r="E93" s="29">
        <f>SUM('Prod. GEXMRG'!N6:O6)</f>
        <v>2</v>
      </c>
      <c r="F93" s="30">
        <f t="shared" si="2"/>
        <v>4</v>
      </c>
    </row>
    <row r="94" spans="2:12" x14ac:dyDescent="0.2">
      <c r="B94" s="546" t="s">
        <v>120</v>
      </c>
      <c r="C94" s="542">
        <v>0.04</v>
      </c>
      <c r="D94" s="539">
        <v>2.4</v>
      </c>
      <c r="E94" s="29">
        <f>SUM('Prod. GEXMRG'!N7:O7)</f>
        <v>1</v>
      </c>
      <c r="F94" s="30">
        <f t="shared" si="2"/>
        <v>2.4</v>
      </c>
    </row>
    <row r="95" spans="2:12" x14ac:dyDescent="0.2">
      <c r="B95" s="546" t="s">
        <v>121</v>
      </c>
      <c r="C95" s="542">
        <v>0.03</v>
      </c>
      <c r="D95" s="539" t="s">
        <v>88</v>
      </c>
      <c r="E95" s="29">
        <f>SUM('Prod. GEXMRG'!N8:O8)</f>
        <v>1</v>
      </c>
      <c r="F95" s="30"/>
    </row>
    <row r="96" spans="2:12" x14ac:dyDescent="0.2">
      <c r="B96" s="546" t="s">
        <v>122</v>
      </c>
      <c r="C96" s="542">
        <v>0.04</v>
      </c>
      <c r="D96" s="540">
        <v>5.27</v>
      </c>
      <c r="E96" s="29">
        <f>SUM('Prod. GEXMRG'!N9:O9)</f>
        <v>4</v>
      </c>
      <c r="F96" s="30">
        <f t="shared" si="2"/>
        <v>21.08</v>
      </c>
    </row>
    <row r="97" spans="2:6" x14ac:dyDescent="0.2">
      <c r="B97" s="546" t="s">
        <v>123</v>
      </c>
      <c r="C97" s="542">
        <v>0.05</v>
      </c>
      <c r="D97" s="539">
        <v>4.2</v>
      </c>
      <c r="E97" s="29">
        <f>SUM('Prod. GEXMRG'!N10:O10)</f>
        <v>4</v>
      </c>
      <c r="F97" s="30">
        <f t="shared" si="2"/>
        <v>16.8</v>
      </c>
    </row>
    <row r="98" spans="2:6" x14ac:dyDescent="0.2">
      <c r="B98" s="546" t="s">
        <v>124</v>
      </c>
      <c r="C98" s="542">
        <v>0.04</v>
      </c>
      <c r="D98" s="541" t="s">
        <v>88</v>
      </c>
      <c r="E98" s="29">
        <f>SUM('Prod. GEXMRG'!N11:O11)</f>
        <v>1</v>
      </c>
      <c r="F98" s="30"/>
    </row>
    <row r="99" spans="2:6" x14ac:dyDescent="0.2">
      <c r="B99" s="546" t="s">
        <v>125</v>
      </c>
      <c r="C99" s="542">
        <v>3.2000000000000001E-2</v>
      </c>
      <c r="D99" s="539" t="s">
        <v>88</v>
      </c>
      <c r="E99" s="29">
        <f>SUM('Prod. GEXMRG'!N12:O12)</f>
        <v>1</v>
      </c>
      <c r="F99" s="30"/>
    </row>
    <row r="100" spans="2:6" x14ac:dyDescent="0.2">
      <c r="B100" s="546" t="s">
        <v>126</v>
      </c>
      <c r="C100" s="542">
        <v>0.03</v>
      </c>
      <c r="D100" s="539" t="s">
        <v>88</v>
      </c>
      <c r="E100" s="29">
        <f>SUM('Prod. GEXMRG'!N13:O13)</f>
        <v>1</v>
      </c>
      <c r="F100" s="30"/>
    </row>
    <row r="101" spans="2:6" x14ac:dyDescent="0.2">
      <c r="B101" s="546" t="s">
        <v>127</v>
      </c>
      <c r="C101" s="542">
        <v>0.04</v>
      </c>
      <c r="D101" s="541" t="s">
        <v>88</v>
      </c>
      <c r="E101" s="29">
        <f>SUM('Prod. GEXMRG'!N14:O14)</f>
        <v>1</v>
      </c>
      <c r="F101" s="30"/>
    </row>
    <row r="102" spans="2:6" x14ac:dyDescent="0.2">
      <c r="B102" s="546" t="s">
        <v>128</v>
      </c>
      <c r="C102" s="542">
        <v>0.05</v>
      </c>
      <c r="D102" s="539" t="s">
        <v>88</v>
      </c>
      <c r="E102" s="29">
        <f>SUM('Prod. GEXMRG'!N15:O15)</f>
        <v>1</v>
      </c>
      <c r="F102" s="30"/>
    </row>
    <row r="103" spans="2:6" x14ac:dyDescent="0.2">
      <c r="B103" s="546" t="s">
        <v>129</v>
      </c>
      <c r="C103" s="542">
        <v>0.03</v>
      </c>
      <c r="D103" s="539">
        <v>4.25</v>
      </c>
      <c r="E103" s="29">
        <f>SUM('Prod. GEXMRG'!N16:O16)</f>
        <v>1</v>
      </c>
      <c r="F103" s="30">
        <f t="shared" si="2"/>
        <v>4.25</v>
      </c>
    </row>
    <row r="104" spans="2:6" x14ac:dyDescent="0.2">
      <c r="B104" s="546" t="s">
        <v>130</v>
      </c>
      <c r="C104" s="542">
        <v>0.03</v>
      </c>
      <c r="D104" s="541">
        <v>4</v>
      </c>
      <c r="E104" s="29">
        <f>SUM('Prod. GEXMRG'!N17:O17)</f>
        <v>1</v>
      </c>
      <c r="F104" s="30">
        <f t="shared" si="2"/>
        <v>4</v>
      </c>
    </row>
    <row r="105" spans="2:6" x14ac:dyDescent="0.2">
      <c r="B105" s="31" t="s">
        <v>111</v>
      </c>
      <c r="C105"/>
      <c r="D105" s="32">
        <f>AVERAGE(D91:D104)</f>
        <v>3.8662499999999995</v>
      </c>
      <c r="E105" s="29">
        <f>SUM(E91:E104)-E95-E98-E99-E100-E101-E102</f>
        <v>22</v>
      </c>
      <c r="F105" s="30">
        <f>SUM(F91:F104)</f>
        <v>91.77</v>
      </c>
    </row>
    <row r="106" spans="2:6" x14ac:dyDescent="0.2">
      <c r="B106" s="331" t="s">
        <v>113</v>
      </c>
      <c r="C106" s="332"/>
      <c r="D106" s="333">
        <f>F105/E105</f>
        <v>4.1713636363636359</v>
      </c>
      <c r="E106"/>
      <c r="F106"/>
    </row>
    <row r="65446" ht="12.75" customHeight="1" x14ac:dyDescent="0.2"/>
    <row r="65447" ht="12.75" customHeight="1" x14ac:dyDescent="0.2"/>
    <row r="65448" ht="12.75" customHeight="1" x14ac:dyDescent="0.2"/>
    <row r="65449" ht="12.75" customHeight="1" x14ac:dyDescent="0.2"/>
    <row r="65450" ht="12.75" customHeight="1" x14ac:dyDescent="0.2"/>
    <row r="65451" ht="12.75" customHeight="1" x14ac:dyDescent="0.2"/>
    <row r="65452" ht="12.75" customHeight="1" x14ac:dyDescent="0.2"/>
    <row r="65453" ht="12.75" customHeight="1" x14ac:dyDescent="0.2"/>
    <row r="1048494" ht="12.75" customHeight="1" x14ac:dyDescent="0.2"/>
    <row r="1048495" ht="12.75" customHeight="1" x14ac:dyDescent="0.2"/>
    <row r="1048496" ht="12.75" customHeight="1" x14ac:dyDescent="0.2"/>
    <row r="1048497" ht="12.75" customHeight="1" x14ac:dyDescent="0.2"/>
    <row r="1048498" ht="12.75" customHeight="1" x14ac:dyDescent="0.2"/>
    <row r="1048499" ht="12.75" customHeight="1" x14ac:dyDescent="0.2"/>
    <row r="1048500" ht="12.75" customHeight="1" x14ac:dyDescent="0.2"/>
    <row r="1048501" ht="12.75" customHeight="1" x14ac:dyDescent="0.2"/>
    <row r="1048502" ht="12.75" customHeight="1" x14ac:dyDescent="0.2"/>
    <row r="1048503" ht="12.75" customHeight="1" x14ac:dyDescent="0.2"/>
    <row r="1048504" ht="12.75" customHeight="1" x14ac:dyDescent="0.2"/>
    <row r="1048505" ht="12.75" customHeight="1" x14ac:dyDescent="0.2"/>
    <row r="1048506" ht="12.75" customHeight="1" x14ac:dyDescent="0.2"/>
    <row r="1048507" ht="12.75" customHeight="1" x14ac:dyDescent="0.2"/>
    <row r="1048508" ht="12.75" customHeight="1" x14ac:dyDescent="0.2"/>
  </sheetData>
  <mergeCells count="37">
    <mergeCell ref="B1:L1"/>
    <mergeCell ref="C3:D3"/>
    <mergeCell ref="C4:D4"/>
    <mergeCell ref="B6:L6"/>
    <mergeCell ref="C9:F9"/>
    <mergeCell ref="B14:L14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C42:L42"/>
    <mergeCell ref="C43:D43"/>
    <mergeCell ref="C44:D44"/>
    <mergeCell ref="C45:D45"/>
    <mergeCell ref="B36:L36"/>
    <mergeCell ref="B37:L37"/>
    <mergeCell ref="B39:L39"/>
    <mergeCell ref="B40:L40"/>
    <mergeCell ref="C41:L41"/>
    <mergeCell ref="C46:D46"/>
    <mergeCell ref="C47:D47"/>
    <mergeCell ref="C48:D48"/>
    <mergeCell ref="C49:D49"/>
    <mergeCell ref="C50:D50"/>
    <mergeCell ref="C51:D51"/>
    <mergeCell ref="C52:L52"/>
    <mergeCell ref="C55:L55"/>
    <mergeCell ref="B66:L66"/>
    <mergeCell ref="B57:L57"/>
    <mergeCell ref="C58:L58"/>
    <mergeCell ref="B62:L62"/>
    <mergeCell ref="B53:E53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472C4"/>
  </sheetPr>
  <dimension ref="A1:AMC38"/>
  <sheetViews>
    <sheetView zoomScale="80" zoomScaleNormal="80" workbookViewId="0">
      <pane xSplit="1" topLeftCell="B1" activePane="topRight" state="frozen"/>
      <selection pane="topRight" activeCell="Q52" sqref="Q52"/>
    </sheetView>
  </sheetViews>
  <sheetFormatPr defaultRowHeight="14.25" x14ac:dyDescent="0.2"/>
  <cols>
    <col min="1" max="1" width="28.75" customWidth="1"/>
    <col min="2" max="2" width="8.5" customWidth="1"/>
    <col min="18" max="18" width="10.875" customWidth="1"/>
    <col min="19" max="20" width="10.625" customWidth="1"/>
  </cols>
  <sheetData>
    <row r="1" spans="1:21" ht="15" customHeight="1" x14ac:dyDescent="0.2">
      <c r="A1" s="172"/>
      <c r="B1" s="172"/>
      <c r="C1" s="980" t="s">
        <v>334</v>
      </c>
      <c r="D1" s="980"/>
      <c r="E1" s="980"/>
      <c r="F1" s="980"/>
      <c r="G1" s="981" t="s">
        <v>335</v>
      </c>
      <c r="H1" s="981"/>
      <c r="I1" s="981"/>
      <c r="J1" s="982" t="s">
        <v>336</v>
      </c>
      <c r="K1" s="982"/>
      <c r="L1" s="982"/>
      <c r="M1" s="172"/>
      <c r="N1" s="172"/>
      <c r="O1" s="172"/>
      <c r="P1" s="172"/>
      <c r="Q1" s="172"/>
      <c r="R1" s="973"/>
      <c r="S1" s="973"/>
      <c r="T1" s="973"/>
      <c r="U1" s="172"/>
    </row>
    <row r="2" spans="1:21" ht="60" customHeight="1" x14ac:dyDescent="0.2">
      <c r="A2" s="976" t="s">
        <v>343</v>
      </c>
      <c r="B2" s="978" t="s">
        <v>73</v>
      </c>
      <c r="C2" s="977" t="s">
        <v>345</v>
      </c>
      <c r="D2" s="955" t="s">
        <v>346</v>
      </c>
      <c r="E2" s="961" t="s">
        <v>347</v>
      </c>
      <c r="F2" s="977" t="s">
        <v>418</v>
      </c>
      <c r="G2" s="983" t="s">
        <v>349</v>
      </c>
      <c r="H2" s="984" t="s">
        <v>419</v>
      </c>
      <c r="I2" s="986" t="s">
        <v>351</v>
      </c>
      <c r="J2" s="970" t="s">
        <v>352</v>
      </c>
      <c r="K2" s="950" t="s">
        <v>353</v>
      </c>
      <c r="L2" s="971" t="s">
        <v>354</v>
      </c>
      <c r="M2" s="972" t="s">
        <v>420</v>
      </c>
      <c r="N2" s="974" t="s">
        <v>421</v>
      </c>
      <c r="O2" s="974"/>
      <c r="P2" s="975" t="s">
        <v>422</v>
      </c>
      <c r="Q2" s="975"/>
      <c r="R2" s="503" t="s">
        <v>423</v>
      </c>
      <c r="S2" s="504" t="s">
        <v>424</v>
      </c>
      <c r="T2" s="836" t="s">
        <v>425</v>
      </c>
      <c r="U2" s="193" t="s">
        <v>426</v>
      </c>
    </row>
    <row r="3" spans="1:21" x14ac:dyDescent="0.2">
      <c r="A3" s="976"/>
      <c r="B3" s="979"/>
      <c r="C3" s="977"/>
      <c r="D3" s="955"/>
      <c r="E3" s="961"/>
      <c r="F3" s="977"/>
      <c r="G3" s="983"/>
      <c r="H3" s="985"/>
      <c r="I3" s="986"/>
      <c r="J3" s="970"/>
      <c r="K3" s="950"/>
      <c r="L3" s="971"/>
      <c r="M3" s="972"/>
      <c r="N3" s="192" t="s">
        <v>427</v>
      </c>
      <c r="O3" s="194" t="s">
        <v>428</v>
      </c>
      <c r="P3" s="195" t="s">
        <v>427</v>
      </c>
      <c r="Q3" s="501" t="s">
        <v>428</v>
      </c>
      <c r="R3" s="523" t="s">
        <v>429</v>
      </c>
      <c r="S3" s="505" t="s">
        <v>429</v>
      </c>
      <c r="T3" s="837" t="s">
        <v>430</v>
      </c>
      <c r="U3" s="193" t="s">
        <v>428</v>
      </c>
    </row>
    <row r="4" spans="1:21" ht="14.25" customHeight="1" x14ac:dyDescent="0.2">
      <c r="A4" s="635" t="s">
        <v>117</v>
      </c>
      <c r="B4" s="677">
        <f>MC!C91</f>
        <v>0.03</v>
      </c>
      <c r="C4" s="636">
        <v>2205.4899999999998</v>
      </c>
      <c r="D4" s="637">
        <v>782.2</v>
      </c>
      <c r="E4" s="637">
        <v>0</v>
      </c>
      <c r="F4" s="637">
        <v>144.51</v>
      </c>
      <c r="G4" s="637">
        <v>4.75</v>
      </c>
      <c r="H4" s="637">
        <v>0</v>
      </c>
      <c r="I4" s="637">
        <v>571.12</v>
      </c>
      <c r="J4" s="637">
        <v>295.14</v>
      </c>
      <c r="K4" s="637">
        <v>243.21</v>
      </c>
      <c r="L4" s="638">
        <v>538.35</v>
      </c>
      <c r="M4" s="196">
        <f t="shared" ref="M4:M17" si="0">C4/$C$19+D4/$D$19+E4/$E$19+F4/$F$19+G4/$G$19+H4/$H$19+I4/$I$19+K4/$K$19*16*1/188.76+L4/$L$19*16*1/188.76</f>
        <v>4.2404328718202766</v>
      </c>
      <c r="N4" s="747" t="s">
        <v>432</v>
      </c>
      <c r="O4" s="747">
        <v>4</v>
      </c>
      <c r="P4" s="765">
        <v>2</v>
      </c>
      <c r="Q4" s="749">
        <v>1</v>
      </c>
      <c r="R4" s="518">
        <v>6</v>
      </c>
      <c r="S4" s="530">
        <v>6</v>
      </c>
      <c r="T4" s="838">
        <v>22</v>
      </c>
      <c r="U4" s="845">
        <v>1</v>
      </c>
    </row>
    <row r="5" spans="1:21" x14ac:dyDescent="0.2">
      <c r="A5" s="546" t="s">
        <v>118</v>
      </c>
      <c r="B5" s="677">
        <f>MC!C92</f>
        <v>0.05</v>
      </c>
      <c r="C5" s="614">
        <v>2160.0700000000002</v>
      </c>
      <c r="D5" s="615">
        <v>341.41</v>
      </c>
      <c r="E5" s="615">
        <v>0</v>
      </c>
      <c r="F5" s="615">
        <v>73.11</v>
      </c>
      <c r="G5" s="615">
        <v>0</v>
      </c>
      <c r="H5" s="615">
        <v>780</v>
      </c>
      <c r="I5" s="615">
        <v>1150</v>
      </c>
      <c r="J5" s="615">
        <v>271.55</v>
      </c>
      <c r="K5" s="615">
        <v>139.62</v>
      </c>
      <c r="L5" s="616">
        <v>411.17</v>
      </c>
      <c r="M5" s="196">
        <f t="shared" si="0"/>
        <v>3.5516824969700687</v>
      </c>
      <c r="N5" s="751">
        <v>1</v>
      </c>
      <c r="O5" s="751">
        <v>3</v>
      </c>
      <c r="P5" s="766" t="s">
        <v>432</v>
      </c>
      <c r="Q5" s="749">
        <v>1</v>
      </c>
      <c r="R5" s="519">
        <v>6</v>
      </c>
      <c r="S5" s="526">
        <v>6</v>
      </c>
      <c r="T5" s="839"/>
      <c r="U5" s="846"/>
    </row>
    <row r="6" spans="1:21" x14ac:dyDescent="0.2">
      <c r="A6" s="546" t="s">
        <v>119</v>
      </c>
      <c r="B6" s="677">
        <f>MC!C93</f>
        <v>0.05</v>
      </c>
      <c r="C6" s="614">
        <v>771.71</v>
      </c>
      <c r="D6" s="615">
        <v>300</v>
      </c>
      <c r="E6" s="615">
        <v>0</v>
      </c>
      <c r="F6" s="615">
        <v>69.25</v>
      </c>
      <c r="G6" s="615">
        <v>40.380000000000003</v>
      </c>
      <c r="H6" s="615">
        <v>910.34</v>
      </c>
      <c r="I6" s="615">
        <v>1439.53</v>
      </c>
      <c r="J6" s="615">
        <v>0</v>
      </c>
      <c r="K6" s="615">
        <v>307.14999999999998</v>
      </c>
      <c r="L6" s="616">
        <v>307.14999999999998</v>
      </c>
      <c r="M6" s="196">
        <f t="shared" si="0"/>
        <v>1.8319214804084274</v>
      </c>
      <c r="N6" s="751"/>
      <c r="O6" s="661">
        <v>2</v>
      </c>
      <c r="P6" s="766" t="s">
        <v>432</v>
      </c>
      <c r="Q6" s="749">
        <v>1</v>
      </c>
      <c r="R6" s="519">
        <v>6</v>
      </c>
      <c r="S6" s="526">
        <v>6</v>
      </c>
      <c r="T6" s="840"/>
      <c r="U6" s="846"/>
    </row>
    <row r="7" spans="1:21" x14ac:dyDescent="0.2">
      <c r="A7" s="546" t="s">
        <v>120</v>
      </c>
      <c r="B7" s="677">
        <f>MC!C94</f>
        <v>0.04</v>
      </c>
      <c r="C7" s="614">
        <v>683.3</v>
      </c>
      <c r="D7" s="615">
        <v>150</v>
      </c>
      <c r="E7" s="615">
        <v>0</v>
      </c>
      <c r="F7" s="615">
        <v>43.18</v>
      </c>
      <c r="G7" s="615">
        <v>15</v>
      </c>
      <c r="H7" s="615">
        <v>777</v>
      </c>
      <c r="I7" s="615">
        <v>1053</v>
      </c>
      <c r="J7" s="615">
        <v>92.17</v>
      </c>
      <c r="K7" s="615">
        <v>96.79</v>
      </c>
      <c r="L7" s="616">
        <v>188.96</v>
      </c>
      <c r="M7" s="196">
        <f t="shared" si="0"/>
        <v>1.364090643219088</v>
      </c>
      <c r="N7" s="751" t="s">
        <v>432</v>
      </c>
      <c r="O7" s="751">
        <v>1</v>
      </c>
      <c r="P7" s="766" t="s">
        <v>432</v>
      </c>
      <c r="Q7" s="749" t="s">
        <v>432</v>
      </c>
      <c r="R7" s="519">
        <v>6</v>
      </c>
      <c r="S7" s="526">
        <v>6</v>
      </c>
      <c r="T7" s="840"/>
      <c r="U7" s="846"/>
    </row>
    <row r="8" spans="1:21" x14ac:dyDescent="0.2">
      <c r="A8" s="546" t="s">
        <v>121</v>
      </c>
      <c r="B8" s="677">
        <f>MC!C95</f>
        <v>0.03</v>
      </c>
      <c r="C8" s="614">
        <v>800</v>
      </c>
      <c r="D8" s="615">
        <v>0</v>
      </c>
      <c r="E8" s="615">
        <v>0</v>
      </c>
      <c r="F8" s="615">
        <v>0</v>
      </c>
      <c r="G8" s="615">
        <v>0</v>
      </c>
      <c r="H8" s="615">
        <v>0</v>
      </c>
      <c r="I8" s="615">
        <v>0</v>
      </c>
      <c r="J8" s="615">
        <v>0</v>
      </c>
      <c r="K8" s="615">
        <v>0</v>
      </c>
      <c r="L8" s="616">
        <v>0</v>
      </c>
      <c r="M8" s="196">
        <f t="shared" si="0"/>
        <v>1</v>
      </c>
      <c r="N8" s="751" t="s">
        <v>432</v>
      </c>
      <c r="O8" s="751">
        <v>1</v>
      </c>
      <c r="P8" s="766" t="s">
        <v>432</v>
      </c>
      <c r="Q8" s="749">
        <v>1</v>
      </c>
      <c r="R8" s="519">
        <v>6</v>
      </c>
      <c r="S8" s="526">
        <v>6</v>
      </c>
      <c r="T8" s="840"/>
      <c r="U8" s="846"/>
    </row>
    <row r="9" spans="1:21" x14ac:dyDescent="0.2">
      <c r="A9" s="546" t="s">
        <v>122</v>
      </c>
      <c r="B9" s="677">
        <f>MC!C96</f>
        <v>0.04</v>
      </c>
      <c r="C9" s="614">
        <v>1910.9</v>
      </c>
      <c r="D9" s="615">
        <v>450</v>
      </c>
      <c r="E9" s="615">
        <v>500</v>
      </c>
      <c r="F9" s="615">
        <v>75.099999999999994</v>
      </c>
      <c r="G9" s="615">
        <v>32.799999999999997</v>
      </c>
      <c r="H9" s="615">
        <v>300</v>
      </c>
      <c r="I9" s="615">
        <v>1160.5</v>
      </c>
      <c r="J9" s="615">
        <v>505.8</v>
      </c>
      <c r="K9" s="615">
        <v>156.74</v>
      </c>
      <c r="L9" s="616">
        <v>662.54</v>
      </c>
      <c r="M9" s="196">
        <f t="shared" si="0"/>
        <v>3.724301508676509</v>
      </c>
      <c r="N9" s="751" t="s">
        <v>432</v>
      </c>
      <c r="O9" s="751">
        <v>4</v>
      </c>
      <c r="P9" s="766" t="s">
        <v>432</v>
      </c>
      <c r="Q9" s="749">
        <v>1</v>
      </c>
      <c r="R9" s="519">
        <v>6</v>
      </c>
      <c r="S9" s="526">
        <v>6</v>
      </c>
      <c r="T9" s="840"/>
      <c r="U9" s="846"/>
    </row>
    <row r="10" spans="1:21" x14ac:dyDescent="0.2">
      <c r="A10" s="546" t="s">
        <v>123</v>
      </c>
      <c r="B10" s="677">
        <f>MC!C97</f>
        <v>0.05</v>
      </c>
      <c r="C10" s="614">
        <v>2191.5300000000002</v>
      </c>
      <c r="D10" s="615">
        <v>1200</v>
      </c>
      <c r="E10" s="615">
        <v>0</v>
      </c>
      <c r="F10" s="615">
        <v>90.25</v>
      </c>
      <c r="G10" s="615">
        <v>0</v>
      </c>
      <c r="H10" s="615">
        <v>493.82</v>
      </c>
      <c r="I10" s="615">
        <v>885.4</v>
      </c>
      <c r="J10" s="615">
        <v>463.96</v>
      </c>
      <c r="K10" s="615">
        <v>179.04</v>
      </c>
      <c r="L10" s="616">
        <v>643</v>
      </c>
      <c r="M10" s="196">
        <f t="shared" si="0"/>
        <v>4.2773447128186541</v>
      </c>
      <c r="N10" s="751" t="s">
        <v>432</v>
      </c>
      <c r="O10" s="751">
        <v>4</v>
      </c>
      <c r="P10" s="766">
        <v>1</v>
      </c>
      <c r="Q10" s="749" t="s">
        <v>432</v>
      </c>
      <c r="R10" s="519">
        <v>6</v>
      </c>
      <c r="S10" s="526">
        <v>6</v>
      </c>
      <c r="T10" s="840"/>
      <c r="U10" s="846"/>
    </row>
    <row r="11" spans="1:21" x14ac:dyDescent="0.2">
      <c r="A11" s="546" t="s">
        <v>406</v>
      </c>
      <c r="B11" s="677">
        <f>MC!C98</f>
        <v>0.04</v>
      </c>
      <c r="C11" s="614">
        <v>800</v>
      </c>
      <c r="D11" s="615">
        <v>0</v>
      </c>
      <c r="E11" s="615">
        <v>0</v>
      </c>
      <c r="F11" s="615">
        <v>0</v>
      </c>
      <c r="G11" s="615">
        <v>0</v>
      </c>
      <c r="H11" s="615">
        <v>0</v>
      </c>
      <c r="I11" s="615">
        <v>0</v>
      </c>
      <c r="J11" s="615">
        <v>0</v>
      </c>
      <c r="K11" s="615">
        <v>0</v>
      </c>
      <c r="L11" s="616">
        <v>0</v>
      </c>
      <c r="M11" s="196">
        <f t="shared" si="0"/>
        <v>1</v>
      </c>
      <c r="N11" s="751" t="s">
        <v>432</v>
      </c>
      <c r="O11" s="751">
        <v>1</v>
      </c>
      <c r="P11" s="766" t="s">
        <v>432</v>
      </c>
      <c r="Q11" s="749" t="s">
        <v>432</v>
      </c>
      <c r="R11" s="519">
        <v>6</v>
      </c>
      <c r="S11" s="526">
        <v>6</v>
      </c>
      <c r="T11" s="840"/>
      <c r="U11" s="846"/>
    </row>
    <row r="12" spans="1:21" x14ac:dyDescent="0.2">
      <c r="A12" s="546" t="s">
        <v>125</v>
      </c>
      <c r="B12" s="677">
        <f>MC!C99</f>
        <v>3.2000000000000001E-2</v>
      </c>
      <c r="C12" s="614">
        <v>800</v>
      </c>
      <c r="D12" s="615">
        <v>0</v>
      </c>
      <c r="E12" s="615">
        <v>0</v>
      </c>
      <c r="F12" s="615">
        <v>0</v>
      </c>
      <c r="G12" s="615">
        <v>0</v>
      </c>
      <c r="H12" s="615">
        <v>0</v>
      </c>
      <c r="I12" s="615">
        <v>0</v>
      </c>
      <c r="J12" s="615">
        <v>0</v>
      </c>
      <c r="K12" s="615">
        <v>0</v>
      </c>
      <c r="L12" s="616">
        <v>0</v>
      </c>
      <c r="M12" s="196">
        <f t="shared" si="0"/>
        <v>1</v>
      </c>
      <c r="N12" s="751" t="s">
        <v>432</v>
      </c>
      <c r="O12" s="751">
        <v>1</v>
      </c>
      <c r="P12" s="766" t="s">
        <v>432</v>
      </c>
      <c r="Q12" s="749" t="s">
        <v>432</v>
      </c>
      <c r="R12" s="519">
        <v>6</v>
      </c>
      <c r="S12" s="526">
        <v>6</v>
      </c>
      <c r="T12" s="840"/>
      <c r="U12" s="846"/>
    </row>
    <row r="13" spans="1:21" x14ac:dyDescent="0.2">
      <c r="A13" s="546" t="s">
        <v>126</v>
      </c>
      <c r="B13" s="677">
        <f>MC!C100</f>
        <v>0.03</v>
      </c>
      <c r="C13" s="614">
        <v>800</v>
      </c>
      <c r="D13" s="615">
        <v>0</v>
      </c>
      <c r="E13" s="615">
        <v>0</v>
      </c>
      <c r="F13" s="615">
        <v>0</v>
      </c>
      <c r="G13" s="615">
        <v>0</v>
      </c>
      <c r="H13" s="615">
        <v>0</v>
      </c>
      <c r="I13" s="615">
        <v>0</v>
      </c>
      <c r="J13" s="615">
        <v>0</v>
      </c>
      <c r="K13" s="615">
        <v>0</v>
      </c>
      <c r="L13" s="616">
        <v>0</v>
      </c>
      <c r="M13" s="196">
        <f t="shared" si="0"/>
        <v>1</v>
      </c>
      <c r="N13" s="751" t="s">
        <v>432</v>
      </c>
      <c r="O13" s="751">
        <v>1</v>
      </c>
      <c r="P13" s="766" t="s">
        <v>432</v>
      </c>
      <c r="Q13" s="749" t="s">
        <v>432</v>
      </c>
      <c r="R13" s="519">
        <v>6</v>
      </c>
      <c r="S13" s="526">
        <v>6</v>
      </c>
      <c r="T13" s="840"/>
      <c r="U13" s="846"/>
    </row>
    <row r="14" spans="1:21" x14ac:dyDescent="0.2">
      <c r="A14" s="546" t="s">
        <v>127</v>
      </c>
      <c r="B14" s="677">
        <f>MC!C101</f>
        <v>0.04</v>
      </c>
      <c r="C14" s="614">
        <v>800</v>
      </c>
      <c r="D14" s="615">
        <v>0</v>
      </c>
      <c r="E14" s="615">
        <v>0</v>
      </c>
      <c r="F14" s="615">
        <v>0</v>
      </c>
      <c r="G14" s="615">
        <v>0</v>
      </c>
      <c r="H14" s="615">
        <v>0</v>
      </c>
      <c r="I14" s="615">
        <v>0</v>
      </c>
      <c r="J14" s="615">
        <v>0</v>
      </c>
      <c r="K14" s="615">
        <v>0</v>
      </c>
      <c r="L14" s="616">
        <v>0</v>
      </c>
      <c r="M14" s="196">
        <f t="shared" si="0"/>
        <v>1</v>
      </c>
      <c r="N14" s="751" t="s">
        <v>432</v>
      </c>
      <c r="O14" s="751">
        <v>1</v>
      </c>
      <c r="P14" s="766" t="s">
        <v>432</v>
      </c>
      <c r="Q14" s="749" t="s">
        <v>432</v>
      </c>
      <c r="R14" s="519">
        <v>6</v>
      </c>
      <c r="S14" s="526">
        <v>6</v>
      </c>
      <c r="T14" s="840"/>
      <c r="U14" s="846"/>
    </row>
    <row r="15" spans="1:21" x14ac:dyDescent="0.2">
      <c r="A15" s="546" t="s">
        <v>128</v>
      </c>
      <c r="B15" s="677">
        <f>MC!C102</f>
        <v>0.05</v>
      </c>
      <c r="C15" s="614">
        <v>800</v>
      </c>
      <c r="D15" s="615">
        <v>0</v>
      </c>
      <c r="E15" s="615">
        <v>0</v>
      </c>
      <c r="F15" s="615">
        <v>0</v>
      </c>
      <c r="G15" s="615">
        <v>0</v>
      </c>
      <c r="H15" s="615">
        <v>0</v>
      </c>
      <c r="I15" s="615">
        <v>0</v>
      </c>
      <c r="J15" s="615">
        <v>0</v>
      </c>
      <c r="K15" s="615">
        <v>0</v>
      </c>
      <c r="L15" s="616">
        <v>0</v>
      </c>
      <c r="M15" s="196">
        <f t="shared" si="0"/>
        <v>1</v>
      </c>
      <c r="N15" s="751" t="s">
        <v>432</v>
      </c>
      <c r="O15" s="751">
        <v>1</v>
      </c>
      <c r="P15" s="766" t="s">
        <v>432</v>
      </c>
      <c r="Q15" s="749" t="s">
        <v>432</v>
      </c>
      <c r="R15" s="519">
        <v>6</v>
      </c>
      <c r="S15" s="526">
        <v>6</v>
      </c>
      <c r="T15" s="840"/>
      <c r="U15" s="846"/>
    </row>
    <row r="16" spans="1:21" x14ac:dyDescent="0.2">
      <c r="A16" s="546" t="s">
        <v>129</v>
      </c>
      <c r="B16" s="677">
        <f>MC!C103</f>
        <v>0.03</v>
      </c>
      <c r="C16" s="614">
        <v>800</v>
      </c>
      <c r="D16" s="615">
        <v>0</v>
      </c>
      <c r="E16" s="615">
        <v>0</v>
      </c>
      <c r="F16" s="615">
        <v>0</v>
      </c>
      <c r="G16" s="615">
        <v>0</v>
      </c>
      <c r="H16" s="615">
        <v>0</v>
      </c>
      <c r="I16" s="615">
        <v>0</v>
      </c>
      <c r="J16" s="615">
        <v>0</v>
      </c>
      <c r="K16" s="615">
        <v>0</v>
      </c>
      <c r="L16" s="616">
        <v>0</v>
      </c>
      <c r="M16" s="196">
        <f t="shared" si="0"/>
        <v>1</v>
      </c>
      <c r="N16" s="751" t="s">
        <v>432</v>
      </c>
      <c r="O16" s="751">
        <v>1</v>
      </c>
      <c r="P16" s="766" t="s">
        <v>432</v>
      </c>
      <c r="Q16" s="749" t="s">
        <v>432</v>
      </c>
      <c r="R16" s="519">
        <v>6</v>
      </c>
      <c r="S16" s="526">
        <v>6</v>
      </c>
      <c r="T16" s="840"/>
      <c r="U16" s="846"/>
    </row>
    <row r="17" spans="1:1017" x14ac:dyDescent="0.2">
      <c r="A17" s="613" t="s">
        <v>130</v>
      </c>
      <c r="B17" s="677">
        <f>MC!C104</f>
        <v>0.03</v>
      </c>
      <c r="C17" s="617">
        <v>165.39</v>
      </c>
      <c r="D17" s="618">
        <v>943.86</v>
      </c>
      <c r="E17" s="618">
        <v>0</v>
      </c>
      <c r="F17" s="618">
        <v>9.49</v>
      </c>
      <c r="G17" s="618">
        <v>0</v>
      </c>
      <c r="H17" s="618">
        <v>0</v>
      </c>
      <c r="I17" s="618">
        <v>120</v>
      </c>
      <c r="J17" s="618">
        <v>12.12</v>
      </c>
      <c r="K17" s="618">
        <v>19.68</v>
      </c>
      <c r="L17" s="619">
        <v>31.8</v>
      </c>
      <c r="M17" s="665">
        <f t="shared" si="0"/>
        <v>0.9082440869218501</v>
      </c>
      <c r="N17" s="661">
        <v>1</v>
      </c>
      <c r="O17" s="751"/>
      <c r="P17" s="767" t="s">
        <v>432</v>
      </c>
      <c r="Q17" s="755" t="s">
        <v>432</v>
      </c>
      <c r="R17" s="520">
        <v>6</v>
      </c>
      <c r="S17" s="527">
        <v>6</v>
      </c>
      <c r="T17" s="841"/>
      <c r="U17" s="846"/>
    </row>
    <row r="18" spans="1:1017" s="145" customFormat="1" ht="12.75" x14ac:dyDescent="0.2">
      <c r="A18" s="197" t="s">
        <v>433</v>
      </c>
      <c r="B18" s="197"/>
      <c r="C18" s="198">
        <f t="shared" ref="C18:U18" si="1">SUM(C4:C17)</f>
        <v>15688.39</v>
      </c>
      <c r="D18" s="199">
        <f t="shared" si="1"/>
        <v>4167.47</v>
      </c>
      <c r="E18" s="199">
        <f t="shared" si="1"/>
        <v>500</v>
      </c>
      <c r="F18" s="199">
        <f>SUM(F4:F17)</f>
        <v>504.89</v>
      </c>
      <c r="G18" s="199">
        <f t="shared" si="1"/>
        <v>92.93</v>
      </c>
      <c r="H18" s="199">
        <f t="shared" si="1"/>
        <v>3261.1600000000003</v>
      </c>
      <c r="I18" s="199">
        <f t="shared" si="1"/>
        <v>6379.5499999999993</v>
      </c>
      <c r="J18" s="199">
        <f t="shared" si="1"/>
        <v>1640.74</v>
      </c>
      <c r="K18" s="199">
        <f t="shared" si="1"/>
        <v>1142.23</v>
      </c>
      <c r="L18" s="663">
        <f t="shared" si="1"/>
        <v>2782.9700000000003</v>
      </c>
      <c r="M18" s="662">
        <f t="shared" si="1"/>
        <v>26.898017800834875</v>
      </c>
      <c r="N18" s="664">
        <f t="shared" si="1"/>
        <v>2</v>
      </c>
      <c r="O18" s="202">
        <f t="shared" si="1"/>
        <v>25</v>
      </c>
      <c r="P18" s="608">
        <f t="shared" si="1"/>
        <v>3</v>
      </c>
      <c r="Q18" s="609">
        <f t="shared" si="1"/>
        <v>5</v>
      </c>
      <c r="R18" s="639">
        <f t="shared" si="1"/>
        <v>84</v>
      </c>
      <c r="S18" s="640">
        <f t="shared" si="1"/>
        <v>84</v>
      </c>
      <c r="T18" s="855">
        <f t="shared" si="1"/>
        <v>22</v>
      </c>
      <c r="U18" s="848">
        <f t="shared" si="1"/>
        <v>1</v>
      </c>
      <c r="ALQ18" s="162"/>
      <c r="ALR18" s="162"/>
      <c r="ALS18" s="162"/>
      <c r="ALT18" s="162"/>
      <c r="ALU18" s="162"/>
      <c r="ALV18" s="162"/>
      <c r="ALW18" s="162"/>
      <c r="ALX18" s="162"/>
      <c r="ALY18" s="162"/>
      <c r="ALZ18" s="162"/>
      <c r="AMA18" s="162"/>
      <c r="AMB18" s="162"/>
      <c r="AMC18" s="162"/>
    </row>
    <row r="19" spans="1:1017" s="145" customFormat="1" ht="15" x14ac:dyDescent="0.25">
      <c r="A19" s="203" t="s">
        <v>434</v>
      </c>
      <c r="B19" s="172"/>
      <c r="C19" s="598">
        <v>800</v>
      </c>
      <c r="D19" s="599">
        <v>1500</v>
      </c>
      <c r="E19" s="599">
        <v>1500</v>
      </c>
      <c r="F19" s="599">
        <v>200</v>
      </c>
      <c r="G19" s="599">
        <v>2700</v>
      </c>
      <c r="H19" s="599">
        <v>100000</v>
      </c>
      <c r="I19" s="599">
        <v>9000</v>
      </c>
      <c r="J19" s="599">
        <v>160</v>
      </c>
      <c r="K19" s="599">
        <v>380</v>
      </c>
      <c r="L19" s="600">
        <v>380</v>
      </c>
      <c r="M19" s="204"/>
      <c r="N19" s="415" t="s">
        <v>435</v>
      </c>
      <c r="O19" s="413">
        <f>N18+O18</f>
        <v>27</v>
      </c>
      <c r="P19" s="610" t="s">
        <v>435</v>
      </c>
      <c r="Q19" s="414">
        <f>P18+Q18</f>
        <v>8</v>
      </c>
      <c r="R19" s="500"/>
      <c r="S19" s="500"/>
      <c r="T19" s="500"/>
      <c r="U19" s="174"/>
      <c r="ALT19" s="175"/>
      <c r="ALU19" s="175"/>
      <c r="ALV19" s="175"/>
      <c r="ALW19" s="175"/>
      <c r="ALX19" s="175"/>
      <c r="ALY19" s="175"/>
      <c r="ALZ19" s="175"/>
      <c r="AMA19" s="175"/>
      <c r="AMB19" s="175"/>
      <c r="AMC19" s="175"/>
    </row>
    <row r="20" spans="1:1017" s="145" customFormat="1" ht="15" x14ac:dyDescent="0.25">
      <c r="A20" s="206" t="s">
        <v>436</v>
      </c>
      <c r="B20" s="206"/>
      <c r="C20" s="207">
        <f t="shared" ref="C20:I20" si="2">C18/C19</f>
        <v>19.610487499999998</v>
      </c>
      <c r="D20" s="208">
        <f t="shared" si="2"/>
        <v>2.7783133333333336</v>
      </c>
      <c r="E20" s="208">
        <f t="shared" si="2"/>
        <v>0.33333333333333331</v>
      </c>
      <c r="F20" s="208">
        <f t="shared" si="2"/>
        <v>2.5244499999999999</v>
      </c>
      <c r="G20" s="208">
        <f t="shared" si="2"/>
        <v>3.4418518518518522E-2</v>
      </c>
      <c r="H20" s="208">
        <f t="shared" si="2"/>
        <v>3.2611600000000004E-2</v>
      </c>
      <c r="I20" s="208">
        <f t="shared" si="2"/>
        <v>0.7088388888888888</v>
      </c>
      <c r="J20" s="208">
        <f>1/J19*8*1/(30/7*44*6)*J18</f>
        <v>7.25074494949495E-2</v>
      </c>
      <c r="K20" s="208">
        <f>1/K19*16*1/188.76*K18</f>
        <v>0.25478859258763564</v>
      </c>
      <c r="L20" s="209">
        <f>1/L19*16*1/188.76*L18</f>
        <v>0.6207760341731634</v>
      </c>
      <c r="M20" s="329">
        <f>SUM(C20:L20)-J20</f>
        <v>26.898017800834872</v>
      </c>
      <c r="N20" s="416" t="s">
        <v>437</v>
      </c>
      <c r="O20" s="414">
        <f>O18+(N18*0.85)</f>
        <v>26.7</v>
      </c>
      <c r="P20" s="205"/>
      <c r="Q20" s="174"/>
      <c r="R20" s="174"/>
      <c r="S20" s="174"/>
      <c r="T20" s="174"/>
      <c r="U20" s="174"/>
      <c r="ALT20" s="175"/>
      <c r="ALU20" s="175"/>
      <c r="ALV20" s="175"/>
      <c r="ALW20" s="175"/>
      <c r="ALX20" s="175"/>
      <c r="ALY20" s="175"/>
      <c r="ALZ20" s="175"/>
      <c r="AMA20" s="175"/>
      <c r="AMB20" s="175"/>
      <c r="AMC20" s="175"/>
    </row>
    <row r="21" spans="1:1017" s="145" customFormat="1" ht="15" x14ac:dyDescent="0.25">
      <c r="A21" s="211" t="s">
        <v>438</v>
      </c>
      <c r="B21" s="211"/>
      <c r="C21" s="212">
        <f>C18/(M20*C19)</f>
        <v>0.72906812855894976</v>
      </c>
      <c r="D21" s="213">
        <f>D18/(M20*D19)</f>
        <v>0.10329063479343444</v>
      </c>
      <c r="E21" s="213">
        <f>E18/(M20*E19)</f>
        <v>1.2392486903737092E-2</v>
      </c>
      <c r="F21" s="213">
        <f>F18/(M20*F19)</f>
        <v>9.3852640692417305E-2</v>
      </c>
      <c r="G21" s="213">
        <f>G18/(M20*G19)</f>
        <v>1.27959311996032E-3</v>
      </c>
      <c r="H21" s="213">
        <f>H18/(M20*H19)</f>
        <v>1.2124164777297377E-3</v>
      </c>
      <c r="I21" s="213">
        <f>I18/(M20*I19)</f>
        <v>2.6352829942245321E-2</v>
      </c>
      <c r="J21" s="213">
        <f>1/4*1/J19*8*1/1132.6*J18</f>
        <v>1.8108114073812468E-2</v>
      </c>
      <c r="K21" s="213">
        <f>1/M20*1/K19*16*1/188.76*K18</f>
        <v>9.4723928905916435E-3</v>
      </c>
      <c r="L21" s="214">
        <f>1/M20*1/L19*16*1/188.76*L18</f>
        <v>2.3078876620934337E-2</v>
      </c>
      <c r="M21" s="215">
        <f>SUM(C21:L21)-J21</f>
        <v>0.99999999999999989</v>
      </c>
      <c r="N21" s="174"/>
      <c r="O21" s="174"/>
      <c r="P21" s="174"/>
      <c r="Q21" s="174"/>
      <c r="R21" s="174"/>
      <c r="S21" s="174"/>
      <c r="T21" s="174"/>
      <c r="U21" s="175"/>
      <c r="ALT21" s="175"/>
      <c r="ALU21" s="175"/>
      <c r="ALV21" s="175"/>
      <c r="ALW21" s="175"/>
      <c r="ALX21" s="175"/>
      <c r="ALY21" s="175"/>
      <c r="ALZ21" s="175"/>
      <c r="AMA21" s="175"/>
      <c r="AMB21" s="175"/>
      <c r="AMC21" s="175"/>
    </row>
    <row r="22" spans="1:1017" s="145" customFormat="1" ht="15" hidden="1" x14ac:dyDescent="0.25">
      <c r="A22" s="216" t="s">
        <v>439</v>
      </c>
      <c r="B22" s="216"/>
      <c r="C22" s="217">
        <f t="shared" ref="C22:I22" si="3">ROUND(1/C19,9)</f>
        <v>1.25E-3</v>
      </c>
      <c r="D22" s="218">
        <f t="shared" si="3"/>
        <v>6.6666700000000002E-4</v>
      </c>
      <c r="E22" s="218">
        <f t="shared" si="3"/>
        <v>6.6666700000000002E-4</v>
      </c>
      <c r="F22" s="218">
        <f t="shared" si="3"/>
        <v>5.0000000000000001E-3</v>
      </c>
      <c r="G22" s="218">
        <f t="shared" si="3"/>
        <v>3.7037000000000002E-4</v>
      </c>
      <c r="H22" s="218">
        <f t="shared" si="3"/>
        <v>1.0000000000000001E-5</v>
      </c>
      <c r="I22" s="218">
        <f t="shared" si="3"/>
        <v>1.11111E-4</v>
      </c>
      <c r="J22" s="219">
        <f>(1/J19)*(1/L30)*8</f>
        <v>4.8611111111111115E-5</v>
      </c>
      <c r="K22" s="219">
        <f>(1/K19)*(1/L29)*16</f>
        <v>2.4561403508771931E-4</v>
      </c>
      <c r="L22" s="220">
        <f>(1/L19)*(1/L29)*16</f>
        <v>2.4561403508771931E-4</v>
      </c>
      <c r="M22" s="175"/>
      <c r="N22" s="175"/>
      <c r="O22" s="175"/>
      <c r="P22" s="175"/>
      <c r="Q22" s="175"/>
      <c r="R22" s="175"/>
      <c r="S22" s="175"/>
      <c r="T22" s="175"/>
      <c r="U22" s="175"/>
      <c r="ALT22" s="175"/>
      <c r="ALU22" s="175"/>
      <c r="ALV22" s="175"/>
      <c r="ALW22" s="175"/>
      <c r="ALX22" s="175"/>
      <c r="ALY22" s="175"/>
      <c r="ALZ22" s="175"/>
      <c r="AMA22" s="175"/>
      <c r="AMB22" s="175"/>
      <c r="AMC22" s="175"/>
    </row>
    <row r="23" spans="1:1017" s="145" customFormat="1" ht="15" hidden="1" x14ac:dyDescent="0.25">
      <c r="A23" s="221" t="s">
        <v>440</v>
      </c>
      <c r="B23" s="221"/>
      <c r="C23" s="222">
        <f t="shared" ref="C23:L23" si="4">C22/$U$18</f>
        <v>1.25E-3</v>
      </c>
      <c r="D23" s="223">
        <f t="shared" si="4"/>
        <v>6.6666700000000002E-4</v>
      </c>
      <c r="E23" s="223">
        <f t="shared" si="4"/>
        <v>6.6666700000000002E-4</v>
      </c>
      <c r="F23" s="223">
        <f t="shared" si="4"/>
        <v>5.0000000000000001E-3</v>
      </c>
      <c r="G23" s="223">
        <f t="shared" si="4"/>
        <v>3.7037000000000002E-4</v>
      </c>
      <c r="H23" s="223">
        <f t="shared" si="4"/>
        <v>1.0000000000000001E-5</v>
      </c>
      <c r="I23" s="223">
        <f t="shared" si="4"/>
        <v>1.11111E-4</v>
      </c>
      <c r="J23" s="224">
        <f t="shared" si="4"/>
        <v>4.8611111111111115E-5</v>
      </c>
      <c r="K23" s="224">
        <f t="shared" si="4"/>
        <v>2.4561403508771931E-4</v>
      </c>
      <c r="L23" s="225">
        <f t="shared" si="4"/>
        <v>2.4561403508771931E-4</v>
      </c>
      <c r="M23" s="175"/>
      <c r="N23" s="175"/>
      <c r="O23" s="175"/>
      <c r="P23" s="175"/>
      <c r="Q23" s="175"/>
      <c r="R23" s="175"/>
      <c r="S23" s="175"/>
      <c r="T23" s="175"/>
      <c r="U23" s="175"/>
      <c r="ALT23" s="175"/>
      <c r="ALU23" s="175"/>
      <c r="ALV23" s="175"/>
      <c r="ALW23" s="175"/>
      <c r="ALX23" s="175"/>
      <c r="ALY23" s="175"/>
      <c r="ALZ23" s="175"/>
      <c r="AMA23" s="175"/>
      <c r="AMB23" s="175"/>
      <c r="AMC23" s="175"/>
    </row>
    <row r="24" spans="1:1017" s="145" customFormat="1" ht="15" hidden="1" x14ac:dyDescent="0.25">
      <c r="A24" s="226" t="s">
        <v>441</v>
      </c>
      <c r="B24" s="226"/>
      <c r="C24" s="227" t="s">
        <v>442</v>
      </c>
      <c r="D24" s="228" t="s">
        <v>443</v>
      </c>
      <c r="E24" s="228" t="s">
        <v>444</v>
      </c>
      <c r="F24" s="228" t="s">
        <v>445</v>
      </c>
      <c r="G24" s="229" t="s">
        <v>446</v>
      </c>
      <c r="H24" s="229" t="s">
        <v>446</v>
      </c>
      <c r="I24" s="229" t="s">
        <v>447</v>
      </c>
      <c r="J24" s="230" t="s">
        <v>448</v>
      </c>
      <c r="K24" s="230" t="s">
        <v>449</v>
      </c>
      <c r="L24" s="231" t="s">
        <v>449</v>
      </c>
      <c r="M24" s="175"/>
      <c r="N24" s="175"/>
      <c r="O24" s="175"/>
      <c r="P24" s="175"/>
      <c r="Q24" s="175"/>
      <c r="R24" s="175"/>
      <c r="S24" s="175"/>
      <c r="T24" s="175"/>
      <c r="U24" s="175"/>
      <c r="ALT24" s="175"/>
      <c r="ALU24" s="175"/>
      <c r="ALV24" s="175"/>
      <c r="ALW24" s="175"/>
      <c r="ALX24" s="175"/>
      <c r="ALY24" s="175"/>
      <c r="ALZ24" s="175"/>
      <c r="AMA24" s="175"/>
      <c r="AMB24" s="175"/>
      <c r="AMC24" s="175"/>
    </row>
    <row r="25" spans="1:1017" s="145" customFormat="1" ht="15" hidden="1" x14ac:dyDescent="0.25">
      <c r="A25" s="232"/>
      <c r="B25" s="232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ALQ25" s="162"/>
      <c r="ALR25" s="162"/>
      <c r="ALS25" s="162"/>
      <c r="ALT25" s="162"/>
      <c r="ALU25" s="162"/>
      <c r="ALV25" s="162"/>
      <c r="ALW25" s="162"/>
      <c r="ALX25" s="162"/>
      <c r="ALY25" s="162"/>
      <c r="ALZ25" s="162"/>
      <c r="AMA25" s="162"/>
      <c r="AMB25" s="162"/>
      <c r="AMC25" s="162"/>
    </row>
    <row r="26" spans="1:1017" s="145" customFormat="1" ht="15" x14ac:dyDescent="0.25">
      <c r="A26" s="233" t="s">
        <v>441</v>
      </c>
      <c r="B26" s="675"/>
      <c r="C26" s="228" t="s">
        <v>442</v>
      </c>
      <c r="D26" s="228" t="s">
        <v>443</v>
      </c>
      <c r="E26" s="228" t="s">
        <v>444</v>
      </c>
      <c r="F26" s="228" t="s">
        <v>445</v>
      </c>
      <c r="G26" s="229" t="s">
        <v>446</v>
      </c>
      <c r="H26" s="234">
        <v>100000</v>
      </c>
      <c r="I26" s="229" t="s">
        <v>447</v>
      </c>
      <c r="J26" s="229" t="s">
        <v>448</v>
      </c>
      <c r="K26" s="230" t="s">
        <v>449</v>
      </c>
      <c r="L26" s="231" t="s">
        <v>449</v>
      </c>
      <c r="M26" s="175"/>
      <c r="N26" s="175"/>
      <c r="O26" s="175"/>
      <c r="P26" s="175"/>
      <c r="Q26" s="175"/>
      <c r="R26" s="175"/>
      <c r="S26" s="175"/>
      <c r="T26" s="175"/>
      <c r="U26" s="175"/>
      <c r="ALQ26" s="162"/>
      <c r="ALR26" s="162"/>
      <c r="ALS26" s="162"/>
      <c r="ALT26" s="162"/>
      <c r="ALU26" s="162"/>
      <c r="ALV26" s="162"/>
      <c r="ALW26" s="162"/>
      <c r="ALX26" s="162"/>
      <c r="ALY26" s="162"/>
      <c r="ALZ26" s="162"/>
      <c r="AMA26" s="162"/>
      <c r="AMB26" s="162"/>
      <c r="AMC26" s="162"/>
    </row>
    <row r="27" spans="1:1017" s="145" customFormat="1" ht="15" hidden="1" x14ac:dyDescent="0.25">
      <c r="A27" s="235"/>
      <c r="B27" s="23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ALQ27" s="162"/>
      <c r="ALR27" s="162"/>
      <c r="ALS27" s="162"/>
      <c r="ALT27" s="162"/>
      <c r="ALU27" s="162"/>
      <c r="ALV27" s="162"/>
      <c r="ALW27" s="162"/>
      <c r="ALX27" s="162"/>
      <c r="ALY27" s="162"/>
      <c r="ALZ27" s="162"/>
      <c r="AMA27" s="162"/>
      <c r="AMB27" s="162"/>
      <c r="AMC27" s="162"/>
    </row>
    <row r="28" spans="1:1017" s="145" customFormat="1" ht="15" hidden="1" x14ac:dyDescent="0.25">
      <c r="A28" s="175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ALQ28" s="162"/>
      <c r="ALR28" s="162"/>
      <c r="ALS28" s="162"/>
      <c r="ALT28" s="162"/>
      <c r="ALU28" s="162"/>
      <c r="ALV28" s="162"/>
      <c r="ALW28" s="162"/>
      <c r="ALX28" s="162"/>
      <c r="ALY28" s="162"/>
      <c r="ALZ28" s="162"/>
      <c r="AMA28" s="162"/>
      <c r="AMB28" s="162"/>
      <c r="AMC28" s="162"/>
    </row>
    <row r="29" spans="1:1017" s="145" customFormat="1" ht="15" hidden="1" x14ac:dyDescent="0.25">
      <c r="A29" s="175"/>
      <c r="B29" s="175"/>
      <c r="C29" s="175"/>
      <c r="D29" s="175"/>
      <c r="E29" s="175"/>
      <c r="F29" s="175"/>
      <c r="G29" s="175"/>
      <c r="H29" s="175"/>
      <c r="I29" s="175"/>
      <c r="J29" s="84">
        <f>30/7</f>
        <v>4.2857142857142856</v>
      </c>
      <c r="K29" s="84">
        <v>40</v>
      </c>
      <c r="L29" s="84">
        <f>J29*K29</f>
        <v>171.42857142857142</v>
      </c>
      <c r="M29" s="84"/>
      <c r="N29" s="84"/>
      <c r="O29" s="84"/>
      <c r="P29" s="84"/>
      <c r="Q29" s="84"/>
      <c r="R29" s="84"/>
      <c r="S29" s="84"/>
      <c r="T29" s="84"/>
      <c r="U29" s="84"/>
      <c r="ALQ29" s="162"/>
      <c r="ALR29" s="162"/>
      <c r="ALS29" s="162"/>
      <c r="ALT29" s="162"/>
      <c r="ALU29" s="162"/>
      <c r="ALV29" s="162"/>
      <c r="ALW29" s="162"/>
      <c r="ALX29" s="162"/>
      <c r="ALY29" s="162"/>
      <c r="ALZ29" s="162"/>
      <c r="AMA29" s="162"/>
      <c r="AMB29" s="162"/>
      <c r="AMC29" s="162"/>
    </row>
    <row r="30" spans="1:1017" s="145" customFormat="1" ht="15" hidden="1" x14ac:dyDescent="0.25">
      <c r="A30" s="175"/>
      <c r="B30" s="175"/>
      <c r="C30" s="175"/>
      <c r="D30" s="175"/>
      <c r="E30" s="175"/>
      <c r="F30" s="175"/>
      <c r="G30" s="175"/>
      <c r="H30" s="175"/>
      <c r="I30" s="175"/>
      <c r="J30" s="84"/>
      <c r="K30" s="84"/>
      <c r="L30" s="84">
        <f>L29*6</f>
        <v>1028.5714285714284</v>
      </c>
      <c r="M30" s="84" t="s">
        <v>450</v>
      </c>
      <c r="N30" s="84"/>
      <c r="O30" s="84"/>
      <c r="P30" s="84"/>
      <c r="Q30" s="84"/>
      <c r="R30" s="84"/>
      <c r="S30" s="84"/>
      <c r="T30" s="84"/>
      <c r="U30" s="84"/>
      <c r="ALQ30" s="162"/>
      <c r="ALR30" s="162"/>
      <c r="ALS30" s="162"/>
      <c r="ALT30" s="162"/>
      <c r="ALU30" s="162"/>
      <c r="ALV30" s="162"/>
      <c r="ALW30" s="162"/>
      <c r="ALX30" s="162"/>
      <c r="ALY30" s="162"/>
      <c r="ALZ30" s="162"/>
      <c r="AMA30" s="162"/>
      <c r="AMB30" s="162"/>
      <c r="AMC30" s="162"/>
    </row>
    <row r="31" spans="1:1017" hidden="1" x14ac:dyDescent="0.2"/>
    <row r="33" spans="7:7" x14ac:dyDescent="0.2">
      <c r="G33" s="799"/>
    </row>
    <row r="37" spans="7:7" hidden="1" x14ac:dyDescent="0.2"/>
    <row r="38" spans="7:7" hidden="1" x14ac:dyDescent="0.2"/>
  </sheetData>
  <mergeCells count="19">
    <mergeCell ref="B2:B3"/>
    <mergeCell ref="M2:M3"/>
    <mergeCell ref="N2:O2"/>
    <mergeCell ref="P2:Q2"/>
    <mergeCell ref="A2:A3"/>
    <mergeCell ref="C2:C3"/>
    <mergeCell ref="D2:D3"/>
    <mergeCell ref="E2:E3"/>
    <mergeCell ref="F2:F3"/>
    <mergeCell ref="L2:L3"/>
    <mergeCell ref="C1:F1"/>
    <mergeCell ref="G1:I1"/>
    <mergeCell ref="J1:L1"/>
    <mergeCell ref="R1:T1"/>
    <mergeCell ref="G2:G3"/>
    <mergeCell ref="H2:H3"/>
    <mergeCell ref="I2:I3"/>
    <mergeCell ref="J2:J3"/>
    <mergeCell ref="K2:K3"/>
  </mergeCells>
  <pageMargins left="0" right="0" top="0.39374999999999999" bottom="0.39374999999999999" header="0" footer="0"/>
  <pageSetup paperSize="0" scale="0" firstPageNumber="0" orientation="portrait" usePrinterDefaults="0" horizontalDpi="0" verticalDpi="0" copies="0"/>
  <headerFooter>
    <oddHeader>&amp;C&amp;A</oddHeader>
    <oddFooter>&amp;CPágina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6E7"/>
  </sheetPr>
  <dimension ref="A1:AMG192"/>
  <sheetViews>
    <sheetView topLeftCell="A55" zoomScale="80" zoomScaleNormal="80" workbookViewId="0">
      <selection activeCell="F89" sqref="F89"/>
    </sheetView>
  </sheetViews>
  <sheetFormatPr defaultRowHeight="14.25" x14ac:dyDescent="0.2"/>
  <cols>
    <col min="1" max="1" width="53.25" style="84" customWidth="1"/>
    <col min="2" max="2" width="10.75" style="84" customWidth="1"/>
    <col min="3" max="4" width="9" style="84"/>
    <col min="5" max="5" width="10.5" style="84" customWidth="1"/>
    <col min="6" max="6" width="10.75" style="84" customWidth="1"/>
    <col min="7" max="1021" width="9" style="84"/>
  </cols>
  <sheetData>
    <row r="1" spans="1:6" ht="15.75" x14ac:dyDescent="0.2">
      <c r="A1" s="1013" t="s">
        <v>452</v>
      </c>
      <c r="B1" s="1013"/>
      <c r="C1" s="1013"/>
      <c r="D1" s="1013"/>
      <c r="E1" s="1013"/>
      <c r="F1" s="1013"/>
    </row>
    <row r="2" spans="1:6" ht="15.75" x14ac:dyDescent="0.2">
      <c r="A2" s="1014" t="s">
        <v>453</v>
      </c>
      <c r="B2" s="1014"/>
      <c r="C2" s="1014"/>
      <c r="D2" s="1014"/>
      <c r="E2" s="1014"/>
      <c r="F2" s="1014"/>
    </row>
    <row r="3" spans="1:6" ht="15.75" customHeight="1" x14ac:dyDescent="0.2">
      <c r="A3" s="1014" t="s">
        <v>454</v>
      </c>
      <c r="B3" s="1014"/>
      <c r="C3" s="1014"/>
      <c r="D3" s="1014"/>
      <c r="E3" s="1014"/>
      <c r="F3" s="1014"/>
    </row>
    <row r="4" spans="1:6" ht="15.75" x14ac:dyDescent="0.2">
      <c r="A4" s="85"/>
      <c r="B4" s="86"/>
      <c r="C4" s="87" t="s">
        <v>455</v>
      </c>
      <c r="D4" s="236" t="s">
        <v>456</v>
      </c>
      <c r="E4" s="237" t="s">
        <v>457</v>
      </c>
      <c r="F4" s="237" t="s">
        <v>458</v>
      </c>
    </row>
    <row r="5" spans="1:6" x14ac:dyDescent="0.2">
      <c r="A5" s="88"/>
      <c r="B5" s="89" t="s">
        <v>459</v>
      </c>
      <c r="C5" s="90">
        <f>MC!D11</f>
        <v>1315.3636363636363</v>
      </c>
      <c r="D5" s="238">
        <f>MC!E11</f>
        <v>986.52272727272725</v>
      </c>
      <c r="E5" s="239">
        <f>MC!C11</f>
        <v>1446.9</v>
      </c>
      <c r="F5" s="239">
        <f>MC!D12</f>
        <v>1712.2181818181818</v>
      </c>
    </row>
    <row r="6" spans="1:6" x14ac:dyDescent="0.2">
      <c r="A6" s="88"/>
      <c r="B6" s="89" t="s">
        <v>460</v>
      </c>
      <c r="C6" s="91">
        <f>MC!D8</f>
        <v>44593</v>
      </c>
      <c r="D6" s="240">
        <f>MC!D8</f>
        <v>44593</v>
      </c>
      <c r="E6" s="241">
        <f>MC!D8</f>
        <v>44593</v>
      </c>
      <c r="F6" s="241">
        <f>MC!D8</f>
        <v>44593</v>
      </c>
    </row>
    <row r="7" spans="1:6" x14ac:dyDescent="0.2">
      <c r="A7" s="88"/>
      <c r="B7" s="89" t="s">
        <v>461</v>
      </c>
      <c r="C7" s="91" t="str">
        <f>MC!C8</f>
        <v>PR000321/2022</v>
      </c>
      <c r="D7" s="240" t="str">
        <f>MC!C8</f>
        <v>PR000321/2022</v>
      </c>
      <c r="E7" s="241" t="str">
        <f>MC!C8</f>
        <v>PR000321/2022</v>
      </c>
      <c r="F7" s="241" t="str">
        <f>MC!C8</f>
        <v>PR000321/2022</v>
      </c>
    </row>
    <row r="8" spans="1:6" x14ac:dyDescent="0.2">
      <c r="A8" s="88"/>
      <c r="B8" s="89" t="s">
        <v>462</v>
      </c>
      <c r="C8" s="92" t="str">
        <f>MC!E8</f>
        <v>5143-20</v>
      </c>
      <c r="D8" s="242" t="str">
        <f>MC!E8</f>
        <v>5143-20</v>
      </c>
      <c r="E8" s="243" t="str">
        <f>MC!E8</f>
        <v>5143-20</v>
      </c>
      <c r="F8" s="243" t="str">
        <f>MC!E8</f>
        <v>5143-20</v>
      </c>
    </row>
    <row r="9" spans="1:6" x14ac:dyDescent="0.2">
      <c r="A9" s="1010"/>
      <c r="B9" s="1010"/>
      <c r="C9" s="1010"/>
      <c r="D9" s="1010"/>
      <c r="E9" s="1010"/>
      <c r="F9" s="1010"/>
    </row>
    <row r="10" spans="1:6" ht="66.75" customHeight="1" x14ac:dyDescent="0.2">
      <c r="A10" s="790" t="s">
        <v>463</v>
      </c>
      <c r="B10" s="793" t="s">
        <v>464</v>
      </c>
      <c r="C10" s="792" t="s">
        <v>465</v>
      </c>
      <c r="D10" s="794" t="s">
        <v>466</v>
      </c>
      <c r="E10" s="795" t="s">
        <v>467</v>
      </c>
      <c r="F10" s="792" t="s">
        <v>468</v>
      </c>
    </row>
    <row r="11" spans="1:6" ht="15.75" customHeight="1" x14ac:dyDescent="0.2">
      <c r="A11" s="441" t="s">
        <v>469</v>
      </c>
      <c r="B11" s="641"/>
      <c r="C11" s="641"/>
      <c r="D11" s="641"/>
      <c r="E11" s="641"/>
      <c r="F11" s="791"/>
    </row>
    <row r="12" spans="1:6" ht="15.75" customHeight="1" x14ac:dyDescent="0.2">
      <c r="A12" s="443" t="s">
        <v>470</v>
      </c>
      <c r="B12" s="94" t="s">
        <v>471</v>
      </c>
      <c r="C12" s="94" t="s">
        <v>472</v>
      </c>
      <c r="D12" s="94" t="s">
        <v>472</v>
      </c>
      <c r="E12" s="246"/>
      <c r="F12" s="444" t="s">
        <v>472</v>
      </c>
    </row>
    <row r="13" spans="1:6" ht="15.75" customHeight="1" x14ac:dyDescent="0.2">
      <c r="A13" s="445" t="s">
        <v>473</v>
      </c>
      <c r="B13" s="97"/>
      <c r="C13" s="98">
        <f>C5</f>
        <v>1315.3636363636363</v>
      </c>
      <c r="D13" s="247">
        <f>D5</f>
        <v>986.52272727272725</v>
      </c>
      <c r="E13" s="247">
        <f>E5</f>
        <v>1446.9</v>
      </c>
      <c r="F13" s="446">
        <f>F5</f>
        <v>1712.2181818181818</v>
      </c>
    </row>
    <row r="14" spans="1:6" ht="15.75" customHeight="1" x14ac:dyDescent="0.2">
      <c r="A14" s="445" t="s">
        <v>474</v>
      </c>
      <c r="B14" s="100">
        <v>0</v>
      </c>
      <c r="C14" s="98">
        <f>C13*$B$14</f>
        <v>0</v>
      </c>
      <c r="D14" s="98">
        <f>D13*$B$14</f>
        <v>0</v>
      </c>
      <c r="E14" s="98">
        <f>E13*$B$14</f>
        <v>0</v>
      </c>
      <c r="F14" s="446">
        <f>F13*$B$14</f>
        <v>0</v>
      </c>
    </row>
    <row r="15" spans="1:6" ht="15.75" customHeight="1" x14ac:dyDescent="0.2">
      <c r="A15" s="445" t="s">
        <v>475</v>
      </c>
      <c r="B15" s="101"/>
      <c r="C15" s="98"/>
      <c r="D15" s="247"/>
      <c r="E15" s="247"/>
      <c r="F15" s="446"/>
    </row>
    <row r="16" spans="1:6" ht="15.75" customHeight="1" x14ac:dyDescent="0.2">
      <c r="A16" s="445" t="s">
        <v>476</v>
      </c>
      <c r="B16" s="101"/>
      <c r="C16" s="98"/>
      <c r="D16" s="247"/>
      <c r="E16" s="247"/>
      <c r="F16" s="446"/>
    </row>
    <row r="17" spans="1:6" ht="15.75" customHeight="1" x14ac:dyDescent="0.2">
      <c r="A17" s="445" t="s">
        <v>477</v>
      </c>
      <c r="B17" s="101"/>
      <c r="C17" s="98"/>
      <c r="D17" s="247"/>
      <c r="E17" s="247"/>
      <c r="F17" s="446"/>
    </row>
    <row r="18" spans="1:6" ht="15.75" customHeight="1" x14ac:dyDescent="0.2">
      <c r="A18" s="445" t="s">
        <v>478</v>
      </c>
      <c r="B18" s="102"/>
      <c r="C18" s="98"/>
      <c r="D18" s="98"/>
      <c r="E18" s="247">
        <f>MC!C13</f>
        <v>33.9</v>
      </c>
      <c r="F18" s="446"/>
    </row>
    <row r="19" spans="1:6" ht="15.75" customHeight="1" x14ac:dyDescent="0.2">
      <c r="A19" s="447" t="s">
        <v>479</v>
      </c>
      <c r="B19" s="104"/>
      <c r="C19" s="113">
        <f>SUM(C13:C18)</f>
        <v>1315.3636363636363</v>
      </c>
      <c r="D19" s="248">
        <f>SUM(D13:D18)</f>
        <v>986.52272727272725</v>
      </c>
      <c r="E19" s="248">
        <f>SUM(E13:E18)</f>
        <v>1480.8000000000002</v>
      </c>
      <c r="F19" s="448">
        <f>SUM(F13:F18)</f>
        <v>1712.2181818181818</v>
      </c>
    </row>
    <row r="20" spans="1:6" ht="15.75" customHeight="1" x14ac:dyDescent="0.2">
      <c r="A20" s="1019"/>
      <c r="B20" s="1007"/>
      <c r="C20" s="106"/>
      <c r="D20" s="249"/>
      <c r="E20" s="249"/>
      <c r="F20" s="450"/>
    </row>
    <row r="21" spans="1:6" ht="15.75" customHeight="1" x14ac:dyDescent="0.2">
      <c r="A21" s="1020" t="s">
        <v>480</v>
      </c>
      <c r="B21" s="1012"/>
      <c r="C21" s="1012"/>
      <c r="D21" s="1012"/>
      <c r="E21" s="1012"/>
      <c r="F21" s="1021"/>
    </row>
    <row r="22" spans="1:6" ht="15.75" customHeight="1" x14ac:dyDescent="0.2">
      <c r="A22" s="451" t="s">
        <v>481</v>
      </c>
      <c r="B22" s="109" t="s">
        <v>471</v>
      </c>
      <c r="C22" s="109" t="s">
        <v>472</v>
      </c>
      <c r="D22" s="109" t="s">
        <v>472</v>
      </c>
      <c r="E22" s="109" t="s">
        <v>472</v>
      </c>
      <c r="F22" s="452" t="s">
        <v>472</v>
      </c>
    </row>
    <row r="23" spans="1:6" ht="15.75" customHeight="1" x14ac:dyDescent="0.2">
      <c r="A23" s="453" t="s">
        <v>482</v>
      </c>
      <c r="B23" s="100">
        <f>1/12</f>
        <v>8.3333333333333329E-2</v>
      </c>
      <c r="C23" s="98">
        <f>ROUND($B23*C$19,2)</f>
        <v>109.61</v>
      </c>
      <c r="D23" s="98">
        <f>ROUND($B23*D$19,2)</f>
        <v>82.21</v>
      </c>
      <c r="E23" s="98">
        <f>ROUND($B23*E$19,2)</f>
        <v>123.4</v>
      </c>
      <c r="F23" s="446">
        <f>ROUND($B23*F$19,2)</f>
        <v>142.68</v>
      </c>
    </row>
    <row r="24" spans="1:6" ht="15.75" customHeight="1" x14ac:dyDescent="0.2">
      <c r="A24" s="453" t="s">
        <v>483</v>
      </c>
      <c r="B24" s="100">
        <f>1/3*1/12</f>
        <v>2.7777777777777776E-2</v>
      </c>
      <c r="C24" s="98">
        <f>C$19*$B$24</f>
        <v>36.537878787878782</v>
      </c>
      <c r="D24" s="98">
        <f>D$19*$B$24</f>
        <v>27.40340909090909</v>
      </c>
      <c r="E24" s="98">
        <f>E$19*$B$24</f>
        <v>41.133333333333333</v>
      </c>
      <c r="F24" s="446">
        <f>F$19*$B$24</f>
        <v>47.561616161616158</v>
      </c>
    </row>
    <row r="25" spans="1:6" ht="15.75" customHeight="1" x14ac:dyDescent="0.2">
      <c r="A25" s="447" t="s">
        <v>479</v>
      </c>
      <c r="B25" s="112">
        <f>SUM(B23:B24)</f>
        <v>0.1111111111111111</v>
      </c>
      <c r="C25" s="113">
        <f>SUM(C23:C24)</f>
        <v>146.14787878787877</v>
      </c>
      <c r="D25" s="113">
        <f>SUM(D23:D24)</f>
        <v>109.61340909090909</v>
      </c>
      <c r="E25" s="113">
        <f>SUM(E23:E24)</f>
        <v>164.53333333333333</v>
      </c>
      <c r="F25" s="448">
        <f>SUM(F23:F24)</f>
        <v>190.24161616161615</v>
      </c>
    </row>
    <row r="26" spans="1:6" ht="15.75" customHeight="1" x14ac:dyDescent="0.2">
      <c r="A26" s="451" t="s">
        <v>484</v>
      </c>
      <c r="B26" s="109" t="s">
        <v>471</v>
      </c>
      <c r="C26" s="109" t="s">
        <v>472</v>
      </c>
      <c r="D26" s="109" t="s">
        <v>472</v>
      </c>
      <c r="E26" s="109" t="s">
        <v>472</v>
      </c>
      <c r="F26" s="452" t="s">
        <v>472</v>
      </c>
    </row>
    <row r="27" spans="1:6" ht="15.75" customHeight="1" x14ac:dyDescent="0.2">
      <c r="A27" s="451" t="s">
        <v>485</v>
      </c>
      <c r="B27" s="115"/>
      <c r="C27" s="115"/>
      <c r="D27" s="115"/>
      <c r="E27" s="250"/>
      <c r="F27" s="454"/>
    </row>
    <row r="28" spans="1:6" ht="15.75" customHeight="1" x14ac:dyDescent="0.2">
      <c r="A28" s="453" t="s">
        <v>486</v>
      </c>
      <c r="B28" s="100">
        <v>0.2</v>
      </c>
      <c r="C28" s="117">
        <f t="shared" ref="C28:C35" si="0">ROUND(($C$19+$C$25)*B28,2)</f>
        <v>292.3</v>
      </c>
      <c r="D28" s="117">
        <f t="shared" ref="D28:D35" si="1">ROUND(($D$19+$D$25)*B28,2)</f>
        <v>219.23</v>
      </c>
      <c r="E28" s="117">
        <f t="shared" ref="E28:E35" si="2">ROUND(($E$19+$E$25)*B28,2)</f>
        <v>329.07</v>
      </c>
      <c r="F28" s="455">
        <f t="shared" ref="F28:F35" si="3">ROUND(($F$19+$F$25)*B28,2)</f>
        <v>380.49</v>
      </c>
    </row>
    <row r="29" spans="1:6" ht="15.75" customHeight="1" x14ac:dyDescent="0.2">
      <c r="A29" s="453" t="s">
        <v>487</v>
      </c>
      <c r="B29" s="100">
        <v>2.5000000000000001E-2</v>
      </c>
      <c r="C29" s="117">
        <f t="shared" si="0"/>
        <v>36.54</v>
      </c>
      <c r="D29" s="117">
        <f t="shared" si="1"/>
        <v>27.4</v>
      </c>
      <c r="E29" s="117">
        <f t="shared" si="2"/>
        <v>41.13</v>
      </c>
      <c r="F29" s="455">
        <f t="shared" si="3"/>
        <v>47.56</v>
      </c>
    </row>
    <row r="30" spans="1:6" ht="15.75" customHeight="1" x14ac:dyDescent="0.2">
      <c r="A30" s="453" t="s">
        <v>488</v>
      </c>
      <c r="B30" s="100">
        <v>0.03</v>
      </c>
      <c r="C30" s="117">
        <f t="shared" si="0"/>
        <v>43.85</v>
      </c>
      <c r="D30" s="117">
        <f t="shared" si="1"/>
        <v>32.880000000000003</v>
      </c>
      <c r="E30" s="117">
        <f t="shared" si="2"/>
        <v>49.36</v>
      </c>
      <c r="F30" s="455">
        <f t="shared" si="3"/>
        <v>57.07</v>
      </c>
    </row>
    <row r="31" spans="1:6" ht="15.75" customHeight="1" x14ac:dyDescent="0.2">
      <c r="A31" s="453" t="s">
        <v>489</v>
      </c>
      <c r="B31" s="100">
        <v>1.4999999999999999E-2</v>
      </c>
      <c r="C31" s="117">
        <f t="shared" si="0"/>
        <v>21.92</v>
      </c>
      <c r="D31" s="117">
        <f t="shared" si="1"/>
        <v>16.440000000000001</v>
      </c>
      <c r="E31" s="117">
        <f t="shared" si="2"/>
        <v>24.68</v>
      </c>
      <c r="F31" s="455">
        <f t="shared" si="3"/>
        <v>28.54</v>
      </c>
    </row>
    <row r="32" spans="1:6" ht="15.75" customHeight="1" x14ac:dyDescent="0.2">
      <c r="A32" s="453" t="s">
        <v>490</v>
      </c>
      <c r="B32" s="100">
        <v>0.01</v>
      </c>
      <c r="C32" s="117">
        <f t="shared" si="0"/>
        <v>14.62</v>
      </c>
      <c r="D32" s="117">
        <f t="shared" si="1"/>
        <v>10.96</v>
      </c>
      <c r="E32" s="117">
        <f t="shared" si="2"/>
        <v>16.45</v>
      </c>
      <c r="F32" s="455">
        <f t="shared" si="3"/>
        <v>19.02</v>
      </c>
    </row>
    <row r="33" spans="1:6" ht="15.75" customHeight="1" x14ac:dyDescent="0.2">
      <c r="A33" s="453" t="s">
        <v>491</v>
      </c>
      <c r="B33" s="100">
        <v>6.0000000000000001E-3</v>
      </c>
      <c r="C33" s="117">
        <f t="shared" si="0"/>
        <v>8.77</v>
      </c>
      <c r="D33" s="117">
        <f t="shared" si="1"/>
        <v>6.58</v>
      </c>
      <c r="E33" s="117">
        <f t="shared" si="2"/>
        <v>9.8699999999999992</v>
      </c>
      <c r="F33" s="455">
        <f t="shared" si="3"/>
        <v>11.41</v>
      </c>
    </row>
    <row r="34" spans="1:6" ht="15.75" customHeight="1" x14ac:dyDescent="0.2">
      <c r="A34" s="453" t="s">
        <v>492</v>
      </c>
      <c r="B34" s="100">
        <v>2E-3</v>
      </c>
      <c r="C34" s="117">
        <f t="shared" si="0"/>
        <v>2.92</v>
      </c>
      <c r="D34" s="117">
        <f t="shared" si="1"/>
        <v>2.19</v>
      </c>
      <c r="E34" s="117">
        <f t="shared" si="2"/>
        <v>3.29</v>
      </c>
      <c r="F34" s="455">
        <f t="shared" si="3"/>
        <v>3.8</v>
      </c>
    </row>
    <row r="35" spans="1:6" ht="15.75" customHeight="1" x14ac:dyDescent="0.2">
      <c r="A35" s="453" t="s">
        <v>493</v>
      </c>
      <c r="B35" s="100">
        <v>0.08</v>
      </c>
      <c r="C35" s="117">
        <f t="shared" si="0"/>
        <v>116.92</v>
      </c>
      <c r="D35" s="117">
        <f t="shared" si="1"/>
        <v>87.69</v>
      </c>
      <c r="E35" s="117">
        <f t="shared" si="2"/>
        <v>131.63</v>
      </c>
      <c r="F35" s="455">
        <f t="shared" si="3"/>
        <v>152.19999999999999</v>
      </c>
    </row>
    <row r="36" spans="1:6" ht="15.75" customHeight="1" x14ac:dyDescent="0.2">
      <c r="A36" s="447" t="s">
        <v>479</v>
      </c>
      <c r="B36" s="112">
        <f>SUM(B28:B35)</f>
        <v>0.36800000000000005</v>
      </c>
      <c r="C36" s="113">
        <f>SUM(C27:C35)</f>
        <v>537.84</v>
      </c>
      <c r="D36" s="113">
        <f>SUM(D27:D35)</f>
        <v>403.36999999999995</v>
      </c>
      <c r="E36" s="248">
        <f>SUM(E28:E35)</f>
        <v>605.48</v>
      </c>
      <c r="F36" s="448">
        <f>SUM(F27:F35)</f>
        <v>700.08999999999992</v>
      </c>
    </row>
    <row r="37" spans="1:6" ht="15.75" customHeight="1" x14ac:dyDescent="0.2">
      <c r="A37" s="451" t="s">
        <v>494</v>
      </c>
      <c r="B37" s="109" t="s">
        <v>495</v>
      </c>
      <c r="C37" s="109" t="s">
        <v>472</v>
      </c>
      <c r="D37" s="109" t="s">
        <v>472</v>
      </c>
      <c r="E37" s="109" t="s">
        <v>472</v>
      </c>
      <c r="F37" s="452" t="s">
        <v>472</v>
      </c>
    </row>
    <row r="38" spans="1:6" ht="15.75" customHeight="1" x14ac:dyDescent="0.2">
      <c r="A38" s="453" t="s">
        <v>496</v>
      </c>
      <c r="B38" s="119">
        <f>MC!D106</f>
        <v>4.1713636363636359</v>
      </c>
      <c r="C38" s="98">
        <f>ROUND(((2*22*$B$38)-0.06*C$13),2)</f>
        <v>104.62</v>
      </c>
      <c r="D38" s="98">
        <f>ROUND(((2*22*$B$38)-0.06*D$13),2)</f>
        <v>124.35</v>
      </c>
      <c r="E38" s="98">
        <f>ROUND(((2*22*$B$38)-0.06*E$13),2)</f>
        <v>96.73</v>
      </c>
      <c r="F38" s="446">
        <f>ROUND(((2*22*$B$38)-0.06*F$13),2)</f>
        <v>80.81</v>
      </c>
    </row>
    <row r="39" spans="1:6" ht="15.75" customHeight="1" x14ac:dyDescent="0.2">
      <c r="A39" s="453" t="s">
        <v>497</v>
      </c>
      <c r="B39" s="120"/>
      <c r="C39" s="117">
        <f>MC!E16</f>
        <v>400.68</v>
      </c>
      <c r="D39" s="117">
        <f>MC!E17</f>
        <v>400.68</v>
      </c>
      <c r="E39" s="117">
        <f>MC!E16</f>
        <v>400.68</v>
      </c>
      <c r="F39" s="455">
        <f>MC!E16</f>
        <v>400.68</v>
      </c>
    </row>
    <row r="40" spans="1:6" ht="15.75" customHeight="1" x14ac:dyDescent="0.2">
      <c r="A40" s="453" t="s">
        <v>498</v>
      </c>
      <c r="B40" s="100">
        <f>MC!C21</f>
        <v>1.4999999999999999E-2</v>
      </c>
      <c r="C40" s="117"/>
      <c r="D40" s="117"/>
      <c r="E40" s="117">
        <f>MC!E21</f>
        <v>477.47700000000003</v>
      </c>
      <c r="F40" s="455"/>
    </row>
    <row r="41" spans="1:6" ht="15.75" customHeight="1" x14ac:dyDescent="0.2">
      <c r="A41" s="453" t="s">
        <v>499</v>
      </c>
      <c r="B41" s="121">
        <f>MC!E23</f>
        <v>71.5</v>
      </c>
      <c r="C41" s="117">
        <f>B41</f>
        <v>71.5</v>
      </c>
      <c r="D41" s="117">
        <f>B41</f>
        <v>71.5</v>
      </c>
      <c r="E41" s="251">
        <f>B41</f>
        <v>71.5</v>
      </c>
      <c r="F41" s="455">
        <f>B41</f>
        <v>71.5</v>
      </c>
    </row>
    <row r="42" spans="1:6" ht="15.75" customHeight="1" x14ac:dyDescent="0.2">
      <c r="A42" s="453" t="s">
        <v>500</v>
      </c>
      <c r="B42" s="121">
        <f>MC!E24</f>
        <v>23.5</v>
      </c>
      <c r="C42" s="117">
        <f>B42</f>
        <v>23.5</v>
      </c>
      <c r="D42" s="117">
        <f>B42</f>
        <v>23.5</v>
      </c>
      <c r="E42" s="251">
        <f>B42</f>
        <v>23.5</v>
      </c>
      <c r="F42" s="455">
        <f>B42</f>
        <v>23.5</v>
      </c>
    </row>
    <row r="43" spans="1:6" ht="15.75" customHeight="1" x14ac:dyDescent="0.2">
      <c r="A43" s="453" t="s">
        <v>501</v>
      </c>
      <c r="B43" s="100"/>
      <c r="C43" s="117"/>
      <c r="D43" s="117"/>
      <c r="E43" s="251"/>
      <c r="F43" s="455"/>
    </row>
    <row r="44" spans="1:6" ht="15.75" customHeight="1" x14ac:dyDescent="0.2">
      <c r="A44" s="447" t="s">
        <v>479</v>
      </c>
      <c r="B44" s="104"/>
      <c r="C44" s="113">
        <f>SUM(C38:C43)</f>
        <v>600.29999999999995</v>
      </c>
      <c r="D44" s="113">
        <f>SUM(D38:D43)</f>
        <v>620.03</v>
      </c>
      <c r="E44" s="248">
        <f>SUM(E38:E43)</f>
        <v>1069.8870000000002</v>
      </c>
      <c r="F44" s="448">
        <f>SUM(F38:F43)</f>
        <v>576.49</v>
      </c>
    </row>
    <row r="45" spans="1:6" ht="15.75" customHeight="1" x14ac:dyDescent="0.2">
      <c r="A45" s="443" t="s">
        <v>502</v>
      </c>
      <c r="B45" s="94" t="s">
        <v>471</v>
      </c>
      <c r="C45" s="94" t="s">
        <v>472</v>
      </c>
      <c r="D45" s="94" t="s">
        <v>472</v>
      </c>
      <c r="E45" s="94" t="s">
        <v>472</v>
      </c>
      <c r="F45" s="444" t="s">
        <v>472</v>
      </c>
    </row>
    <row r="46" spans="1:6" ht="15.75" customHeight="1" x14ac:dyDescent="0.2">
      <c r="A46" s="453" t="s">
        <v>481</v>
      </c>
      <c r="B46" s="122">
        <f>B25</f>
        <v>0.1111111111111111</v>
      </c>
      <c r="C46" s="123">
        <f>C25</f>
        <v>146.14787878787877</v>
      </c>
      <c r="D46" s="123">
        <f>D25</f>
        <v>109.61340909090909</v>
      </c>
      <c r="E46" s="123">
        <f>E25</f>
        <v>164.53333333333333</v>
      </c>
      <c r="F46" s="456">
        <f>F25</f>
        <v>190.24161616161615</v>
      </c>
    </row>
    <row r="47" spans="1:6" ht="15.75" customHeight="1" x14ac:dyDescent="0.2">
      <c r="A47" s="453" t="s">
        <v>503</v>
      </c>
      <c r="B47" s="122">
        <f>B36</f>
        <v>0.36800000000000005</v>
      </c>
      <c r="C47" s="123">
        <f>C36</f>
        <v>537.84</v>
      </c>
      <c r="D47" s="123">
        <f>D36</f>
        <v>403.36999999999995</v>
      </c>
      <c r="E47" s="123">
        <f>E36</f>
        <v>605.48</v>
      </c>
      <c r="F47" s="456">
        <f>F36</f>
        <v>700.08999999999992</v>
      </c>
    </row>
    <row r="48" spans="1:6" ht="15.75" customHeight="1" x14ac:dyDescent="0.2">
      <c r="A48" s="453" t="s">
        <v>494</v>
      </c>
      <c r="B48" s="122"/>
      <c r="C48" s="123">
        <f>C44</f>
        <v>600.29999999999995</v>
      </c>
      <c r="D48" s="123">
        <f>D44</f>
        <v>620.03</v>
      </c>
      <c r="E48" s="123">
        <f>E44</f>
        <v>1069.8870000000002</v>
      </c>
      <c r="F48" s="456">
        <f>F44</f>
        <v>576.49</v>
      </c>
    </row>
    <row r="49" spans="1:6" ht="15.75" customHeight="1" x14ac:dyDescent="0.2">
      <c r="A49" s="447" t="s">
        <v>479</v>
      </c>
      <c r="B49" s="104"/>
      <c r="C49" s="113">
        <f>SUM(C46:C48)</f>
        <v>1284.2878787878788</v>
      </c>
      <c r="D49" s="113">
        <f>SUM(D46:D48)</f>
        <v>1133.0134090909091</v>
      </c>
      <c r="E49" s="248">
        <f>SUM(E46:E48)</f>
        <v>1839.9003333333335</v>
      </c>
      <c r="F49" s="448">
        <f>SUM(F46:F48)</f>
        <v>1466.821616161616</v>
      </c>
    </row>
    <row r="50" spans="1:6" ht="15.75" customHeight="1" x14ac:dyDescent="0.2">
      <c r="A50" s="1019"/>
      <c r="B50" s="1007"/>
      <c r="C50" s="106"/>
      <c r="D50" s="107"/>
      <c r="E50" s="107"/>
      <c r="F50" s="450"/>
    </row>
    <row r="51" spans="1:6" s="125" customFormat="1" ht="15.75" customHeight="1" x14ac:dyDescent="0.2">
      <c r="A51" s="1020" t="s">
        <v>504</v>
      </c>
      <c r="B51" s="1012"/>
      <c r="C51" s="1012"/>
      <c r="D51" s="1012"/>
      <c r="E51" s="1012"/>
      <c r="F51" s="1021"/>
    </row>
    <row r="52" spans="1:6" ht="15.75" customHeight="1" x14ac:dyDescent="0.2">
      <c r="A52" s="443" t="s">
        <v>505</v>
      </c>
      <c r="B52" s="94" t="s">
        <v>471</v>
      </c>
      <c r="C52" s="94" t="s">
        <v>472</v>
      </c>
      <c r="D52" s="94" t="s">
        <v>472</v>
      </c>
      <c r="E52" s="94" t="s">
        <v>472</v>
      </c>
      <c r="F52" s="444" t="s">
        <v>472</v>
      </c>
    </row>
    <row r="53" spans="1:6" ht="15.75" customHeight="1" x14ac:dyDescent="0.2">
      <c r="A53" s="451" t="s">
        <v>506</v>
      </c>
      <c r="B53" s="126"/>
      <c r="C53" s="126"/>
      <c r="D53" s="126"/>
      <c r="E53" s="252"/>
      <c r="F53" s="457"/>
    </row>
    <row r="54" spans="1:6" ht="15.75" customHeight="1" x14ac:dyDescent="0.2">
      <c r="A54" s="453" t="s">
        <v>507</v>
      </c>
      <c r="B54" s="122">
        <f>1/12*0.05</f>
        <v>4.1666666666666666E-3</v>
      </c>
      <c r="C54" s="128">
        <f>C19*$B54</f>
        <v>5.480681818181818</v>
      </c>
      <c r="D54" s="128">
        <f t="shared" ref="D54:F54" si="4">D19*$B54</f>
        <v>4.1105113636363635</v>
      </c>
      <c r="E54" s="128">
        <f t="shared" si="4"/>
        <v>6.1700000000000008</v>
      </c>
      <c r="F54" s="458">
        <f t="shared" si="4"/>
        <v>7.1342424242424238</v>
      </c>
    </row>
    <row r="55" spans="1:6" ht="15.75" customHeight="1" x14ac:dyDescent="0.2">
      <c r="A55" s="453" t="s">
        <v>508</v>
      </c>
      <c r="B55" s="122">
        <f>B35*B54</f>
        <v>3.3333333333333332E-4</v>
      </c>
      <c r="C55" s="128">
        <f>$B$55*C19</f>
        <v>0.43845454545454543</v>
      </c>
      <c r="D55" s="128">
        <f t="shared" ref="D55:F55" si="5">$B$55*D19</f>
        <v>0.32884090909090907</v>
      </c>
      <c r="E55" s="128">
        <f t="shared" si="5"/>
        <v>0.49360000000000004</v>
      </c>
      <c r="F55" s="458">
        <f t="shared" si="5"/>
        <v>0.57073939393939388</v>
      </c>
    </row>
    <row r="56" spans="1:6" ht="15.75" customHeight="1" x14ac:dyDescent="0.2">
      <c r="A56" s="453" t="s">
        <v>509</v>
      </c>
      <c r="B56" s="122">
        <v>0</v>
      </c>
      <c r="C56" s="128">
        <f>C35*$B56</f>
        <v>0</v>
      </c>
      <c r="D56" s="128">
        <f t="shared" ref="D56:F56" si="6">D35*$B56</f>
        <v>0</v>
      </c>
      <c r="E56" s="128">
        <f t="shared" si="6"/>
        <v>0</v>
      </c>
      <c r="F56" s="458">
        <f t="shared" si="6"/>
        <v>0</v>
      </c>
    </row>
    <row r="57" spans="1:6" ht="15.75" customHeight="1" x14ac:dyDescent="0.2">
      <c r="A57" s="453" t="s">
        <v>510</v>
      </c>
      <c r="B57" s="122">
        <f>1/12*1/30*7</f>
        <v>1.9444444444444441E-2</v>
      </c>
      <c r="C57" s="123">
        <f>C19*$B57</f>
        <v>25.576515151515146</v>
      </c>
      <c r="D57" s="123">
        <f t="shared" ref="D57:F57" si="7">D19*$B57</f>
        <v>19.182386363636361</v>
      </c>
      <c r="E57" s="123">
        <f t="shared" si="7"/>
        <v>28.793333333333333</v>
      </c>
      <c r="F57" s="456">
        <f t="shared" si="7"/>
        <v>33.293131313131312</v>
      </c>
    </row>
    <row r="58" spans="1:6" ht="15.75" customHeight="1" x14ac:dyDescent="0.2">
      <c r="A58" s="453" t="s">
        <v>511</v>
      </c>
      <c r="B58" s="122">
        <f>B36*B57</f>
        <v>7.1555555555555556E-3</v>
      </c>
      <c r="C58" s="123">
        <f>$B58*C19</f>
        <v>9.4121575757575755</v>
      </c>
      <c r="D58" s="123">
        <f t="shared" ref="D58:F58" si="8">$B58*D19</f>
        <v>7.0591181818181816</v>
      </c>
      <c r="E58" s="123">
        <f t="shared" si="8"/>
        <v>10.595946666666668</v>
      </c>
      <c r="F58" s="456">
        <f t="shared" si="8"/>
        <v>12.251872323232323</v>
      </c>
    </row>
    <row r="59" spans="1:6" ht="15.75" customHeight="1" x14ac:dyDescent="0.2">
      <c r="A59" s="453" t="s">
        <v>512</v>
      </c>
      <c r="B59" s="122">
        <f>B35*40/100*90/100*(1+1/12+1/12+1/3*1/12)</f>
        <v>3.4399999999999993E-2</v>
      </c>
      <c r="C59" s="123">
        <f>C19*$B59</f>
        <v>45.248509090909081</v>
      </c>
      <c r="D59" s="123">
        <f t="shared" ref="D59:F59" si="9">D19*$B59</f>
        <v>33.936381818181808</v>
      </c>
      <c r="E59" s="123">
        <f t="shared" si="9"/>
        <v>50.939519999999995</v>
      </c>
      <c r="F59" s="456">
        <f t="shared" si="9"/>
        <v>58.900305454545446</v>
      </c>
    </row>
    <row r="60" spans="1:6" ht="15.75" customHeight="1" x14ac:dyDescent="0.2">
      <c r="A60" s="447" t="s">
        <v>479</v>
      </c>
      <c r="B60" s="112">
        <f>SUM(B54:B59)</f>
        <v>6.5499999999999989E-2</v>
      </c>
      <c r="C60" s="129">
        <f>SUM(C54:C59)</f>
        <v>86.156318181818165</v>
      </c>
      <c r="D60" s="129">
        <f>SUM(D54:D59)</f>
        <v>64.617238636363624</v>
      </c>
      <c r="E60" s="253">
        <f>SUM(E54:E59)</f>
        <v>96.992400000000004</v>
      </c>
      <c r="F60" s="459">
        <f>SUM(F54:F59)</f>
        <v>112.1502909090909</v>
      </c>
    </row>
    <row r="61" spans="1:6" ht="15.75" customHeight="1" x14ac:dyDescent="0.2">
      <c r="A61" s="1019"/>
      <c r="B61" s="1007"/>
      <c r="C61" s="396"/>
      <c r="D61" s="396"/>
      <c r="E61" s="397"/>
      <c r="F61" s="460"/>
    </row>
    <row r="62" spans="1:6" ht="15.75" customHeight="1" x14ac:dyDescent="0.2">
      <c r="A62" s="1020" t="s">
        <v>513</v>
      </c>
      <c r="B62" s="1012"/>
      <c r="C62" s="1012"/>
      <c r="D62" s="1012"/>
      <c r="E62" s="1012"/>
      <c r="F62" s="1021"/>
    </row>
    <row r="63" spans="1:6" ht="15.75" customHeight="1" x14ac:dyDescent="0.2">
      <c r="A63" s="451" t="s">
        <v>41</v>
      </c>
      <c r="B63" s="109"/>
      <c r="C63" s="109"/>
      <c r="D63" s="109"/>
      <c r="E63" s="254"/>
      <c r="F63" s="452"/>
    </row>
    <row r="64" spans="1:6" ht="15.75" customHeight="1" x14ac:dyDescent="0.2">
      <c r="A64" s="453" t="s">
        <v>42</v>
      </c>
      <c r="B64" s="100">
        <f>1/12</f>
        <v>8.3333333333333329E-2</v>
      </c>
      <c r="C64" s="117">
        <f>B64*($C$19+$C$49+$C$60)</f>
        <v>223.81731944444442</v>
      </c>
      <c r="D64" s="117">
        <f>B64*($D$19+$D$49+$D$60)</f>
        <v>182.01278125000002</v>
      </c>
      <c r="E64" s="251">
        <f>B64*($E$19+$E$49+$E$60)</f>
        <v>284.80772777777781</v>
      </c>
      <c r="F64" s="455">
        <f>B64*($F$19+$F$49+$F$60)</f>
        <v>274.26584074074071</v>
      </c>
    </row>
    <row r="65" spans="1:6" ht="15.75" customHeight="1" x14ac:dyDescent="0.2">
      <c r="A65" s="453" t="s">
        <v>514</v>
      </c>
      <c r="B65" s="100">
        <f>MC!E51/30/12</f>
        <v>1.3538888888888885E-2</v>
      </c>
      <c r="C65" s="117">
        <f>B65*($C$19+$C$49+$C$60)</f>
        <v>36.362853832407396</v>
      </c>
      <c r="D65" s="117">
        <f>B65*($D$19+$D$49+$D$60)</f>
        <v>29.571009860416662</v>
      </c>
      <c r="E65" s="251">
        <f>B65*($E$19+$E$49+$E$60)</f>
        <v>46.271762172962958</v>
      </c>
      <c r="F65" s="455">
        <f>B65*($F$19+$F$49+$F$60)</f>
        <v>44.559056925679002</v>
      </c>
    </row>
    <row r="66" spans="1:6" ht="15.75" customHeight="1" x14ac:dyDescent="0.2">
      <c r="A66" s="453" t="s">
        <v>515</v>
      </c>
      <c r="B66" s="131">
        <f>(5/30)/12*MC!F53*MC!C54</f>
        <v>1.0764583333333333E-4</v>
      </c>
      <c r="C66" s="117">
        <f>B66*($C$19+$C$49+$C$60)</f>
        <v>0.28911602239236112</v>
      </c>
      <c r="D66" s="117">
        <f>B66*($D$19+$D$49+$D$60)</f>
        <v>0.23511501017968753</v>
      </c>
      <c r="E66" s="251">
        <f>B66*($E$19+$E$49+$E$60)</f>
        <v>0.3679003823569445</v>
      </c>
      <c r="F66" s="455">
        <f>B66*($F$19+$F$49+$F$60)</f>
        <v>0.35428289977685185</v>
      </c>
    </row>
    <row r="67" spans="1:6" ht="15.75" customHeight="1" x14ac:dyDescent="0.2">
      <c r="A67" s="453" t="s">
        <v>516</v>
      </c>
      <c r="B67" s="131">
        <f>MC!C56/30/12</f>
        <v>2.6830555555555553E-3</v>
      </c>
      <c r="C67" s="117">
        <f>B67*($C$19+$C$49+$C$60)</f>
        <v>7.2061716283796287</v>
      </c>
      <c r="D67" s="117">
        <f>B67*($D$19+$D$49+$D$60)</f>
        <v>5.8602048469791672</v>
      </c>
      <c r="E67" s="251">
        <f>B67*($E$19+$E$49+$E$60)</f>
        <v>9.1698594753518528</v>
      </c>
      <c r="F67" s="455">
        <f>B67*($F$19+$F$49+$F$60)</f>
        <v>8.8304458523827147</v>
      </c>
    </row>
    <row r="68" spans="1:6" ht="15.75" customHeight="1" x14ac:dyDescent="0.2">
      <c r="A68" s="453" t="s">
        <v>517</v>
      </c>
      <c r="B68" s="100"/>
      <c r="C68" s="117"/>
      <c r="D68" s="117"/>
      <c r="E68" s="251">
        <f>B68*($E$19+$E$49+$E$60)</f>
        <v>0</v>
      </c>
      <c r="F68" s="455"/>
    </row>
    <row r="69" spans="1:6" ht="15.75" customHeight="1" x14ac:dyDescent="0.2">
      <c r="A69" s="461" t="s">
        <v>518</v>
      </c>
      <c r="B69" s="133">
        <f>SUM(B64:B68)</f>
        <v>9.9662923611111107E-2</v>
      </c>
      <c r="C69" s="134">
        <f>SUM(C64:C68)</f>
        <v>267.67546092762382</v>
      </c>
      <c r="D69" s="134">
        <f>SUM(D64:D68)</f>
        <v>217.67911096757555</v>
      </c>
      <c r="E69" s="255">
        <f>SUM(E64:E68)</f>
        <v>340.61724980844957</v>
      </c>
      <c r="F69" s="462">
        <f>SUM(F64:F68)</f>
        <v>328.00962641857927</v>
      </c>
    </row>
    <row r="70" spans="1:6" ht="15.75" customHeight="1" x14ac:dyDescent="0.2">
      <c r="A70" s="451" t="s">
        <v>519</v>
      </c>
      <c r="B70" s="109"/>
      <c r="C70" s="109"/>
      <c r="D70" s="109"/>
      <c r="E70" s="254"/>
      <c r="F70" s="452"/>
    </row>
    <row r="71" spans="1:6" ht="15.75" customHeight="1" x14ac:dyDescent="0.2">
      <c r="A71" s="453" t="s">
        <v>520</v>
      </c>
      <c r="B71" s="100"/>
      <c r="C71" s="117"/>
      <c r="D71" s="117"/>
      <c r="E71" s="251"/>
      <c r="F71" s="455"/>
    </row>
    <row r="72" spans="1:6" ht="15.75" customHeight="1" x14ac:dyDescent="0.2">
      <c r="A72" s="461" t="s">
        <v>518</v>
      </c>
      <c r="B72" s="133"/>
      <c r="C72" s="134">
        <f>C71</f>
        <v>0</v>
      </c>
      <c r="D72" s="134"/>
      <c r="E72" s="255"/>
      <c r="F72" s="462"/>
    </row>
    <row r="73" spans="1:6" ht="15.75" customHeight="1" x14ac:dyDescent="0.2">
      <c r="A73" s="451" t="s">
        <v>63</v>
      </c>
      <c r="B73" s="109"/>
      <c r="C73" s="109"/>
      <c r="D73" s="109"/>
      <c r="E73" s="254"/>
      <c r="F73" s="452"/>
    </row>
    <row r="74" spans="1:6" ht="15.75" customHeight="1" x14ac:dyDescent="0.2">
      <c r="A74" s="453" t="s">
        <v>64</v>
      </c>
      <c r="B74" s="100">
        <f>120/30*MC!C59*MC!C60</f>
        <v>6.18624E-3</v>
      </c>
      <c r="C74" s="117">
        <f>(((C19*2)+ (C19*1/3))+(C36)+(C44-C38-C39))*$B$74</f>
        <v>22.901595452509092</v>
      </c>
      <c r="D74" s="117">
        <f>(((D19*2)+ (D19*1/3))+(D36)+(D44-D38-D39))*$B$74</f>
        <v>17.323057926981818</v>
      </c>
      <c r="E74" s="117">
        <f>(((E19*2)+ (E19*1/3))+(E36)+(E44-E38-E39))*$B$74</f>
        <v>28.661821159680002</v>
      </c>
      <c r="F74" s="455">
        <f>(((F19*2)+ (F19*1/3))+(F36)+(F44-F38-F39))*$B$74</f>
        <v>29.633733640145454</v>
      </c>
    </row>
    <row r="75" spans="1:6" ht="15.75" customHeight="1" x14ac:dyDescent="0.2">
      <c r="A75" s="461" t="s">
        <v>479</v>
      </c>
      <c r="B75" s="133"/>
      <c r="C75" s="134"/>
      <c r="D75" s="134"/>
      <c r="E75" s="255"/>
      <c r="F75" s="462"/>
    </row>
    <row r="76" spans="1:6" ht="15.75" customHeight="1" x14ac:dyDescent="0.2">
      <c r="A76" s="443" t="s">
        <v>521</v>
      </c>
      <c r="B76" s="94"/>
      <c r="C76" s="94"/>
      <c r="D76" s="94"/>
      <c r="E76" s="246"/>
      <c r="F76" s="444"/>
    </row>
    <row r="77" spans="1:6" ht="15.75" customHeight="1" x14ac:dyDescent="0.2">
      <c r="A77" s="453" t="s">
        <v>41</v>
      </c>
      <c r="B77" s="122">
        <f>B69</f>
        <v>9.9662923611111107E-2</v>
      </c>
      <c r="C77" s="123">
        <f>C69</f>
        <v>267.67546092762382</v>
      </c>
      <c r="D77" s="123">
        <f>D69</f>
        <v>217.67911096757555</v>
      </c>
      <c r="E77" s="123">
        <f>E69</f>
        <v>340.61724980844957</v>
      </c>
      <c r="F77" s="456">
        <f>F69</f>
        <v>328.00962641857927</v>
      </c>
    </row>
    <row r="78" spans="1:6" ht="15.75" customHeight="1" x14ac:dyDescent="0.2">
      <c r="A78" s="453" t="s">
        <v>519</v>
      </c>
      <c r="B78" s="122">
        <f>B72</f>
        <v>0</v>
      </c>
      <c r="C78" s="123">
        <f>C72</f>
        <v>0</v>
      </c>
      <c r="D78" s="123">
        <f>D72</f>
        <v>0</v>
      </c>
      <c r="E78" s="123">
        <f>E72</f>
        <v>0</v>
      </c>
      <c r="F78" s="456">
        <f>F72</f>
        <v>0</v>
      </c>
    </row>
    <row r="79" spans="1:6" ht="15.75" customHeight="1" x14ac:dyDescent="0.2">
      <c r="A79" s="453" t="s">
        <v>63</v>
      </c>
      <c r="B79" s="122">
        <f>B74</f>
        <v>6.18624E-3</v>
      </c>
      <c r="C79" s="123">
        <f>C74</f>
        <v>22.901595452509092</v>
      </c>
      <c r="D79" s="123">
        <f>D74</f>
        <v>17.323057926981818</v>
      </c>
      <c r="E79" s="123">
        <f>E74</f>
        <v>28.661821159680002</v>
      </c>
      <c r="F79" s="456">
        <f>F74</f>
        <v>29.633733640145454</v>
      </c>
    </row>
    <row r="80" spans="1:6" ht="15.75" customHeight="1" x14ac:dyDescent="0.2">
      <c r="A80" s="447" t="s">
        <v>479</v>
      </c>
      <c r="B80" s="104"/>
      <c r="C80" s="113">
        <f>SUM(C77:C79)</f>
        <v>290.57705638013289</v>
      </c>
      <c r="D80" s="113">
        <f>SUM(D77:D79)</f>
        <v>235.00216889455737</v>
      </c>
      <c r="E80" s="248">
        <f>SUM(E77:E79)</f>
        <v>369.27907096812959</v>
      </c>
      <c r="F80" s="448">
        <f>SUM(F77:F79)</f>
        <v>357.64336005872474</v>
      </c>
    </row>
    <row r="81" spans="1:6" ht="15.75" customHeight="1" x14ac:dyDescent="0.2">
      <c r="A81" s="449"/>
      <c r="B81" s="106"/>
      <c r="C81" s="106"/>
      <c r="D81" s="106"/>
      <c r="E81" s="249"/>
      <c r="F81" s="450"/>
    </row>
    <row r="82" spans="1:6" ht="15.75" customHeight="1" x14ac:dyDescent="0.2">
      <c r="A82" s="463" t="s">
        <v>522</v>
      </c>
      <c r="B82" s="257"/>
      <c r="C82" s="257"/>
      <c r="D82" s="257"/>
      <c r="E82" s="257"/>
      <c r="F82" s="464"/>
    </row>
    <row r="83" spans="1:6" ht="15.75" customHeight="1" x14ac:dyDescent="0.2">
      <c r="A83" s="443" t="s">
        <v>523</v>
      </c>
      <c r="B83" s="94" t="s">
        <v>495</v>
      </c>
      <c r="C83" s="94" t="s">
        <v>472</v>
      </c>
      <c r="D83" s="94" t="s">
        <v>472</v>
      </c>
      <c r="E83" s="94" t="s">
        <v>472</v>
      </c>
      <c r="F83" s="444" t="s">
        <v>472</v>
      </c>
    </row>
    <row r="84" spans="1:6" ht="15.75" customHeight="1" x14ac:dyDescent="0.2">
      <c r="A84" s="768" t="s">
        <v>524</v>
      </c>
      <c r="B84" s="769">
        <f>Insumos!G117</f>
        <v>27.875416666666666</v>
      </c>
      <c r="C84" s="779">
        <f>B84</f>
        <v>27.875416666666666</v>
      </c>
      <c r="D84" s="780">
        <f>B84</f>
        <v>27.875416666666666</v>
      </c>
      <c r="E84" s="781">
        <f>B84</f>
        <v>27.875416666666666</v>
      </c>
      <c r="F84" s="778">
        <f>Insumos!G118</f>
        <v>34.030416666666667</v>
      </c>
    </row>
    <row r="85" spans="1:6" ht="15.75" customHeight="1" x14ac:dyDescent="0.2">
      <c r="A85" s="770" t="s">
        <v>525</v>
      </c>
      <c r="B85" s="772">
        <f>Insumos!G59</f>
        <v>461.23111666666665</v>
      </c>
      <c r="C85" s="783">
        <f>B85</f>
        <v>461.23111666666665</v>
      </c>
      <c r="D85" s="783">
        <f>B85</f>
        <v>461.23111666666665</v>
      </c>
      <c r="E85" s="774" t="s">
        <v>432</v>
      </c>
      <c r="F85" s="776" t="s">
        <v>432</v>
      </c>
    </row>
    <row r="86" spans="1:6" ht="15.75" customHeight="1" x14ac:dyDescent="0.2">
      <c r="A86" s="770" t="s">
        <v>526</v>
      </c>
      <c r="B86" s="772">
        <f>Insumos!K99</f>
        <v>17.12480864197531</v>
      </c>
      <c r="C86" s="783">
        <f>B86</f>
        <v>17.12480864197531</v>
      </c>
      <c r="D86" s="783">
        <f>B86</f>
        <v>17.12480864197531</v>
      </c>
      <c r="E86" s="774" t="s">
        <v>432</v>
      </c>
      <c r="F86" s="776" t="s">
        <v>432</v>
      </c>
    </row>
    <row r="87" spans="1:6" ht="15.75" customHeight="1" x14ac:dyDescent="0.2">
      <c r="A87" s="770" t="s">
        <v>527</v>
      </c>
      <c r="B87" s="771" t="s">
        <v>432</v>
      </c>
      <c r="C87" s="785">
        <f>Insumos!I129</f>
        <v>36.666666666666671</v>
      </c>
      <c r="D87" s="785">
        <f>Insumos!H129</f>
        <v>25.446666666666665</v>
      </c>
      <c r="E87" s="774" t="s">
        <v>432</v>
      </c>
      <c r="F87" s="776" t="s">
        <v>432</v>
      </c>
    </row>
    <row r="88" spans="1:6" ht="15.75" customHeight="1" x14ac:dyDescent="0.2">
      <c r="A88" s="770" t="s">
        <v>528</v>
      </c>
      <c r="B88" s="775">
        <v>0.12</v>
      </c>
      <c r="C88" s="773" t="s">
        <v>432</v>
      </c>
      <c r="D88" s="773" t="s">
        <v>432</v>
      </c>
      <c r="E88" s="784">
        <f>B88*(E84+E123+E124)</f>
        <v>401.82909000000001</v>
      </c>
      <c r="F88" s="776" t="s">
        <v>432</v>
      </c>
    </row>
    <row r="89" spans="1:6" ht="15.75" customHeight="1" x14ac:dyDescent="0.2">
      <c r="A89" s="770" t="s">
        <v>529</v>
      </c>
      <c r="B89" s="772">
        <f>Insumos!H145</f>
        <v>50.323333333333331</v>
      </c>
      <c r="C89" s="773" t="s">
        <v>432</v>
      </c>
      <c r="D89" s="773" t="s">
        <v>432</v>
      </c>
      <c r="E89" s="774" t="s">
        <v>432</v>
      </c>
      <c r="F89" s="778">
        <f>Insumos!H145</f>
        <v>50.323333333333331</v>
      </c>
    </row>
    <row r="90" spans="1:6" ht="15.75" customHeight="1" x14ac:dyDescent="0.2">
      <c r="A90" s="770" t="s">
        <v>530</v>
      </c>
      <c r="B90" s="771" t="s">
        <v>432</v>
      </c>
      <c r="C90" s="773" t="s">
        <v>432</v>
      </c>
      <c r="D90" s="773" t="s">
        <v>432</v>
      </c>
      <c r="E90" s="774" t="s">
        <v>432</v>
      </c>
      <c r="F90" s="777" t="s">
        <v>88</v>
      </c>
    </row>
    <row r="91" spans="1:6" ht="15.75" customHeight="1" x14ac:dyDescent="0.2">
      <c r="A91" s="461" t="s">
        <v>479</v>
      </c>
      <c r="B91" s="136"/>
      <c r="C91" s="134">
        <f>SUM(C84:C90)</f>
        <v>542.89800864197537</v>
      </c>
      <c r="D91" s="134">
        <f t="shared" ref="D91:F91" si="10">SUM(D84:D90)</f>
        <v>531.67800864197534</v>
      </c>
      <c r="E91" s="134">
        <f t="shared" si="10"/>
        <v>429.7045066666667</v>
      </c>
      <c r="F91" s="462">
        <f t="shared" si="10"/>
        <v>84.353749999999991</v>
      </c>
    </row>
    <row r="92" spans="1:6" ht="15.75" customHeight="1" x14ac:dyDescent="0.2">
      <c r="A92" s="1019"/>
      <c r="B92" s="1007"/>
      <c r="C92" s="137"/>
      <c r="D92" s="137"/>
      <c r="E92" s="259"/>
      <c r="F92" s="466"/>
    </row>
    <row r="93" spans="1:6" ht="15.75" customHeight="1" x14ac:dyDescent="0.2">
      <c r="A93" s="463" t="s">
        <v>531</v>
      </c>
      <c r="B93" s="257"/>
      <c r="C93" s="257"/>
      <c r="D93" s="257"/>
      <c r="E93" s="257"/>
      <c r="F93" s="464"/>
    </row>
    <row r="94" spans="1:6" ht="15.75" customHeight="1" x14ac:dyDescent="0.2">
      <c r="A94" s="443" t="s">
        <v>532</v>
      </c>
      <c r="B94" s="94" t="s">
        <v>471</v>
      </c>
      <c r="C94" s="94" t="s">
        <v>472</v>
      </c>
      <c r="D94" s="94" t="s">
        <v>472</v>
      </c>
      <c r="E94" s="94" t="s">
        <v>472</v>
      </c>
      <c r="F94" s="444"/>
    </row>
    <row r="95" spans="1:6" ht="15.75" customHeight="1" x14ac:dyDescent="0.2">
      <c r="A95" s="445" t="s">
        <v>69</v>
      </c>
      <c r="B95" s="100">
        <f>MC!C63</f>
        <v>0.03</v>
      </c>
      <c r="C95" s="117">
        <f>($C$19+$C$49+$C$60+$C$80+$C$91)*$B$95</f>
        <v>105.57848695066325</v>
      </c>
      <c r="D95" s="117">
        <f>($D$19+$D$49+$D$60+$D$80+$D$91)*$B$95</f>
        <v>88.52500657609599</v>
      </c>
      <c r="E95" s="251">
        <f>($E$19+$E$49+$E$60+$E$80+$E$91)*$B$95</f>
        <v>126.50028932904388</v>
      </c>
      <c r="F95" s="455">
        <f>($F$19+$F$49+$F$60+$F$80+$F$91)*$B$95</f>
        <v>111.99561596842841</v>
      </c>
    </row>
    <row r="96" spans="1:6" ht="15.75" customHeight="1" x14ac:dyDescent="0.2">
      <c r="A96" s="445" t="s">
        <v>70</v>
      </c>
      <c r="B96" s="100">
        <f>MC!C64</f>
        <v>6.7900000000000002E-2</v>
      </c>
      <c r="C96" s="117">
        <f>($C$19+$C$49+$C$60+$C$80+$C$91+C95)*B96</f>
        <v>246.12808806228455</v>
      </c>
      <c r="D96" s="117">
        <f>($D$19+$D$49+$D$60+$D$80+$D$91+$D$95)*$B$96</f>
        <v>206.37244616374753</v>
      </c>
      <c r="E96" s="117">
        <f>($E$19+$E$49+$E$60+$E$80+$E$91+$E$95)*$B$96</f>
        <v>294.90169116017807</v>
      </c>
      <c r="F96" s="455">
        <f>($F$19+$F$49+$F$60+$F$80+$F$91+F95)*$B$96</f>
        <v>261.08791313279926</v>
      </c>
    </row>
    <row r="97" spans="1:7" ht="15.75" customHeight="1" x14ac:dyDescent="0.2">
      <c r="A97" s="467" t="s">
        <v>533</v>
      </c>
      <c r="B97" s="261">
        <f>B98+B99</f>
        <v>0.1125</v>
      </c>
      <c r="C97" s="262">
        <f>((C19+C49+C60+C80+C91+C95+C96)/(1-($B$97)))*$B$97</f>
        <v>490.68880648331702</v>
      </c>
      <c r="D97" s="262">
        <f>((D19+D49+D60+D80+D91+D95+D96)/(1-($B$97)))*$B$97</f>
        <v>411.43069080968161</v>
      </c>
      <c r="E97" s="262">
        <f>((E19+E49+E60+E80+E91+E95+E96)/(1-($B$97)))*$B$97</f>
        <v>587.92541722698832</v>
      </c>
      <c r="F97" s="468">
        <f>((F19+F49+F60+F80+F91+F95+F96)/(1-($B$97)))*$B$97</f>
        <v>520.51319087943068</v>
      </c>
    </row>
    <row r="98" spans="1:7" ht="15.75" customHeight="1" x14ac:dyDescent="0.2">
      <c r="A98" s="445" t="s">
        <v>534</v>
      </c>
      <c r="B98" s="100">
        <f>0.0165+0.076</f>
        <v>9.2499999999999999E-2</v>
      </c>
      <c r="C98" s="263">
        <f>((C$19+C$49+C$60+C$80+C$91+C$95+C$96)/(1-($B$97)))*$B$98</f>
        <v>403.45524088628287</v>
      </c>
      <c r="D98" s="263">
        <f t="shared" ref="D98:F98" si="11">((D$19+D$49+D$60+D$80+D$91+D$95+D$96)/(1-($B$97)))*$B$98</f>
        <v>338.28745688796045</v>
      </c>
      <c r="E98" s="263">
        <f t="shared" si="11"/>
        <v>483.40534305330146</v>
      </c>
      <c r="F98" s="469">
        <f t="shared" si="11"/>
        <v>427.9775125008652</v>
      </c>
    </row>
    <row r="99" spans="1:7" ht="15.75" customHeight="1" x14ac:dyDescent="0.2">
      <c r="A99" s="445" t="s">
        <v>535</v>
      </c>
      <c r="B99" s="100">
        <v>0.02</v>
      </c>
      <c r="C99" s="264">
        <f>((C$19+C$49+C$60+C$80+C$91+C$95+C$96)/(1-($B$97)))*$B$99</f>
        <v>87.233565597034143</v>
      </c>
      <c r="D99" s="264">
        <f t="shared" ref="D99:F99" si="12">((D$19+D$49+D$60+D$80+D$91+D$95+D$96)/(1-($B$97)))*$B$99</f>
        <v>73.143233921721176</v>
      </c>
      <c r="E99" s="264">
        <f t="shared" si="12"/>
        <v>104.52007417368681</v>
      </c>
      <c r="F99" s="470">
        <f t="shared" si="12"/>
        <v>92.53567837856545</v>
      </c>
    </row>
    <row r="100" spans="1:7" ht="15.75" customHeight="1" x14ac:dyDescent="0.2">
      <c r="A100" s="467" t="s">
        <v>606</v>
      </c>
      <c r="B100" s="261">
        <f>B101+B102</f>
        <v>0.1225</v>
      </c>
      <c r="C100" s="262">
        <f>((C19+C49+C60+C80+C91+C95+C96)/(1-($B$100)))*$B$100</f>
        <v>540.39454186624243</v>
      </c>
      <c r="D100" s="262">
        <f t="shared" ref="D100:F100" si="13">((D19+D49+D60+D80+D91+D95+D96)/(1-($B$100)))*$B$100</f>
        <v>453.10774717533468</v>
      </c>
      <c r="E100" s="262">
        <f t="shared" si="13"/>
        <v>647.48101504675287</v>
      </c>
      <c r="F100" s="468">
        <f t="shared" si="13"/>
        <v>573.24007314641938</v>
      </c>
    </row>
    <row r="101" spans="1:7" ht="15.75" customHeight="1" x14ac:dyDescent="0.2">
      <c r="A101" s="445" t="s">
        <v>534</v>
      </c>
      <c r="B101" s="100">
        <f>0.0165+0.076</f>
        <v>9.2499999999999999E-2</v>
      </c>
      <c r="C101" s="263">
        <f>((C19+C49+C60+C80+C91+C95+C96)/(1-($B$100)))*$B$101</f>
        <v>408.05302140920344</v>
      </c>
      <c r="D101" s="263">
        <f t="shared" ref="D101:F101" si="14">((D19+D49+D60+D80+D91+D95+D96)/(1-($B$100)))*$B$101</f>
        <v>342.14258460178331</v>
      </c>
      <c r="E101" s="263">
        <f t="shared" si="14"/>
        <v>488.91423585162971</v>
      </c>
      <c r="F101" s="469">
        <f t="shared" si="14"/>
        <v>432.85474911056161</v>
      </c>
    </row>
    <row r="102" spans="1:7" ht="15.75" customHeight="1" x14ac:dyDescent="0.2">
      <c r="A102" s="445" t="s">
        <v>535</v>
      </c>
      <c r="B102" s="100">
        <v>0.03</v>
      </c>
      <c r="C102" s="264">
        <f>((C$19+C$49+C$60+C$80+C$91+C$95+C$96)/(1-($B$100)))*$B$102</f>
        <v>132.34152045703897</v>
      </c>
      <c r="D102" s="264">
        <f t="shared" ref="D102:F102" si="15">((D$19+D$49+D$60+D$80+D$91+D$95+D$96)/(1-($B$100)))*$B$102</f>
        <v>110.96516257355134</v>
      </c>
      <c r="E102" s="264">
        <f t="shared" si="15"/>
        <v>158.56677919512313</v>
      </c>
      <c r="F102" s="470">
        <f t="shared" si="15"/>
        <v>140.38532403585782</v>
      </c>
    </row>
    <row r="103" spans="1:7" ht="15.75" customHeight="1" x14ac:dyDescent="0.2">
      <c r="A103" s="467" t="s">
        <v>607</v>
      </c>
      <c r="B103" s="261">
        <f>B104+B105</f>
        <v>0.1245</v>
      </c>
      <c r="C103" s="262">
        <f>((C19+C49+C60+C80+C91+C95+C96)/(1-($B$103)))*$B$103</f>
        <v>550.4719468125237</v>
      </c>
      <c r="D103" s="262">
        <f t="shared" ref="D103:F103" si="16">((D19+D49+D60+D80+D91+D95+D96)/(1-($B$103)))*$B$103</f>
        <v>461.55740737511019</v>
      </c>
      <c r="E103" s="262">
        <f t="shared" si="16"/>
        <v>659.5553938166081</v>
      </c>
      <c r="F103" s="468">
        <f t="shared" si="16"/>
        <v>583.92998931134298</v>
      </c>
    </row>
    <row r="104" spans="1:7" ht="15.75" customHeight="1" x14ac:dyDescent="0.2">
      <c r="A104" s="445" t="s">
        <v>534</v>
      </c>
      <c r="B104" s="100">
        <f>0.0165+0.076</f>
        <v>9.2499999999999999E-2</v>
      </c>
      <c r="C104" s="263">
        <f>((C19+C49+C60+C80+C91+C95+C96)/(1-($B$103)))*$B$104</f>
        <v>408.98518136673448</v>
      </c>
      <c r="D104" s="263">
        <f t="shared" ref="D104:F104" si="17">((D19+D49+D60+D80+D91+D95+D96)/(1-($B$103)))*$B$104</f>
        <v>342.92417817026256</v>
      </c>
      <c r="E104" s="263">
        <f t="shared" si="17"/>
        <v>490.03111588784134</v>
      </c>
      <c r="F104" s="469">
        <f t="shared" si="17"/>
        <v>433.84356635581702</v>
      </c>
    </row>
    <row r="105" spans="1:7" ht="15.75" customHeight="1" x14ac:dyDescent="0.2">
      <c r="A105" s="445" t="s">
        <v>535</v>
      </c>
      <c r="B105" s="100">
        <v>3.2000000000000001E-2</v>
      </c>
      <c r="C105" s="264">
        <f>((C19+C49+C60+C80+C91+C95+C96)/(1-($B$103)))*$B$105</f>
        <v>141.48676544578925</v>
      </c>
      <c r="D105" s="264">
        <f t="shared" ref="D105:F105" si="18">((D19+D49+D60+D80+D91+D95+D96)/(1-($B$103)))*$B$105</f>
        <v>118.63322920484759</v>
      </c>
      <c r="E105" s="264">
        <f t="shared" si="18"/>
        <v>169.52427792876674</v>
      </c>
      <c r="F105" s="470">
        <f t="shared" si="18"/>
        <v>150.0864229555259</v>
      </c>
      <c r="G105" s="265"/>
    </row>
    <row r="106" spans="1:7" ht="15.75" customHeight="1" x14ac:dyDescent="0.2">
      <c r="A106" s="467" t="s">
        <v>538</v>
      </c>
      <c r="B106" s="261">
        <f>B107+B108</f>
        <v>0.13250000000000001</v>
      </c>
      <c r="C106" s="262">
        <f>((C19+C49+C60+C80+C91+C95+C96)/(1-($B$106)))*$B$106</f>
        <v>591.24623080266474</v>
      </c>
      <c r="D106" s="262">
        <f t="shared" ref="D106:F106" si="19">((D19+D49+D60+D80+D91+D95+D96)/(1-($B$106)))*$B$106</f>
        <v>495.74565786642074</v>
      </c>
      <c r="E106" s="262">
        <f t="shared" si="19"/>
        <v>708.4096525857052</v>
      </c>
      <c r="F106" s="468">
        <f t="shared" si="19"/>
        <v>627.18256076826685</v>
      </c>
    </row>
    <row r="107" spans="1:7" ht="15.75" customHeight="1" x14ac:dyDescent="0.2">
      <c r="A107" s="445" t="s">
        <v>534</v>
      </c>
      <c r="B107" s="100">
        <f>0.0165+0.076</f>
        <v>9.2499999999999999E-2</v>
      </c>
      <c r="C107" s="263">
        <f>((C19+C49+C60+C80+C91+C95+C96)/(1-($B$106)))*$B$107</f>
        <v>412.75680263582257</v>
      </c>
      <c r="D107" s="263">
        <f t="shared" ref="D107:F107" si="20">((D19+D49+D60+D80+D91+D95+D96)/(1-($B$106)))*$B$107</f>
        <v>346.08659134070882</v>
      </c>
      <c r="E107" s="263">
        <f t="shared" si="20"/>
        <v>494.55013482398283</v>
      </c>
      <c r="F107" s="469">
        <f t="shared" si="20"/>
        <v>437.84442921558247</v>
      </c>
    </row>
    <row r="108" spans="1:7" ht="15.75" customHeight="1" x14ac:dyDescent="0.2">
      <c r="A108" s="445" t="s">
        <v>535</v>
      </c>
      <c r="B108" s="100">
        <v>0.04</v>
      </c>
      <c r="C108" s="264">
        <f>((C19+C49+C60+C80+C91+C95+C96)/(1-($B$106)))*$B$108</f>
        <v>178.4894281668422</v>
      </c>
      <c r="D108" s="264">
        <f t="shared" ref="D108:F108" si="21">((D19+D49+D60+D80+D91+D95+D96)/(1-($B$106)))*$B$108</f>
        <v>149.65906652571192</v>
      </c>
      <c r="E108" s="264">
        <f t="shared" si="21"/>
        <v>213.85951776172232</v>
      </c>
      <c r="F108" s="470">
        <f t="shared" si="21"/>
        <v>189.33813155268433</v>
      </c>
    </row>
    <row r="109" spans="1:7" ht="15.75" customHeight="1" x14ac:dyDescent="0.2">
      <c r="A109" s="467" t="s">
        <v>539</v>
      </c>
      <c r="B109" s="261">
        <f>B110+B111</f>
        <v>0.14250000000000002</v>
      </c>
      <c r="C109" s="262">
        <f>((C19+C49+C60+C80+C91+C95+C96)/(1-($B$109)))*$B$109</f>
        <v>643.28396496209405</v>
      </c>
      <c r="D109" s="262">
        <f t="shared" ref="D109:F109" si="22">((D19+D49+D60+D80+D91+D95+D96)/(1-($B$109)))*$B$109</f>
        <v>539.37803877770705</v>
      </c>
      <c r="E109" s="262">
        <f t="shared" si="22"/>
        <v>770.75936621886046</v>
      </c>
      <c r="F109" s="468">
        <f t="shared" si="22"/>
        <v>682.38318221219822</v>
      </c>
    </row>
    <row r="110" spans="1:7" ht="15.75" customHeight="1" x14ac:dyDescent="0.2">
      <c r="A110" s="445" t="s">
        <v>534</v>
      </c>
      <c r="B110" s="100">
        <f>0.0165+0.076</f>
        <v>9.2499999999999999E-2</v>
      </c>
      <c r="C110" s="263">
        <f>((C19+C49+C60+C80+C91+C95+C96)/(1-($B$109)))*$B$110</f>
        <v>417.57029304556977</v>
      </c>
      <c r="D110" s="263">
        <f t="shared" ref="D110:F110" si="23">((D19+D49+D60+D80+D91+D95+D96)/(1-($B$109)))*$B$110</f>
        <v>350.1225865750028</v>
      </c>
      <c r="E110" s="263">
        <f t="shared" si="23"/>
        <v>500.3174833350497</v>
      </c>
      <c r="F110" s="469">
        <f t="shared" si="23"/>
        <v>442.95048669914615</v>
      </c>
    </row>
    <row r="111" spans="1:7" ht="15.75" customHeight="1" x14ac:dyDescent="0.2">
      <c r="A111" s="445" t="s">
        <v>535</v>
      </c>
      <c r="B111" s="266">
        <v>0.05</v>
      </c>
      <c r="C111" s="264">
        <f>((C19+C49+C60+C80+C91+C95+C96)/(1-($B$109)))*$B$111</f>
        <v>225.71367191652422</v>
      </c>
      <c r="D111" s="264">
        <f t="shared" ref="D111:F111" si="24">((D19+D49+D60+D80+D91+D95+D96)/(1-($B$109)))*$B$111</f>
        <v>189.25545220270422</v>
      </c>
      <c r="E111" s="264">
        <f t="shared" si="24"/>
        <v>270.44188288381065</v>
      </c>
      <c r="F111" s="470">
        <f t="shared" si="24"/>
        <v>239.43269551305198</v>
      </c>
    </row>
    <row r="112" spans="1:7" ht="15.75" customHeight="1" x14ac:dyDescent="0.2">
      <c r="A112" s="1022" t="s">
        <v>540</v>
      </c>
      <c r="B112" s="267">
        <v>0.02</v>
      </c>
      <c r="C112" s="268">
        <f>C95+C96+C97</f>
        <v>842.3953814962648</v>
      </c>
      <c r="D112" s="268">
        <f>D95+D96+D97</f>
        <v>706.32814354952507</v>
      </c>
      <c r="E112" s="268">
        <f>E95+E96+E97</f>
        <v>1009.3273977162103</v>
      </c>
      <c r="F112" s="471">
        <f>F95+F96+F97</f>
        <v>893.59671998065835</v>
      </c>
    </row>
    <row r="113" spans="1:7" ht="15.75" customHeight="1" x14ac:dyDescent="0.2">
      <c r="A113" s="1022"/>
      <c r="B113" s="269">
        <v>2.5000000000000001E-2</v>
      </c>
      <c r="C113" s="270">
        <f>C95+C96+C100</f>
        <v>892.10111687919016</v>
      </c>
      <c r="D113" s="270">
        <f>D95+D96+D100</f>
        <v>748.0051999151782</v>
      </c>
      <c r="E113" s="270">
        <f>E95+E96+E100</f>
        <v>1068.8829955359747</v>
      </c>
      <c r="F113" s="472">
        <f>F95+F96+F100</f>
        <v>946.32360224764705</v>
      </c>
    </row>
    <row r="114" spans="1:7" ht="15.75" customHeight="1" x14ac:dyDescent="0.2">
      <c r="A114" s="1022"/>
      <c r="B114" s="269">
        <v>0.03</v>
      </c>
      <c r="C114" s="270">
        <f>C95+C96+C103</f>
        <v>902.17852182547153</v>
      </c>
      <c r="D114" s="270">
        <f>D95+D96+D103</f>
        <v>756.4548601149537</v>
      </c>
      <c r="E114" s="270">
        <f>E95+E96+E103</f>
        <v>1080.9573743058299</v>
      </c>
      <c r="F114" s="472">
        <f>F95+F96+F103</f>
        <v>957.01351841257065</v>
      </c>
      <c r="G114" s="265"/>
    </row>
    <row r="115" spans="1:7" ht="15.75" customHeight="1" x14ac:dyDescent="0.2">
      <c r="A115" s="1022"/>
      <c r="B115" s="269">
        <v>0.04</v>
      </c>
      <c r="C115" s="270">
        <f>C95+C96+C106</f>
        <v>942.95280581561246</v>
      </c>
      <c r="D115" s="270">
        <f>D95+D96+D106</f>
        <v>790.64311060626426</v>
      </c>
      <c r="E115" s="270">
        <f>E95+E96+E106</f>
        <v>1129.8116330749272</v>
      </c>
      <c r="F115" s="472">
        <f>F95+F96+F106</f>
        <v>1000.2660898694945</v>
      </c>
    </row>
    <row r="116" spans="1:7" ht="15.75" customHeight="1" x14ac:dyDescent="0.2">
      <c r="A116" s="1022"/>
      <c r="B116" s="271">
        <v>0.05</v>
      </c>
      <c r="C116" s="272">
        <f>C95+C96+C109</f>
        <v>994.99053997504188</v>
      </c>
      <c r="D116" s="272">
        <f>D95+D96+D109</f>
        <v>834.27549151755056</v>
      </c>
      <c r="E116" s="272">
        <f>E95+E96+E109</f>
        <v>1192.1613467080824</v>
      </c>
      <c r="F116" s="473">
        <f>F95+F96+F109</f>
        <v>1055.466711313426</v>
      </c>
    </row>
    <row r="117" spans="1:7" ht="15.75" customHeight="1" x14ac:dyDescent="0.2">
      <c r="A117" s="445" t="s">
        <v>541</v>
      </c>
      <c r="B117" s="273"/>
      <c r="C117" s="274"/>
      <c r="D117" s="274"/>
      <c r="E117" s="275"/>
      <c r="F117" s="474"/>
    </row>
    <row r="118" spans="1:7" ht="15.75" customHeight="1" x14ac:dyDescent="0.2">
      <c r="A118" s="642"/>
      <c r="B118" s="643"/>
      <c r="C118" s="644"/>
      <c r="D118" s="644"/>
      <c r="E118" s="645"/>
      <c r="F118" s="646"/>
    </row>
    <row r="119" spans="1:7" ht="15.75" customHeight="1" x14ac:dyDescent="0.2">
      <c r="A119" s="1010"/>
      <c r="B119" s="1010"/>
      <c r="C119" s="1010"/>
      <c r="D119" s="1010"/>
      <c r="E119" s="1010"/>
      <c r="F119" s="1010"/>
    </row>
    <row r="120" spans="1:7" ht="15.75" customHeight="1" x14ac:dyDescent="0.2">
      <c r="A120" s="1010"/>
      <c r="B120" s="1010"/>
      <c r="C120" s="1010"/>
      <c r="D120" s="1010"/>
      <c r="E120" s="1010"/>
      <c r="F120" s="1010"/>
    </row>
    <row r="121" spans="1:7" ht="54.75" customHeight="1" x14ac:dyDescent="0.2">
      <c r="A121" s="1011" t="s">
        <v>542</v>
      </c>
      <c r="B121" s="1011"/>
      <c r="C121" s="281" t="str">
        <f>C10</f>
        <v xml:space="preserve">Servente 40h </v>
      </c>
      <c r="D121" s="281" t="str">
        <f>D10</f>
        <v xml:space="preserve">Servente 30h </v>
      </c>
      <c r="E121" s="282" t="str">
        <f>E10</f>
        <v>Servente 44h limpeza de esquadrias com risco</v>
      </c>
      <c r="F121" s="283" t="str">
        <f>F10</f>
        <v>Encarregada 40h</v>
      </c>
    </row>
    <row r="122" spans="1:7" ht="15.75" customHeight="1" x14ac:dyDescent="0.2">
      <c r="A122" s="1005" t="s">
        <v>543</v>
      </c>
      <c r="B122" s="1005"/>
      <c r="C122" s="284" t="s">
        <v>472</v>
      </c>
      <c r="D122" s="284" t="s">
        <v>472</v>
      </c>
      <c r="E122" s="284" t="s">
        <v>472</v>
      </c>
      <c r="F122" s="285" t="s">
        <v>472</v>
      </c>
    </row>
    <row r="123" spans="1:7" ht="14.25" customHeight="1" x14ac:dyDescent="0.2">
      <c r="A123" s="1006" t="s">
        <v>544</v>
      </c>
      <c r="B123" s="1006"/>
      <c r="C123" s="286">
        <f>C19</f>
        <v>1315.3636363636363</v>
      </c>
      <c r="D123" s="286">
        <f>D19</f>
        <v>986.52272727272725</v>
      </c>
      <c r="E123" s="286">
        <f>E19</f>
        <v>1480.8000000000002</v>
      </c>
      <c r="F123" s="287">
        <f>F19</f>
        <v>1712.2181818181818</v>
      </c>
    </row>
    <row r="124" spans="1:7" ht="14.25" customHeight="1" x14ac:dyDescent="0.2">
      <c r="A124" s="1001" t="s">
        <v>545</v>
      </c>
      <c r="B124" s="1001"/>
      <c r="C124" s="139">
        <f>C49</f>
        <v>1284.2878787878788</v>
      </c>
      <c r="D124" s="139">
        <f>D49</f>
        <v>1133.0134090909091</v>
      </c>
      <c r="E124" s="139">
        <f>E49</f>
        <v>1839.9003333333335</v>
      </c>
      <c r="F124" s="140">
        <f>F49</f>
        <v>1466.821616161616</v>
      </c>
    </row>
    <row r="125" spans="1:7" ht="14.25" customHeight="1" x14ac:dyDescent="0.2">
      <c r="A125" s="1001" t="s">
        <v>546</v>
      </c>
      <c r="B125" s="1001"/>
      <c r="C125" s="139">
        <f>C60</f>
        <v>86.156318181818165</v>
      </c>
      <c r="D125" s="139">
        <f>D60</f>
        <v>64.617238636363624</v>
      </c>
      <c r="E125" s="139">
        <f>E60</f>
        <v>96.992400000000004</v>
      </c>
      <c r="F125" s="140">
        <f>F60</f>
        <v>112.1502909090909</v>
      </c>
    </row>
    <row r="126" spans="1:7" ht="14.25" customHeight="1" x14ac:dyDescent="0.2">
      <c r="A126" s="1001" t="s">
        <v>547</v>
      </c>
      <c r="B126" s="1001"/>
      <c r="C126" s="139">
        <f>C80</f>
        <v>290.57705638013289</v>
      </c>
      <c r="D126" s="139">
        <f>D80</f>
        <v>235.00216889455737</v>
      </c>
      <c r="E126" s="139">
        <f>E80</f>
        <v>369.27907096812959</v>
      </c>
      <c r="F126" s="140">
        <f>F69</f>
        <v>328.00962641857927</v>
      </c>
    </row>
    <row r="127" spans="1:7" ht="15.75" customHeight="1" x14ac:dyDescent="0.2">
      <c r="A127" s="1001" t="s">
        <v>548</v>
      </c>
      <c r="B127" s="1001"/>
      <c r="C127" s="139">
        <f>C91</f>
        <v>542.89800864197537</v>
      </c>
      <c r="D127" s="139">
        <f>D91</f>
        <v>531.67800864197534</v>
      </c>
      <c r="E127" s="139">
        <f>E91</f>
        <v>429.7045066666667</v>
      </c>
      <c r="F127" s="140">
        <f>F91</f>
        <v>84.353749999999991</v>
      </c>
    </row>
    <row r="128" spans="1:7" ht="15.75" customHeight="1" x14ac:dyDescent="0.2">
      <c r="A128" s="1004" t="s">
        <v>549</v>
      </c>
      <c r="B128" s="1004"/>
      <c r="C128" s="141">
        <f>SUM(C123:C127)</f>
        <v>3519.2828983554418</v>
      </c>
      <c r="D128" s="141">
        <f>SUM(D123:D127)</f>
        <v>2950.8335525365333</v>
      </c>
      <c r="E128" s="288">
        <f>SUM(E123:E127)</f>
        <v>4216.6763109681297</v>
      </c>
      <c r="F128" s="142">
        <f>SUM(F123:F127)</f>
        <v>3703.5534653074683</v>
      </c>
    </row>
    <row r="129" spans="1:12" ht="15.75" customHeight="1" x14ac:dyDescent="0.2">
      <c r="A129" s="1002" t="s">
        <v>550</v>
      </c>
      <c r="B129" s="1002"/>
      <c r="C129" s="289">
        <f t="shared" ref="C129:F133" si="25">C112</f>
        <v>842.3953814962648</v>
      </c>
      <c r="D129" s="289">
        <f t="shared" si="25"/>
        <v>706.32814354952507</v>
      </c>
      <c r="E129" s="289">
        <f t="shared" si="25"/>
        <v>1009.3273977162103</v>
      </c>
      <c r="F129" s="290">
        <f t="shared" si="25"/>
        <v>893.59671998065835</v>
      </c>
    </row>
    <row r="130" spans="1:12" ht="15.75" customHeight="1" x14ac:dyDescent="0.2">
      <c r="A130" s="1001" t="s">
        <v>551</v>
      </c>
      <c r="B130" s="1001"/>
      <c r="C130" s="291">
        <f t="shared" si="25"/>
        <v>892.10111687919016</v>
      </c>
      <c r="D130" s="291">
        <f t="shared" si="25"/>
        <v>748.0051999151782</v>
      </c>
      <c r="E130" s="291">
        <f t="shared" si="25"/>
        <v>1068.8829955359747</v>
      </c>
      <c r="F130" s="292">
        <f t="shared" si="25"/>
        <v>946.32360224764705</v>
      </c>
    </row>
    <row r="131" spans="1:12" ht="15.75" customHeight="1" x14ac:dyDescent="0.2">
      <c r="A131" s="1001" t="s">
        <v>552</v>
      </c>
      <c r="B131" s="1001"/>
      <c r="C131" s="291">
        <f t="shared" si="25"/>
        <v>902.17852182547153</v>
      </c>
      <c r="D131" s="291">
        <f t="shared" si="25"/>
        <v>756.4548601149537</v>
      </c>
      <c r="E131" s="291">
        <f t="shared" si="25"/>
        <v>1080.9573743058299</v>
      </c>
      <c r="F131" s="292">
        <f t="shared" si="25"/>
        <v>957.01351841257065</v>
      </c>
    </row>
    <row r="132" spans="1:12" ht="15.75" customHeight="1" x14ac:dyDescent="0.2">
      <c r="A132" s="1001" t="s">
        <v>553</v>
      </c>
      <c r="B132" s="1001"/>
      <c r="C132" s="291">
        <f t="shared" si="25"/>
        <v>942.95280581561246</v>
      </c>
      <c r="D132" s="291">
        <f t="shared" si="25"/>
        <v>790.64311060626426</v>
      </c>
      <c r="E132" s="291">
        <f t="shared" si="25"/>
        <v>1129.8116330749272</v>
      </c>
      <c r="F132" s="292">
        <f t="shared" si="25"/>
        <v>1000.2660898694945</v>
      </c>
    </row>
    <row r="133" spans="1:12" ht="15.75" customHeight="1" x14ac:dyDescent="0.2">
      <c r="A133" s="1002" t="s">
        <v>554</v>
      </c>
      <c r="B133" s="1002"/>
      <c r="C133" s="291">
        <f t="shared" si="25"/>
        <v>994.99053997504188</v>
      </c>
      <c r="D133" s="291">
        <f t="shared" si="25"/>
        <v>834.27549151755056</v>
      </c>
      <c r="E133" s="291">
        <f t="shared" si="25"/>
        <v>1192.1613467080824</v>
      </c>
      <c r="F133" s="292">
        <f t="shared" si="25"/>
        <v>1055.466711313426</v>
      </c>
    </row>
    <row r="134" spans="1:12" ht="15.75" customHeight="1" x14ac:dyDescent="0.2">
      <c r="A134" s="293" t="s">
        <v>555</v>
      </c>
      <c r="B134" s="294"/>
      <c r="C134" s="295">
        <f>C128+C129</f>
        <v>4361.678279851707</v>
      </c>
      <c r="D134" s="295">
        <f>D128+D129</f>
        <v>3657.1616960860583</v>
      </c>
      <c r="E134" s="295">
        <f>E128+E129</f>
        <v>5226.0037086843404</v>
      </c>
      <c r="F134" s="296">
        <f>F128+F129</f>
        <v>4597.1501852881265</v>
      </c>
    </row>
    <row r="135" spans="1:12" ht="15.75" customHeight="1" x14ac:dyDescent="0.2">
      <c r="A135" s="297" t="s">
        <v>557</v>
      </c>
      <c r="B135" s="298"/>
      <c r="C135" s="299">
        <f>C128+C130</f>
        <v>4411.384015234632</v>
      </c>
      <c r="D135" s="299">
        <f>D128+D130</f>
        <v>3698.8387524517116</v>
      </c>
      <c r="E135" s="299">
        <f>E128+E130</f>
        <v>5285.5593065041048</v>
      </c>
      <c r="F135" s="300">
        <f>F128+F130</f>
        <v>4649.877067555115</v>
      </c>
    </row>
    <row r="136" spans="1:12" ht="15.75" customHeight="1" x14ac:dyDescent="0.2">
      <c r="A136" s="297" t="s">
        <v>608</v>
      </c>
      <c r="B136" s="298"/>
      <c r="C136" s="299">
        <f>C128+C131</f>
        <v>4421.4614201809136</v>
      </c>
      <c r="D136" s="299">
        <f>D128+D131</f>
        <v>3707.2884126514869</v>
      </c>
      <c r="E136" s="299">
        <f>E128+E131</f>
        <v>5297.6336852739596</v>
      </c>
      <c r="F136" s="300">
        <f>F128+F131</f>
        <v>4660.5669837200385</v>
      </c>
    </row>
    <row r="137" spans="1:12" ht="15.75" customHeight="1" x14ac:dyDescent="0.2">
      <c r="A137" s="297" t="s">
        <v>558</v>
      </c>
      <c r="B137" s="298"/>
      <c r="C137" s="299">
        <f>C128+C132</f>
        <v>4462.2357041710547</v>
      </c>
      <c r="D137" s="299">
        <f>D128+D132</f>
        <v>3741.4766631427974</v>
      </c>
      <c r="E137" s="299">
        <f>E128+E132</f>
        <v>5346.4879440430568</v>
      </c>
      <c r="F137" s="300">
        <f>F128+F132</f>
        <v>4703.8195551769631</v>
      </c>
    </row>
    <row r="138" spans="1:12" ht="15.75" customHeight="1" x14ac:dyDescent="0.2">
      <c r="A138" s="297" t="s">
        <v>559</v>
      </c>
      <c r="B138" s="298"/>
      <c r="C138" s="299">
        <f>C128+C133</f>
        <v>4514.2734383304833</v>
      </c>
      <c r="D138" s="299">
        <f>D128+D133</f>
        <v>3785.1090440540838</v>
      </c>
      <c r="E138" s="299">
        <f>E128+E133</f>
        <v>5408.8376576762121</v>
      </c>
      <c r="F138" s="300">
        <f>F128+F133</f>
        <v>4759.0201766208938</v>
      </c>
    </row>
    <row r="139" spans="1:12" ht="15.75" customHeight="1" x14ac:dyDescent="0.2">
      <c r="A139" s="301" t="s">
        <v>560</v>
      </c>
      <c r="B139" s="302"/>
      <c r="C139" s="303">
        <f>C134/200</f>
        <v>21.808391399258536</v>
      </c>
      <c r="D139" s="303"/>
      <c r="E139" s="304"/>
      <c r="F139" s="305"/>
    </row>
    <row r="140" spans="1:12" ht="15.75" customHeight="1" x14ac:dyDescent="0.2">
      <c r="A140" s="306" t="s">
        <v>562</v>
      </c>
      <c r="B140" s="307"/>
      <c r="C140" s="308">
        <f>C135/200</f>
        <v>22.05692007617316</v>
      </c>
      <c r="D140" s="308"/>
      <c r="E140" s="309"/>
      <c r="F140" s="310"/>
    </row>
    <row r="141" spans="1:12" ht="15.75" customHeight="1" x14ac:dyDescent="0.2">
      <c r="A141" s="306" t="s">
        <v>609</v>
      </c>
      <c r="B141" s="307"/>
      <c r="C141" s="308">
        <f>C136/200</f>
        <v>22.107307100904567</v>
      </c>
      <c r="D141" s="308"/>
      <c r="E141" s="309"/>
      <c r="F141" s="310"/>
    </row>
    <row r="142" spans="1:12" ht="15.75" customHeight="1" x14ac:dyDescent="0.2">
      <c r="A142" s="306" t="s">
        <v>563</v>
      </c>
      <c r="B142" s="307"/>
      <c r="C142" s="308">
        <f>C137/200</f>
        <v>22.311178520855275</v>
      </c>
      <c r="D142" s="308"/>
      <c r="E142" s="309"/>
      <c r="F142" s="310"/>
    </row>
    <row r="143" spans="1:12" ht="15.75" customHeight="1" x14ac:dyDescent="0.2">
      <c r="A143" s="311" t="s">
        <v>564</v>
      </c>
      <c r="B143" s="312"/>
      <c r="C143" s="313">
        <f>C138/200</f>
        <v>22.571367191652417</v>
      </c>
      <c r="D143" s="313"/>
      <c r="E143" s="314"/>
      <c r="F143" s="315"/>
    </row>
    <row r="144" spans="1:12" x14ac:dyDescent="0.2">
      <c r="A144" s="316"/>
      <c r="B144"/>
      <c r="C144"/>
      <c r="D144"/>
      <c r="E144"/>
      <c r="F144"/>
      <c r="G144"/>
      <c r="H144"/>
      <c r="I144"/>
      <c r="J144"/>
      <c r="K144"/>
      <c r="L144"/>
    </row>
    <row r="145" spans="1:15" ht="14.25" customHeight="1" x14ac:dyDescent="0.2">
      <c r="A145" s="1003" t="s">
        <v>565</v>
      </c>
      <c r="B145" s="1003"/>
      <c r="C145" s="1003" t="s">
        <v>566</v>
      </c>
      <c r="D145" s="1003"/>
      <c r="E145" s="999" t="s">
        <v>568</v>
      </c>
      <c r="F145" s="1000"/>
      <c r="G145" s="998" t="s">
        <v>610</v>
      </c>
      <c r="H145" s="998"/>
      <c r="I145" s="998" t="s">
        <v>569</v>
      </c>
      <c r="J145" s="998"/>
      <c r="K145" s="998" t="s">
        <v>570</v>
      </c>
      <c r="L145" s="998"/>
    </row>
    <row r="146" spans="1:15" ht="38.25" x14ac:dyDescent="0.2">
      <c r="A146" s="347" t="s">
        <v>571</v>
      </c>
      <c r="B146" s="348" t="s">
        <v>572</v>
      </c>
      <c r="C146" s="348" t="s">
        <v>573</v>
      </c>
      <c r="D146" s="348" t="s">
        <v>574</v>
      </c>
      <c r="E146" s="348" t="s">
        <v>573</v>
      </c>
      <c r="F146" s="348" t="s">
        <v>574</v>
      </c>
      <c r="G146" s="348" t="s">
        <v>573</v>
      </c>
      <c r="H146" s="348" t="s">
        <v>574</v>
      </c>
      <c r="I146" s="348" t="s">
        <v>573</v>
      </c>
      <c r="J146" s="348" t="s">
        <v>574</v>
      </c>
      <c r="K146" s="348" t="s">
        <v>573</v>
      </c>
      <c r="L146" s="348" t="s">
        <v>574</v>
      </c>
    </row>
    <row r="147" spans="1:15" x14ac:dyDescent="0.2">
      <c r="A147" s="349" t="s">
        <v>575</v>
      </c>
      <c r="B147" s="350">
        <f>1/'Prod. GEXMRG'!C19</f>
        <v>1.25E-3</v>
      </c>
      <c r="C147" s="351">
        <f>C134</f>
        <v>4361.678279851707</v>
      </c>
      <c r="D147" s="351">
        <f>B147*C147</f>
        <v>5.452097849814634</v>
      </c>
      <c r="E147" s="351">
        <f>C135</f>
        <v>4411.384015234632</v>
      </c>
      <c r="F147" s="351">
        <f>B147*E147</f>
        <v>5.51423001904329</v>
      </c>
      <c r="G147" s="351">
        <f>C136</f>
        <v>4421.4614201809136</v>
      </c>
      <c r="H147" s="351">
        <f>B147*G147</f>
        <v>5.5268267752261417</v>
      </c>
      <c r="I147" s="351">
        <f>C137</f>
        <v>4462.2357041710547</v>
      </c>
      <c r="J147" s="351">
        <f>B147*I147</f>
        <v>5.5777946302138188</v>
      </c>
      <c r="K147" s="351">
        <f>C138</f>
        <v>4514.2734383304833</v>
      </c>
      <c r="L147" s="351">
        <f>B147*K147</f>
        <v>5.6428417979131043</v>
      </c>
    </row>
    <row r="148" spans="1:15" x14ac:dyDescent="0.2">
      <c r="A148" s="352" t="s">
        <v>576</v>
      </c>
      <c r="B148" s="350">
        <f>B147/'Prod. GEXMRG'!O19</f>
        <v>4.6296296296296294E-5</v>
      </c>
      <c r="C148" s="351">
        <f>F135</f>
        <v>4649.877067555115</v>
      </c>
      <c r="D148" s="351">
        <f>C148*B148</f>
        <v>0.21527208646088494</v>
      </c>
      <c r="E148" s="351">
        <f>F135</f>
        <v>4649.877067555115</v>
      </c>
      <c r="F148" s="351">
        <f>B148*E148</f>
        <v>0.21527208646088494</v>
      </c>
      <c r="G148" s="351">
        <f>F135</f>
        <v>4649.877067555115</v>
      </c>
      <c r="H148" s="351">
        <f>B148*G148</f>
        <v>0.21527208646088494</v>
      </c>
      <c r="I148" s="351">
        <f>F135</f>
        <v>4649.877067555115</v>
      </c>
      <c r="J148" s="351">
        <f>B148*I148</f>
        <v>0.21527208646088494</v>
      </c>
      <c r="K148" s="351">
        <f>F135</f>
        <v>4649.877067555115</v>
      </c>
      <c r="L148" s="351">
        <f>B148*K148</f>
        <v>0.21527208646088494</v>
      </c>
      <c r="M148" s="987" t="s">
        <v>577</v>
      </c>
      <c r="N148" s="988"/>
      <c r="O148" s="517" t="s">
        <v>578</v>
      </c>
    </row>
    <row r="149" spans="1:15" x14ac:dyDescent="0.2">
      <c r="A149" s="353" t="s">
        <v>579</v>
      </c>
      <c r="B149" s="354"/>
      <c r="C149" s="355"/>
      <c r="D149" s="355">
        <f>SUM(D147:D148)</f>
        <v>5.6673699362755192</v>
      </c>
      <c r="E149" s="355"/>
      <c r="F149" s="355">
        <f>SUM(F147:F148)</f>
        <v>5.7295021055041753</v>
      </c>
      <c r="G149" s="355"/>
      <c r="H149" s="355">
        <f>SUM(H147:H148)</f>
        <v>5.742098861687027</v>
      </c>
      <c r="I149" s="355"/>
      <c r="J149" s="355">
        <f>SUM(J147:J148)</f>
        <v>5.7930667166747041</v>
      </c>
      <c r="K149" s="355"/>
      <c r="L149" s="355">
        <f>SUM(L147:L148)</f>
        <v>5.8581138843739895</v>
      </c>
      <c r="M149" s="515">
        <v>3.08</v>
      </c>
      <c r="N149" s="516">
        <v>5.56</v>
      </c>
    </row>
    <row r="150" spans="1:15" x14ac:dyDescent="0.2">
      <c r="A150" s="317"/>
      <c r="B150" s="318"/>
      <c r="C150" s="318"/>
      <c r="D150" s="319"/>
      <c r="E150" s="319"/>
      <c r="F150"/>
      <c r="G150"/>
      <c r="H150"/>
      <c r="I150"/>
      <c r="J150"/>
      <c r="K150"/>
      <c r="L150"/>
    </row>
    <row r="151" spans="1:15" ht="14.25" customHeight="1" x14ac:dyDescent="0.2">
      <c r="A151" s="995" t="s">
        <v>580</v>
      </c>
      <c r="B151" s="995"/>
      <c r="C151" s="1003" t="s">
        <v>566</v>
      </c>
      <c r="D151" s="1003"/>
      <c r="E151" s="999" t="s">
        <v>568</v>
      </c>
      <c r="F151" s="1000"/>
      <c r="G151" s="998" t="s">
        <v>610</v>
      </c>
      <c r="H151" s="998"/>
      <c r="I151" s="998" t="s">
        <v>569</v>
      </c>
      <c r="J151" s="998"/>
      <c r="K151" s="998" t="s">
        <v>570</v>
      </c>
      <c r="L151" s="998"/>
    </row>
    <row r="152" spans="1:15" ht="38.25" x14ac:dyDescent="0.2">
      <c r="A152" s="347" t="s">
        <v>571</v>
      </c>
      <c r="B152" s="348" t="s">
        <v>581</v>
      </c>
      <c r="C152" s="348" t="s">
        <v>573</v>
      </c>
      <c r="D152" s="348" t="s">
        <v>574</v>
      </c>
      <c r="E152" s="348" t="s">
        <v>573</v>
      </c>
      <c r="F152" s="348" t="s">
        <v>574</v>
      </c>
      <c r="G152" s="348" t="s">
        <v>573</v>
      </c>
      <c r="H152" s="348" t="s">
        <v>574</v>
      </c>
      <c r="I152" s="348" t="s">
        <v>573</v>
      </c>
      <c r="J152" s="348" t="s">
        <v>574</v>
      </c>
      <c r="K152" s="348" t="s">
        <v>573</v>
      </c>
      <c r="L152" s="348" t="s">
        <v>574</v>
      </c>
    </row>
    <row r="153" spans="1:15" x14ac:dyDescent="0.2">
      <c r="A153" s="349" t="s">
        <v>575</v>
      </c>
      <c r="B153" s="356">
        <f>1/'Prod. GEXMRG'!D19</f>
        <v>6.6666666666666664E-4</v>
      </c>
      <c r="C153" s="357">
        <f>C134</f>
        <v>4361.678279851707</v>
      </c>
      <c r="D153" s="351">
        <f>B153*C153</f>
        <v>2.9077855199011378</v>
      </c>
      <c r="E153" s="351">
        <f>C135</f>
        <v>4411.384015234632</v>
      </c>
      <c r="F153" s="351">
        <f>B153*E153</f>
        <v>2.9409226768230878</v>
      </c>
      <c r="G153" s="351">
        <f>C136</f>
        <v>4421.4614201809136</v>
      </c>
      <c r="H153" s="351">
        <f>B153*G153</f>
        <v>2.9476409467872755</v>
      </c>
      <c r="I153" s="351">
        <f>C137</f>
        <v>4462.2357041710547</v>
      </c>
      <c r="J153" s="351">
        <f>B153*I153</f>
        <v>2.974823802780703</v>
      </c>
      <c r="K153" s="351">
        <f>C138</f>
        <v>4514.2734383304833</v>
      </c>
      <c r="L153" s="351">
        <f>B153*K153</f>
        <v>3.0095156255536555</v>
      </c>
    </row>
    <row r="154" spans="1:15" x14ac:dyDescent="0.2">
      <c r="A154" s="352" t="s">
        <v>576</v>
      </c>
      <c r="B154" s="350">
        <f>B153/'Prod. GEXMRG'!O19</f>
        <v>2.4691358024691357E-5</v>
      </c>
      <c r="C154" s="351">
        <f>F135</f>
        <v>4649.877067555115</v>
      </c>
      <c r="D154" s="351">
        <f>B154*C154</f>
        <v>0.1148117794458053</v>
      </c>
      <c r="E154" s="351">
        <f>F135</f>
        <v>4649.877067555115</v>
      </c>
      <c r="F154" s="351">
        <f>B154*E154</f>
        <v>0.1148117794458053</v>
      </c>
      <c r="G154" s="351">
        <f>F135</f>
        <v>4649.877067555115</v>
      </c>
      <c r="H154" s="351">
        <f>B154*G154</f>
        <v>0.1148117794458053</v>
      </c>
      <c r="I154" s="351">
        <f>F135</f>
        <v>4649.877067555115</v>
      </c>
      <c r="J154" s="351">
        <f>B154*I154</f>
        <v>0.1148117794458053</v>
      </c>
      <c r="K154" s="351">
        <f>F135</f>
        <v>4649.877067555115</v>
      </c>
      <c r="L154" s="351">
        <f>B154*K154</f>
        <v>0.1148117794458053</v>
      </c>
    </row>
    <row r="155" spans="1:15" x14ac:dyDescent="0.2">
      <c r="A155" s="353" t="s">
        <v>582</v>
      </c>
      <c r="B155" s="354"/>
      <c r="C155" s="355"/>
      <c r="D155" s="355">
        <f>SUM(D153:D154)</f>
        <v>3.022597299346943</v>
      </c>
      <c r="E155" s="355"/>
      <c r="F155" s="355">
        <f>SUM(F153:F154)</f>
        <v>3.0557344562688931</v>
      </c>
      <c r="G155" s="355"/>
      <c r="H155" s="355">
        <f>SUM(H153:H154)</f>
        <v>3.0624527262330807</v>
      </c>
      <c r="I155" s="355"/>
      <c r="J155" s="355">
        <f>SUM(J153:J154)</f>
        <v>3.0896355822265082</v>
      </c>
      <c r="K155" s="355"/>
      <c r="L155" s="355">
        <f>SUM(L153:L154)</f>
        <v>3.1243274049994607</v>
      </c>
    </row>
    <row r="156" spans="1:15" x14ac:dyDescent="0.2">
      <c r="A156" s="317"/>
      <c r="B156" s="320"/>
      <c r="C156" s="320"/>
      <c r="D156" s="320"/>
      <c r="E156" s="320"/>
      <c r="F156"/>
      <c r="G156"/>
      <c r="H156"/>
      <c r="I156"/>
      <c r="J156"/>
      <c r="K156"/>
      <c r="L156"/>
    </row>
    <row r="157" spans="1:15" ht="14.25" customHeight="1" x14ac:dyDescent="0.2">
      <c r="A157" s="995" t="s">
        <v>583</v>
      </c>
      <c r="B157" s="995"/>
      <c r="C157" s="1003" t="s">
        <v>566</v>
      </c>
      <c r="D157" s="1003"/>
      <c r="E157" s="999" t="s">
        <v>568</v>
      </c>
      <c r="F157" s="1000"/>
      <c r="G157" s="998" t="s">
        <v>610</v>
      </c>
      <c r="H157" s="998"/>
      <c r="I157" s="998" t="s">
        <v>569</v>
      </c>
      <c r="J157" s="998"/>
      <c r="K157" s="998" t="s">
        <v>570</v>
      </c>
      <c r="L157" s="998"/>
    </row>
    <row r="158" spans="1:15" ht="38.25" x14ac:dyDescent="0.2">
      <c r="A158" s="347" t="s">
        <v>571</v>
      </c>
      <c r="B158" s="348" t="s">
        <v>581</v>
      </c>
      <c r="C158" s="348" t="s">
        <v>573</v>
      </c>
      <c r="D158" s="348" t="s">
        <v>574</v>
      </c>
      <c r="E158" s="348" t="s">
        <v>573</v>
      </c>
      <c r="F158" s="348" t="s">
        <v>574</v>
      </c>
      <c r="G158" s="348" t="s">
        <v>573</v>
      </c>
      <c r="H158" s="348" t="s">
        <v>574</v>
      </c>
      <c r="I158" s="348" t="s">
        <v>573</v>
      </c>
      <c r="J158" s="348" t="s">
        <v>574</v>
      </c>
      <c r="K158" s="348" t="s">
        <v>573</v>
      </c>
      <c r="L158" s="348" t="s">
        <v>574</v>
      </c>
    </row>
    <row r="159" spans="1:15" x14ac:dyDescent="0.2">
      <c r="A159" s="349" t="s">
        <v>575</v>
      </c>
      <c r="B159" s="356">
        <f>1/'Prod. GEXMRG'!E19</f>
        <v>6.6666666666666664E-4</v>
      </c>
      <c r="C159" s="357">
        <f>C134</f>
        <v>4361.678279851707</v>
      </c>
      <c r="D159" s="351">
        <f>B159*C159</f>
        <v>2.9077855199011378</v>
      </c>
      <c r="E159" s="351">
        <f>C135</f>
        <v>4411.384015234632</v>
      </c>
      <c r="F159" s="351">
        <f>B159*E159</f>
        <v>2.9409226768230878</v>
      </c>
      <c r="G159" s="351">
        <f>C136</f>
        <v>4421.4614201809136</v>
      </c>
      <c r="H159" s="351">
        <f>B159*G159</f>
        <v>2.9476409467872755</v>
      </c>
      <c r="I159" s="351">
        <f>C137</f>
        <v>4462.2357041710547</v>
      </c>
      <c r="J159" s="351">
        <f>B159*I159</f>
        <v>2.974823802780703</v>
      </c>
      <c r="K159" s="351">
        <f>C138</f>
        <v>4514.2734383304833</v>
      </c>
      <c r="L159" s="351">
        <f>B159*K159</f>
        <v>3.0095156255536555</v>
      </c>
    </row>
    <row r="160" spans="1:15" x14ac:dyDescent="0.2">
      <c r="A160" s="352" t="s">
        <v>576</v>
      </c>
      <c r="B160" s="350">
        <f>B159/'Prod. GEXMRG'!O19</f>
        <v>2.4691358024691357E-5</v>
      </c>
      <c r="C160" s="351">
        <f>F135</f>
        <v>4649.877067555115</v>
      </c>
      <c r="D160" s="351">
        <f>B160*C160</f>
        <v>0.1148117794458053</v>
      </c>
      <c r="E160" s="351">
        <f>F135</f>
        <v>4649.877067555115</v>
      </c>
      <c r="F160" s="351">
        <f>B160*E160</f>
        <v>0.1148117794458053</v>
      </c>
      <c r="G160" s="351">
        <f>F135</f>
        <v>4649.877067555115</v>
      </c>
      <c r="H160" s="351">
        <f>B160*G160</f>
        <v>0.1148117794458053</v>
      </c>
      <c r="I160" s="351">
        <f>F135</f>
        <v>4649.877067555115</v>
      </c>
      <c r="J160" s="351">
        <f>B160*I160</f>
        <v>0.1148117794458053</v>
      </c>
      <c r="K160" s="351">
        <f>F135</f>
        <v>4649.877067555115</v>
      </c>
      <c r="L160" s="351">
        <f>B160*K160</f>
        <v>0.1148117794458053</v>
      </c>
    </row>
    <row r="161" spans="1:14" x14ac:dyDescent="0.2">
      <c r="A161" s="353" t="s">
        <v>582</v>
      </c>
      <c r="B161" s="354"/>
      <c r="C161" s="355"/>
      <c r="D161" s="355">
        <f>SUM(D159:D160)</f>
        <v>3.022597299346943</v>
      </c>
      <c r="E161" s="355"/>
      <c r="F161" s="355">
        <f>SUM(F159:F160)</f>
        <v>3.0557344562688931</v>
      </c>
      <c r="G161" s="355"/>
      <c r="H161" s="355">
        <f>SUM(H159:H160)</f>
        <v>3.0624527262330807</v>
      </c>
      <c r="I161" s="355"/>
      <c r="J161" s="355">
        <f>SUM(J159:J160)</f>
        <v>3.0896355822265082</v>
      </c>
      <c r="K161" s="355"/>
      <c r="L161" s="355">
        <f>SUM(L159:L160)</f>
        <v>3.1243274049994607</v>
      </c>
    </row>
    <row r="162" spans="1:14" x14ac:dyDescent="0.2">
      <c r="A162" s="317"/>
      <c r="B162" s="320"/>
      <c r="C162" s="320"/>
      <c r="D162" s="320"/>
      <c r="E162" s="320"/>
      <c r="F162"/>
      <c r="G162"/>
      <c r="H162"/>
      <c r="I162"/>
      <c r="J162"/>
      <c r="K162"/>
      <c r="L162"/>
    </row>
    <row r="163" spans="1:14" ht="14.25" customHeight="1" x14ac:dyDescent="0.2">
      <c r="A163" s="995" t="s">
        <v>584</v>
      </c>
      <c r="B163" s="995"/>
      <c r="C163" s="1003" t="s">
        <v>566</v>
      </c>
      <c r="D163" s="1003"/>
      <c r="E163" s="999" t="s">
        <v>568</v>
      </c>
      <c r="F163" s="1000"/>
      <c r="G163" s="998" t="s">
        <v>610</v>
      </c>
      <c r="H163" s="998"/>
      <c r="I163" s="998" t="s">
        <v>569</v>
      </c>
      <c r="J163" s="998"/>
      <c r="K163" s="998" t="s">
        <v>570</v>
      </c>
      <c r="L163" s="998"/>
    </row>
    <row r="164" spans="1:14" ht="38.25" x14ac:dyDescent="0.2">
      <c r="A164" s="347" t="s">
        <v>571</v>
      </c>
      <c r="B164" s="348" t="s">
        <v>581</v>
      </c>
      <c r="C164" s="348" t="s">
        <v>573</v>
      </c>
      <c r="D164" s="348" t="s">
        <v>574</v>
      </c>
      <c r="E164" s="348" t="s">
        <v>573</v>
      </c>
      <c r="F164" s="348" t="s">
        <v>574</v>
      </c>
      <c r="G164" s="348" t="s">
        <v>573</v>
      </c>
      <c r="H164" s="348" t="s">
        <v>574</v>
      </c>
      <c r="I164" s="348" t="s">
        <v>573</v>
      </c>
      <c r="J164" s="348" t="s">
        <v>574</v>
      </c>
      <c r="K164" s="348" t="s">
        <v>573</v>
      </c>
      <c r="L164" s="348" t="s">
        <v>574</v>
      </c>
    </row>
    <row r="165" spans="1:14" x14ac:dyDescent="0.2">
      <c r="A165" s="349" t="s">
        <v>575</v>
      </c>
      <c r="B165" s="356">
        <f>1/'Prod. GEXMRG'!F19</f>
        <v>5.0000000000000001E-3</v>
      </c>
      <c r="C165" s="351">
        <f>C134</f>
        <v>4361.678279851707</v>
      </c>
      <c r="D165" s="351">
        <f>B165*C165</f>
        <v>21.808391399258536</v>
      </c>
      <c r="E165" s="351">
        <f>C135</f>
        <v>4411.384015234632</v>
      </c>
      <c r="F165" s="351">
        <f>B165*E165</f>
        <v>22.05692007617316</v>
      </c>
      <c r="G165" s="351">
        <f>C136</f>
        <v>4421.4614201809136</v>
      </c>
      <c r="H165" s="351">
        <f>B165*G165</f>
        <v>22.107307100904567</v>
      </c>
      <c r="I165" s="351">
        <f>C137</f>
        <v>4462.2357041710547</v>
      </c>
      <c r="J165" s="351">
        <f>B165*I165</f>
        <v>22.311178520855275</v>
      </c>
      <c r="K165" s="351">
        <f>C138</f>
        <v>4514.2734383304833</v>
      </c>
      <c r="L165" s="351">
        <f>B165*K165</f>
        <v>22.571367191652417</v>
      </c>
    </row>
    <row r="166" spans="1:14" x14ac:dyDescent="0.2">
      <c r="A166" s="352" t="s">
        <v>576</v>
      </c>
      <c r="B166" s="350">
        <f>B165/'Prod. GEXMRG'!O19</f>
        <v>1.8518518518518518E-4</v>
      </c>
      <c r="C166" s="351">
        <f>F135</f>
        <v>4649.877067555115</v>
      </c>
      <c r="D166" s="351">
        <f>C166*B166</f>
        <v>0.86108834584353977</v>
      </c>
      <c r="E166" s="351">
        <f>F135</f>
        <v>4649.877067555115</v>
      </c>
      <c r="F166" s="351">
        <f>B166*E166</f>
        <v>0.86108834584353977</v>
      </c>
      <c r="G166" s="351">
        <f>F135</f>
        <v>4649.877067555115</v>
      </c>
      <c r="H166" s="351">
        <f>B166*G166</f>
        <v>0.86108834584353977</v>
      </c>
      <c r="I166" s="351">
        <f>F135</f>
        <v>4649.877067555115</v>
      </c>
      <c r="J166" s="351">
        <f>B166*I166</f>
        <v>0.86108834584353977</v>
      </c>
      <c r="K166" s="351">
        <f>F135</f>
        <v>4649.877067555115</v>
      </c>
      <c r="L166" s="351">
        <f>B166*K166</f>
        <v>0.86108834584353977</v>
      </c>
    </row>
    <row r="167" spans="1:14" x14ac:dyDescent="0.2">
      <c r="A167" s="353" t="s">
        <v>582</v>
      </c>
      <c r="B167" s="354"/>
      <c r="C167" s="355"/>
      <c r="D167" s="355">
        <f>SUM(D165:D166)</f>
        <v>22.669479745102077</v>
      </c>
      <c r="E167" s="355"/>
      <c r="F167" s="355">
        <f>SUM(F165:F166)</f>
        <v>22.918008422016701</v>
      </c>
      <c r="G167" s="355"/>
      <c r="H167" s="355">
        <f>SUM(H165:H166)</f>
        <v>22.968395446748108</v>
      </c>
      <c r="I167" s="355"/>
      <c r="J167" s="355">
        <f>SUM(J165:J166)</f>
        <v>23.172266866698816</v>
      </c>
      <c r="K167" s="355"/>
      <c r="L167" s="355">
        <f>SUM(L165:L166)</f>
        <v>23.432455537495958</v>
      </c>
    </row>
    <row r="168" spans="1:14" x14ac:dyDescent="0.2">
      <c r="A168" s="317"/>
      <c r="B168" s="321"/>
      <c r="C168" s="321"/>
      <c r="D168" s="321"/>
      <c r="E168" s="321"/>
    </row>
    <row r="169" spans="1:14" ht="14.25" customHeight="1" x14ac:dyDescent="0.2">
      <c r="A169" s="989" t="s">
        <v>585</v>
      </c>
      <c r="B169" s="989"/>
      <c r="C169" s="989" t="s">
        <v>566</v>
      </c>
      <c r="D169" s="989"/>
      <c r="E169" s="993" t="s">
        <v>568</v>
      </c>
      <c r="F169" s="994"/>
      <c r="G169" s="989" t="s">
        <v>611</v>
      </c>
      <c r="H169" s="989"/>
      <c r="I169" s="989" t="s">
        <v>569</v>
      </c>
      <c r="J169" s="989"/>
      <c r="K169" s="989" t="s">
        <v>570</v>
      </c>
      <c r="L169" s="989"/>
    </row>
    <row r="170" spans="1:14" ht="38.25" x14ac:dyDescent="0.2">
      <c r="A170" s="347" t="s">
        <v>571</v>
      </c>
      <c r="B170" s="348" t="s">
        <v>581</v>
      </c>
      <c r="C170" s="348" t="s">
        <v>573</v>
      </c>
      <c r="D170" s="348" t="s">
        <v>574</v>
      </c>
      <c r="E170" s="348" t="s">
        <v>573</v>
      </c>
      <c r="F170" s="348" t="s">
        <v>574</v>
      </c>
      <c r="G170" s="348" t="s">
        <v>573</v>
      </c>
      <c r="H170" s="348" t="s">
        <v>574</v>
      </c>
      <c r="I170" s="348" t="s">
        <v>573</v>
      </c>
      <c r="J170" s="348" t="s">
        <v>574</v>
      </c>
      <c r="K170" s="348" t="s">
        <v>573</v>
      </c>
      <c r="L170" s="348" t="s">
        <v>574</v>
      </c>
    </row>
    <row r="171" spans="1:14" x14ac:dyDescent="0.2">
      <c r="A171" s="349" t="s">
        <v>586</v>
      </c>
      <c r="B171" s="356">
        <f>1/'Prod. GEXMRG'!G19</f>
        <v>3.7037037037037035E-4</v>
      </c>
      <c r="C171" s="351">
        <f>C134</f>
        <v>4361.678279851707</v>
      </c>
      <c r="D171" s="351">
        <f>B171*C171</f>
        <v>1.6154363999450765</v>
      </c>
      <c r="E171" s="351">
        <f>C135</f>
        <v>4411.384015234632</v>
      </c>
      <c r="F171" s="351">
        <f>B171*E171</f>
        <v>1.6338459315683822</v>
      </c>
      <c r="G171" s="351">
        <f>C136</f>
        <v>4421.4614201809136</v>
      </c>
      <c r="H171" s="351">
        <f>B171*G171</f>
        <v>1.6375783037707086</v>
      </c>
      <c r="I171" s="351">
        <f>C137</f>
        <v>4462.2357041710547</v>
      </c>
      <c r="J171" s="351">
        <f>B171*I171</f>
        <v>1.6526798904337239</v>
      </c>
      <c r="K171" s="351">
        <f>C138</f>
        <v>4514.2734383304833</v>
      </c>
      <c r="L171" s="351">
        <f>B171*K171</f>
        <v>1.6719531253075863</v>
      </c>
    </row>
    <row r="172" spans="1:14" x14ac:dyDescent="0.2">
      <c r="A172" s="352" t="s">
        <v>576</v>
      </c>
      <c r="B172" s="350">
        <f>B171/'Prod. GEXMRG'!O19</f>
        <v>1.3717421124828532E-5</v>
      </c>
      <c r="C172" s="351">
        <f>F135</f>
        <v>4649.877067555115</v>
      </c>
      <c r="D172" s="351">
        <f>B172*C172</f>
        <v>6.3784321914336278E-2</v>
      </c>
      <c r="E172" s="351">
        <f>F135</f>
        <v>4649.877067555115</v>
      </c>
      <c r="F172" s="351">
        <f>B172*E172</f>
        <v>6.3784321914336278E-2</v>
      </c>
      <c r="G172" s="351">
        <f>F135</f>
        <v>4649.877067555115</v>
      </c>
      <c r="H172" s="351">
        <f>B172*G172</f>
        <v>6.3784321914336278E-2</v>
      </c>
      <c r="I172" s="351">
        <f>F135</f>
        <v>4649.877067555115</v>
      </c>
      <c r="J172" s="351">
        <f>B172*I172</f>
        <v>6.3784321914336278E-2</v>
      </c>
      <c r="K172" s="351">
        <f>F135</f>
        <v>4649.877067555115</v>
      </c>
      <c r="L172" s="351">
        <f>B172*K172</f>
        <v>6.3784321914336278E-2</v>
      </c>
      <c r="M172" s="987" t="s">
        <v>577</v>
      </c>
      <c r="N172" s="988"/>
    </row>
    <row r="173" spans="1:14" x14ac:dyDescent="0.2">
      <c r="A173" s="358" t="s">
        <v>587</v>
      </c>
      <c r="B173" s="359"/>
      <c r="C173" s="360"/>
      <c r="D173" s="361">
        <f>SUM(D171:D172)</f>
        <v>1.6792207218594128</v>
      </c>
      <c r="E173" s="360"/>
      <c r="F173" s="361">
        <f>SUM(F171:F172)</f>
        <v>1.6976302534827186</v>
      </c>
      <c r="G173" s="360"/>
      <c r="H173" s="361">
        <f>SUM(H171:H172)</f>
        <v>1.7013626256850449</v>
      </c>
      <c r="I173" s="360"/>
      <c r="J173" s="361">
        <f>SUM(J171:J172)</f>
        <v>1.7164642123480602</v>
      </c>
      <c r="K173" s="360"/>
      <c r="L173" s="361">
        <f>SUM(L171:L172)</f>
        <v>1.7357374472219227</v>
      </c>
      <c r="M173" s="515">
        <v>1.37</v>
      </c>
      <c r="N173" s="516">
        <v>2.4700000000000002</v>
      </c>
    </row>
    <row r="174" spans="1:14" x14ac:dyDescent="0.2">
      <c r="A174" s="349" t="s">
        <v>588</v>
      </c>
      <c r="B174" s="356">
        <f>1/'Prod. GEXMRG'!H19</f>
        <v>1.0000000000000001E-5</v>
      </c>
      <c r="C174" s="351">
        <f>C134</f>
        <v>4361.678279851707</v>
      </c>
      <c r="D174" s="351">
        <f>B174*C174</f>
        <v>4.3616782798517072E-2</v>
      </c>
      <c r="E174" s="351">
        <f>C135</f>
        <v>4411.384015234632</v>
      </c>
      <c r="F174" s="351">
        <f>B174*E174</f>
        <v>4.4113840152346324E-2</v>
      </c>
      <c r="G174" s="351">
        <f>C136</f>
        <v>4421.4614201809136</v>
      </c>
      <c r="H174" s="351">
        <f>B174*G174</f>
        <v>4.4214614201809138E-2</v>
      </c>
      <c r="I174" s="351">
        <f>C137</f>
        <v>4462.2357041710547</v>
      </c>
      <c r="J174" s="351">
        <f>B174*I174</f>
        <v>4.4622357041710553E-2</v>
      </c>
      <c r="K174" s="351">
        <f>C138</f>
        <v>4514.2734383304833</v>
      </c>
      <c r="L174" s="351">
        <f>B174*K174</f>
        <v>4.5142734383304836E-2</v>
      </c>
    </row>
    <row r="175" spans="1:14" x14ac:dyDescent="0.2">
      <c r="A175" s="352" t="s">
        <v>576</v>
      </c>
      <c r="B175" s="350">
        <f>B174/'Prod. GEXMRG'!O19</f>
        <v>3.7037037037037042E-7</v>
      </c>
      <c r="C175" s="351">
        <f>F135</f>
        <v>4649.877067555115</v>
      </c>
      <c r="D175" s="351">
        <f>B175*C175</f>
        <v>1.7221766916870797E-3</v>
      </c>
      <c r="E175" s="351">
        <f>F135</f>
        <v>4649.877067555115</v>
      </c>
      <c r="F175" s="351">
        <f>B175*E175</f>
        <v>1.7221766916870797E-3</v>
      </c>
      <c r="G175" s="351">
        <f>F135</f>
        <v>4649.877067555115</v>
      </c>
      <c r="H175" s="351">
        <f>B175*G175</f>
        <v>1.7221766916870797E-3</v>
      </c>
      <c r="I175" s="351">
        <f>F135</f>
        <v>4649.877067555115</v>
      </c>
      <c r="J175" s="351">
        <f>B175*I175</f>
        <v>1.7221766916870797E-3</v>
      </c>
      <c r="K175" s="351">
        <f>F135</f>
        <v>4649.877067555115</v>
      </c>
      <c r="L175" s="351">
        <f>B175*K175</f>
        <v>1.7221766916870797E-3</v>
      </c>
    </row>
    <row r="176" spans="1:14" x14ac:dyDescent="0.2">
      <c r="A176" s="358" t="s">
        <v>589</v>
      </c>
      <c r="B176" s="362"/>
      <c r="C176" s="360"/>
      <c r="D176" s="361">
        <f>SUM(D174:D175)</f>
        <v>4.5338959490204153E-2</v>
      </c>
      <c r="E176" s="360"/>
      <c r="F176" s="361">
        <f>SUM(F174:F175)</f>
        <v>4.5836016844033406E-2</v>
      </c>
      <c r="G176" s="360"/>
      <c r="H176" s="361">
        <f>SUM(H174:H175)</f>
        <v>4.593679089349622E-2</v>
      </c>
      <c r="I176" s="360"/>
      <c r="J176" s="361">
        <f>SUM(J174:J175)</f>
        <v>4.6344533733397635E-2</v>
      </c>
      <c r="K176" s="360"/>
      <c r="L176" s="361">
        <f>SUM(L174:L175)</f>
        <v>4.6864911074991918E-2</v>
      </c>
    </row>
    <row r="177" spans="1:14" x14ac:dyDescent="0.2">
      <c r="A177" s="349" t="s">
        <v>590</v>
      </c>
      <c r="B177" s="356">
        <f>1/'Prod. GEXMRG'!I19</f>
        <v>1.1111111111111112E-4</v>
      </c>
      <c r="C177" s="351">
        <f>C134</f>
        <v>4361.678279851707</v>
      </c>
      <c r="D177" s="351">
        <f>B177*C177</f>
        <v>0.48463091998352303</v>
      </c>
      <c r="E177" s="351">
        <f>C135</f>
        <v>4411.384015234632</v>
      </c>
      <c r="F177" s="351">
        <f>B177*E177</f>
        <v>0.49015377947051469</v>
      </c>
      <c r="G177" s="351">
        <f>C136</f>
        <v>4421.4614201809136</v>
      </c>
      <c r="H177" s="351">
        <f>B177*G177</f>
        <v>0.49127349113121266</v>
      </c>
      <c r="I177" s="351">
        <f>C137</f>
        <v>4462.2357041710547</v>
      </c>
      <c r="J177" s="351">
        <f>B177*I177</f>
        <v>0.49580396713011721</v>
      </c>
      <c r="K177" s="351">
        <f>C138</f>
        <v>4514.2734383304833</v>
      </c>
      <c r="L177" s="351">
        <f>B177*K177</f>
        <v>0.50158593759227599</v>
      </c>
    </row>
    <row r="178" spans="1:14" x14ac:dyDescent="0.2">
      <c r="A178" s="352" t="s">
        <v>576</v>
      </c>
      <c r="B178" s="350">
        <f>B177/'Prod. GEXMRG'!O19</f>
        <v>4.11522633744856E-6</v>
      </c>
      <c r="C178" s="351">
        <f>F135</f>
        <v>4649.877067555115</v>
      </c>
      <c r="D178" s="351">
        <f>B178*C178</f>
        <v>1.9135296574300888E-2</v>
      </c>
      <c r="E178" s="351">
        <f>F135</f>
        <v>4649.877067555115</v>
      </c>
      <c r="F178" s="351">
        <f>B178*E178</f>
        <v>1.9135296574300888E-2</v>
      </c>
      <c r="G178" s="351">
        <f>F135</f>
        <v>4649.877067555115</v>
      </c>
      <c r="H178" s="351">
        <f>B178*G178</f>
        <v>1.9135296574300888E-2</v>
      </c>
      <c r="I178" s="351">
        <f>F135</f>
        <v>4649.877067555115</v>
      </c>
      <c r="J178" s="351">
        <f>B178*I178</f>
        <v>1.9135296574300888E-2</v>
      </c>
      <c r="K178" s="351">
        <f>F135</f>
        <v>4649.877067555115</v>
      </c>
      <c r="L178" s="351">
        <f>B178*K178</f>
        <v>1.9135296574300888E-2</v>
      </c>
    </row>
    <row r="179" spans="1:14" x14ac:dyDescent="0.2">
      <c r="A179" s="358" t="s">
        <v>591</v>
      </c>
      <c r="B179" s="362"/>
      <c r="C179" s="360"/>
      <c r="D179" s="361">
        <f>SUM(D177:D178)</f>
        <v>0.50376621655782394</v>
      </c>
      <c r="E179" s="360"/>
      <c r="F179" s="361">
        <f>SUM(F177:F178)</f>
        <v>0.50928907604481555</v>
      </c>
      <c r="G179" s="360"/>
      <c r="H179" s="361">
        <f>SUM(H177:H178)</f>
        <v>0.51040878770551357</v>
      </c>
      <c r="I179" s="360"/>
      <c r="J179" s="361">
        <f>SUM(J177:J178)</f>
        <v>0.51493926370441812</v>
      </c>
      <c r="K179" s="360"/>
      <c r="L179" s="361">
        <f>SUM(L177:L178)</f>
        <v>0.5207212341665769</v>
      </c>
    </row>
    <row r="180" spans="1:14" x14ac:dyDescent="0.2">
      <c r="A180" s="317"/>
      <c r="B180" s="320"/>
      <c r="C180" s="320"/>
      <c r="D180" s="320"/>
      <c r="E180" s="320"/>
    </row>
    <row r="181" spans="1:14" ht="14.25" customHeight="1" x14ac:dyDescent="0.2">
      <c r="A181" s="992" t="s">
        <v>592</v>
      </c>
      <c r="B181" s="992"/>
      <c r="C181" s="992" t="s">
        <v>566</v>
      </c>
      <c r="D181" s="992"/>
      <c r="E181" s="990" t="s">
        <v>568</v>
      </c>
      <c r="F181" s="991"/>
      <c r="G181" s="992" t="s">
        <v>610</v>
      </c>
      <c r="H181" s="992"/>
      <c r="I181" s="992" t="s">
        <v>569</v>
      </c>
      <c r="J181" s="992"/>
      <c r="K181" s="992" t="s">
        <v>570</v>
      </c>
      <c r="L181" s="992"/>
    </row>
    <row r="182" spans="1:14" ht="38.25" x14ac:dyDescent="0.2">
      <c r="A182" s="347" t="s">
        <v>571</v>
      </c>
      <c r="B182" s="348" t="s">
        <v>581</v>
      </c>
      <c r="C182" s="348" t="s">
        <v>573</v>
      </c>
      <c r="D182" s="348" t="s">
        <v>574</v>
      </c>
      <c r="E182" s="348" t="s">
        <v>573</v>
      </c>
      <c r="F182" s="348" t="s">
        <v>574</v>
      </c>
      <c r="G182" s="348" t="s">
        <v>573</v>
      </c>
      <c r="H182" s="348" t="s">
        <v>574</v>
      </c>
      <c r="I182" s="348" t="s">
        <v>573</v>
      </c>
      <c r="J182" s="348" t="s">
        <v>574</v>
      </c>
      <c r="K182" s="348" t="s">
        <v>573</v>
      </c>
      <c r="L182" s="348" t="s">
        <v>574</v>
      </c>
    </row>
    <row r="183" spans="1:14" x14ac:dyDescent="0.2">
      <c r="A183" s="363" t="s">
        <v>593</v>
      </c>
      <c r="B183" s="356">
        <f>(1/'Prod. GEXMRG'!J19)*(1/(30/7*44*6))*8</f>
        <v>4.4191919191919199E-5</v>
      </c>
      <c r="C183" s="788">
        <f>E134</f>
        <v>5226.0037086843404</v>
      </c>
      <c r="D183" s="351">
        <f>B183*C183</f>
        <v>0.2309471335908484</v>
      </c>
      <c r="E183" s="788">
        <f>E135</f>
        <v>5285.5593065041048</v>
      </c>
      <c r="F183" s="351">
        <f>B183*E183</f>
        <v>0.23357900975712589</v>
      </c>
      <c r="G183" s="788">
        <f>E136</f>
        <v>5297.6336852739596</v>
      </c>
      <c r="H183" s="351">
        <f>B183*G183</f>
        <v>0.23411259972801593</v>
      </c>
      <c r="I183" s="788">
        <f>E137</f>
        <v>5346.4879440430568</v>
      </c>
      <c r="J183" s="351">
        <f>B183*I183</f>
        <v>0.23627156318372097</v>
      </c>
      <c r="K183" s="788">
        <f>E138</f>
        <v>5408.8376576762121</v>
      </c>
      <c r="L183" s="351">
        <f>B183*K183</f>
        <v>0.23902691669023668</v>
      </c>
    </row>
    <row r="184" spans="1:14" x14ac:dyDescent="0.2">
      <c r="A184" s="352" t="s">
        <v>576</v>
      </c>
      <c r="B184" s="356">
        <f>B183/4</f>
        <v>1.10479797979798E-5</v>
      </c>
      <c r="C184" s="351">
        <f>F135</f>
        <v>4649.877067555115</v>
      </c>
      <c r="D184" s="351">
        <f>B184*C184</f>
        <v>5.1371747905438463E-2</v>
      </c>
      <c r="E184" s="351">
        <f>F135</f>
        <v>4649.877067555115</v>
      </c>
      <c r="F184" s="351">
        <f>B184*E184</f>
        <v>5.1371747905438463E-2</v>
      </c>
      <c r="G184" s="351">
        <f>F135</f>
        <v>4649.877067555115</v>
      </c>
      <c r="H184" s="351">
        <f>B184*G184</f>
        <v>5.1371747905438463E-2</v>
      </c>
      <c r="I184" s="351">
        <f>F135</f>
        <v>4649.877067555115</v>
      </c>
      <c r="J184" s="351">
        <f>B184*I184</f>
        <v>5.1371747905438463E-2</v>
      </c>
      <c r="K184" s="351">
        <f>F135</f>
        <v>4649.877067555115</v>
      </c>
      <c r="L184" s="351">
        <f>B184*K184</f>
        <v>5.1371747905438463E-2</v>
      </c>
      <c r="M184" s="987" t="s">
        <v>577</v>
      </c>
      <c r="N184" s="988"/>
    </row>
    <row r="185" spans="1:14" x14ac:dyDescent="0.2">
      <c r="A185" s="364" t="s">
        <v>594</v>
      </c>
      <c r="B185" s="365"/>
      <c r="C185" s="366"/>
      <c r="D185" s="367">
        <f>SUM(D183:D184)</f>
        <v>0.28231888149628687</v>
      </c>
      <c r="E185" s="366"/>
      <c r="F185" s="367">
        <f>SUM(F183:F184)</f>
        <v>0.28495075766256434</v>
      </c>
      <c r="G185" s="366"/>
      <c r="H185" s="367">
        <f>SUM(H183:H184)</f>
        <v>0.28548434763345437</v>
      </c>
      <c r="I185" s="366"/>
      <c r="J185" s="367">
        <f>SUM(J183:J184)</f>
        <v>0.28764331108915941</v>
      </c>
      <c r="K185" s="366"/>
      <c r="L185" s="367">
        <f>SUM(L183:L184)</f>
        <v>0.29039866459567515</v>
      </c>
      <c r="M185" s="515">
        <v>0.2</v>
      </c>
      <c r="N185" s="516">
        <v>0.3</v>
      </c>
    </row>
    <row r="186" spans="1:14" x14ac:dyDescent="0.2">
      <c r="A186" s="363" t="s">
        <v>595</v>
      </c>
      <c r="B186" s="356">
        <f>1/'Prod. GEXMRG'!K19*16*(1/188.76)</f>
        <v>2.2306242401936183E-4</v>
      </c>
      <c r="C186" s="351">
        <f>C134</f>
        <v>4361.678279851707</v>
      </c>
      <c r="D186" s="351">
        <f>B186*C186</f>
        <v>0.97292652989632222</v>
      </c>
      <c r="E186" s="351">
        <f>C135</f>
        <v>4411.384015234632</v>
      </c>
      <c r="F186" s="351">
        <f>B186*E186</f>
        <v>0.98401401171850245</v>
      </c>
      <c r="G186" s="351">
        <f>C136</f>
        <v>4421.4614201809136</v>
      </c>
      <c r="H186" s="351">
        <f>B186*G186</f>
        <v>0.98626190209364473</v>
      </c>
      <c r="I186" s="351">
        <f>C137</f>
        <v>4462.2357041710547</v>
      </c>
      <c r="J186" s="351">
        <f>B186*I186</f>
        <v>0.99535711271813943</v>
      </c>
      <c r="K186" s="351">
        <f>C138</f>
        <v>4514.2734383304833</v>
      </c>
      <c r="L186" s="351">
        <f>B186*K186</f>
        <v>1.0069647758402167</v>
      </c>
    </row>
    <row r="187" spans="1:14" x14ac:dyDescent="0.2">
      <c r="A187" s="352" t="s">
        <v>576</v>
      </c>
      <c r="B187" s="356">
        <f>1/('Prod. GEXMRG'!O19*'Prod. GEXMRG'!K19)*16*(1/188.76)</f>
        <v>8.2615712599763646E-6</v>
      </c>
      <c r="C187" s="351">
        <f>F135</f>
        <v>4649.877067555115</v>
      </c>
      <c r="D187" s="351">
        <f>B187*C187</f>
        <v>3.8415290743736515E-2</v>
      </c>
      <c r="E187" s="351">
        <f>F135</f>
        <v>4649.877067555115</v>
      </c>
      <c r="F187" s="351">
        <f>B187*E187</f>
        <v>3.8415290743736515E-2</v>
      </c>
      <c r="G187" s="351">
        <f>F135</f>
        <v>4649.877067555115</v>
      </c>
      <c r="H187" s="351">
        <f>B187*G187</f>
        <v>3.8415290743736515E-2</v>
      </c>
      <c r="I187" s="351">
        <f>F135</f>
        <v>4649.877067555115</v>
      </c>
      <c r="J187" s="351">
        <f>B187*I187</f>
        <v>3.8415290743736515E-2</v>
      </c>
      <c r="K187" s="351">
        <f>F135</f>
        <v>4649.877067555115</v>
      </c>
      <c r="L187" s="351">
        <f>B187*K187</f>
        <v>3.8415290743736515E-2</v>
      </c>
      <c r="M187" s="987"/>
      <c r="N187" s="988"/>
    </row>
    <row r="188" spans="1:14" x14ac:dyDescent="0.2">
      <c r="A188" s="364" t="s">
        <v>596</v>
      </c>
      <c r="B188" s="365"/>
      <c r="C188" s="366"/>
      <c r="D188" s="367">
        <f>SUM(D186:D187)</f>
        <v>1.0113418206400588</v>
      </c>
      <c r="E188" s="366"/>
      <c r="F188" s="367">
        <f>SUM(F186:F187)</f>
        <v>1.0224293024622391</v>
      </c>
      <c r="G188" s="366"/>
      <c r="H188" s="367">
        <f>SUM(H186:H187)</f>
        <v>1.0246771928373812</v>
      </c>
      <c r="I188" s="366"/>
      <c r="J188" s="367">
        <f>SUM(J186:J187)</f>
        <v>1.033772403461876</v>
      </c>
      <c r="K188" s="366"/>
      <c r="L188" s="367">
        <f>SUM(L186:L187)</f>
        <v>1.0453800665839532</v>
      </c>
      <c r="M188" s="515"/>
      <c r="N188" s="516"/>
    </row>
    <row r="189" spans="1:14" x14ac:dyDescent="0.2">
      <c r="A189" s="349" t="s">
        <v>597</v>
      </c>
      <c r="B189" s="356">
        <f>1/'Prod. GEXMRG'!L19*16*(1/188.76)</f>
        <v>2.2306242401936183E-4</v>
      </c>
      <c r="C189" s="351">
        <f>C134</f>
        <v>4361.678279851707</v>
      </c>
      <c r="D189" s="351">
        <f>B189*C189</f>
        <v>0.97292652989632222</v>
      </c>
      <c r="E189" s="351">
        <f>C135</f>
        <v>4411.384015234632</v>
      </c>
      <c r="F189" s="351">
        <f>B189*E189</f>
        <v>0.98401401171850245</v>
      </c>
      <c r="G189" s="351">
        <f>C136</f>
        <v>4421.4614201809136</v>
      </c>
      <c r="H189" s="351">
        <f>B189*G189</f>
        <v>0.98626190209364473</v>
      </c>
      <c r="I189" s="351">
        <f>C137</f>
        <v>4462.2357041710547</v>
      </c>
      <c r="J189" s="351">
        <f>B189*I189</f>
        <v>0.99535711271813943</v>
      </c>
      <c r="K189" s="351">
        <f>C138</f>
        <v>4514.2734383304833</v>
      </c>
      <c r="L189" s="351">
        <f>B189*K189</f>
        <v>1.0069647758402167</v>
      </c>
    </row>
    <row r="190" spans="1:14" x14ac:dyDescent="0.2">
      <c r="A190" s="352" t="s">
        <v>576</v>
      </c>
      <c r="B190" s="356">
        <f>1/('Prod. GEXMRG'!O19*'Prod. GEXMRG'!L19)*16*(1/188.76)</f>
        <v>8.2615712599763646E-6</v>
      </c>
      <c r="C190" s="351">
        <f>F135</f>
        <v>4649.877067555115</v>
      </c>
      <c r="D190" s="351">
        <f>B190*C190</f>
        <v>3.8415290743736515E-2</v>
      </c>
      <c r="E190" s="351">
        <f>F135</f>
        <v>4649.877067555115</v>
      </c>
      <c r="F190" s="351">
        <f>B190*E190</f>
        <v>3.8415290743736515E-2</v>
      </c>
      <c r="G190" s="351">
        <f>F135</f>
        <v>4649.877067555115</v>
      </c>
      <c r="H190" s="351">
        <f>B190*G190</f>
        <v>3.8415290743736515E-2</v>
      </c>
      <c r="I190" s="351">
        <f>F135</f>
        <v>4649.877067555115</v>
      </c>
      <c r="J190" s="351">
        <f>B190*I190</f>
        <v>3.8415290743736515E-2</v>
      </c>
      <c r="K190" s="351">
        <f>F135</f>
        <v>4649.877067555115</v>
      </c>
      <c r="L190" s="351">
        <f>B190*K190</f>
        <v>3.8415290743736515E-2</v>
      </c>
      <c r="M190" s="987" t="s">
        <v>577</v>
      </c>
      <c r="N190" s="988"/>
    </row>
    <row r="191" spans="1:14" x14ac:dyDescent="0.2">
      <c r="A191" s="364" t="s">
        <v>598</v>
      </c>
      <c r="B191" s="365"/>
      <c r="C191" s="366"/>
      <c r="D191" s="367">
        <f>SUM(D189:D190)</f>
        <v>1.0113418206400588</v>
      </c>
      <c r="E191" s="366"/>
      <c r="F191" s="367">
        <f>SUM(F189:F190)</f>
        <v>1.0224293024622391</v>
      </c>
      <c r="G191" s="366"/>
      <c r="H191" s="367">
        <f>SUM(H189:H190)</f>
        <v>1.0246771928373812</v>
      </c>
      <c r="I191" s="366"/>
      <c r="J191" s="367">
        <f>SUM(J189:J190)</f>
        <v>1.033772403461876</v>
      </c>
      <c r="K191" s="366"/>
      <c r="L191" s="367">
        <f>SUM(L189:L190)</f>
        <v>1.0453800665839532</v>
      </c>
      <c r="M191" s="515">
        <v>0.82</v>
      </c>
      <c r="N191" s="516">
        <v>1.26</v>
      </c>
    </row>
    <row r="192" spans="1:14" x14ac:dyDescent="0.2">
      <c r="A192" s="316"/>
    </row>
  </sheetData>
  <mergeCells count="68">
    <mergeCell ref="M184:N184"/>
    <mergeCell ref="M187:N187"/>
    <mergeCell ref="M190:N190"/>
    <mergeCell ref="M172:N172"/>
    <mergeCell ref="A181:B181"/>
    <mergeCell ref="C181:D181"/>
    <mergeCell ref="E181:F181"/>
    <mergeCell ref="G181:H181"/>
    <mergeCell ref="I181:J181"/>
    <mergeCell ref="K181:L181"/>
    <mergeCell ref="K169:L169"/>
    <mergeCell ref="A163:B163"/>
    <mergeCell ref="C163:D163"/>
    <mergeCell ref="E163:F163"/>
    <mergeCell ref="G163:H163"/>
    <mergeCell ref="I163:J163"/>
    <mergeCell ref="K163:L163"/>
    <mergeCell ref="A169:B169"/>
    <mergeCell ref="C169:D169"/>
    <mergeCell ref="E169:F169"/>
    <mergeCell ref="G169:H169"/>
    <mergeCell ref="I169:J169"/>
    <mergeCell ref="A157:B157"/>
    <mergeCell ref="C157:D157"/>
    <mergeCell ref="E157:F157"/>
    <mergeCell ref="G157:H157"/>
    <mergeCell ref="I157:J157"/>
    <mergeCell ref="K157:L157"/>
    <mergeCell ref="G145:H145"/>
    <mergeCell ref="I145:J145"/>
    <mergeCell ref="K145:L145"/>
    <mergeCell ref="M148:N148"/>
    <mergeCell ref="K151:L151"/>
    <mergeCell ref="A151:B151"/>
    <mergeCell ref="C151:D151"/>
    <mergeCell ref="E151:F151"/>
    <mergeCell ref="G151:H151"/>
    <mergeCell ref="I151:J151"/>
    <mergeCell ref="E145:F145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45:B145"/>
    <mergeCell ref="C145:D145"/>
    <mergeCell ref="A124:B124"/>
    <mergeCell ref="A50:B50"/>
    <mergeCell ref="A51:F51"/>
    <mergeCell ref="A61:B61"/>
    <mergeCell ref="A62:F62"/>
    <mergeCell ref="A92:B92"/>
    <mergeCell ref="A112:A116"/>
    <mergeCell ref="A119:F119"/>
    <mergeCell ref="A120:F120"/>
    <mergeCell ref="A121:B121"/>
    <mergeCell ref="A122:B122"/>
    <mergeCell ref="A123:B123"/>
    <mergeCell ref="A21:F21"/>
    <mergeCell ref="A1:F1"/>
    <mergeCell ref="A2:F2"/>
    <mergeCell ref="A3:F3"/>
    <mergeCell ref="A9:F9"/>
    <mergeCell ref="A20:B20"/>
  </mergeCells>
  <hyperlinks>
    <hyperlink ref="O148" r:id="rId1"/>
  </hyperlink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6E7"/>
  </sheetPr>
  <dimension ref="A1:AMB148"/>
  <sheetViews>
    <sheetView topLeftCell="A70" zoomScale="80" zoomScaleNormal="80" workbookViewId="0">
      <selection activeCell="H142" sqref="H142"/>
    </sheetView>
  </sheetViews>
  <sheetFormatPr defaultRowHeight="14.25" x14ac:dyDescent="0.2"/>
  <cols>
    <col min="1" max="1" width="55.5" style="84" customWidth="1"/>
    <col min="2" max="2" width="17" style="84" customWidth="1"/>
    <col min="3" max="3" width="15.25" style="84" customWidth="1"/>
    <col min="4" max="4" width="16.25" style="84" customWidth="1"/>
    <col min="5" max="5" width="13.125" style="84" customWidth="1"/>
    <col min="6" max="1016" width="9" style="84"/>
  </cols>
  <sheetData>
    <row r="1" spans="1:4" ht="15.75" x14ac:dyDescent="0.2">
      <c r="A1" s="1030" t="s">
        <v>452</v>
      </c>
      <c r="B1" s="1031"/>
      <c r="C1" s="1031"/>
      <c r="D1" s="1032"/>
    </row>
    <row r="2" spans="1:4" ht="15.75" x14ac:dyDescent="0.2">
      <c r="A2" s="1033" t="s">
        <v>453</v>
      </c>
      <c r="B2" s="1014"/>
      <c r="C2" s="1014"/>
      <c r="D2" s="1034"/>
    </row>
    <row r="3" spans="1:4" ht="15.75" customHeight="1" x14ac:dyDescent="0.2">
      <c r="A3" s="1033" t="s">
        <v>454</v>
      </c>
      <c r="B3" s="1014"/>
      <c r="C3" s="1014"/>
      <c r="D3" s="1034"/>
    </row>
    <row r="4" spans="1:4" ht="15.75" x14ac:dyDescent="0.2">
      <c r="A4" s="433"/>
      <c r="B4" s="86"/>
      <c r="C4" s="87" t="s">
        <v>455</v>
      </c>
      <c r="D4" s="434" t="s">
        <v>456</v>
      </c>
    </row>
    <row r="5" spans="1:4" x14ac:dyDescent="0.2">
      <c r="A5" s="435"/>
      <c r="B5" s="89" t="s">
        <v>459</v>
      </c>
      <c r="C5" s="90">
        <f>MC!D11</f>
        <v>1315.3636363636363</v>
      </c>
      <c r="D5" s="436">
        <f>MC!E11</f>
        <v>986.52272727272725</v>
      </c>
    </row>
    <row r="6" spans="1:4" x14ac:dyDescent="0.2">
      <c r="A6" s="435"/>
      <c r="B6" s="89" t="s">
        <v>460</v>
      </c>
      <c r="C6" s="91">
        <f>MC!D8</f>
        <v>44593</v>
      </c>
      <c r="D6" s="437">
        <f>MC!D8</f>
        <v>44593</v>
      </c>
    </row>
    <row r="7" spans="1:4" x14ac:dyDescent="0.2">
      <c r="A7" s="435"/>
      <c r="B7" s="89" t="s">
        <v>461</v>
      </c>
      <c r="C7" s="91" t="str">
        <f>MC!C8</f>
        <v>PR000321/2022</v>
      </c>
      <c r="D7" s="437" t="str">
        <f>MC!C8</f>
        <v>PR000321/2022</v>
      </c>
    </row>
    <row r="8" spans="1:4" x14ac:dyDescent="0.2">
      <c r="A8" s="435"/>
      <c r="B8" s="89" t="s">
        <v>462</v>
      </c>
      <c r="C8" s="92" t="str">
        <f>MC!E8</f>
        <v>5143-20</v>
      </c>
      <c r="D8" s="438" t="str">
        <f>MC!E8</f>
        <v>5143-20</v>
      </c>
    </row>
    <row r="9" spans="1:4" x14ac:dyDescent="0.2">
      <c r="A9" s="1035"/>
      <c r="B9" s="1015"/>
      <c r="C9" s="1015"/>
      <c r="D9" s="1036"/>
    </row>
    <row r="10" spans="1:4" ht="66.75" customHeight="1" x14ac:dyDescent="0.2">
      <c r="A10" s="439" t="s">
        <v>463</v>
      </c>
      <c r="B10" s="245" t="s">
        <v>464</v>
      </c>
      <c r="C10" s="245" t="s">
        <v>599</v>
      </c>
      <c r="D10" s="440" t="s">
        <v>600</v>
      </c>
    </row>
    <row r="11" spans="1:4" ht="14.25" customHeight="1" x14ac:dyDescent="0.2">
      <c r="A11" s="441" t="s">
        <v>469</v>
      </c>
      <c r="B11" s="395"/>
      <c r="C11" s="395"/>
      <c r="D11" s="442"/>
    </row>
    <row r="12" spans="1:4" ht="14.25" customHeight="1" x14ac:dyDescent="0.2">
      <c r="A12" s="443" t="s">
        <v>470</v>
      </c>
      <c r="B12" s="94" t="s">
        <v>471</v>
      </c>
      <c r="C12" s="94" t="s">
        <v>472</v>
      </c>
      <c r="D12" s="444" t="s">
        <v>472</v>
      </c>
    </row>
    <row r="13" spans="1:4" ht="14.25" customHeight="1" x14ac:dyDescent="0.2">
      <c r="A13" s="445" t="s">
        <v>473</v>
      </c>
      <c r="B13" s="97"/>
      <c r="C13" s="98">
        <f>C5</f>
        <v>1315.3636363636363</v>
      </c>
      <c r="D13" s="446">
        <f>D5</f>
        <v>986.52272727272725</v>
      </c>
    </row>
    <row r="14" spans="1:4" ht="14.25" customHeight="1" x14ac:dyDescent="0.2">
      <c r="A14" s="445" t="s">
        <v>474</v>
      </c>
      <c r="B14" s="100">
        <v>0</v>
      </c>
      <c r="C14" s="98">
        <f>C13*$B$14</f>
        <v>0</v>
      </c>
      <c r="D14" s="446">
        <f>D13*$B$14</f>
        <v>0</v>
      </c>
    </row>
    <row r="15" spans="1:4" ht="14.25" customHeight="1" x14ac:dyDescent="0.2">
      <c r="A15" s="445" t="s">
        <v>475</v>
      </c>
      <c r="B15" s="101"/>
      <c r="C15" s="98"/>
      <c r="D15" s="446"/>
    </row>
    <row r="16" spans="1:4" ht="14.25" customHeight="1" x14ac:dyDescent="0.2">
      <c r="A16" s="445" t="s">
        <v>476</v>
      </c>
      <c r="B16" s="101"/>
      <c r="C16" s="98"/>
      <c r="D16" s="446"/>
    </row>
    <row r="17" spans="1:4" ht="14.25" customHeight="1" x14ac:dyDescent="0.2">
      <c r="A17" s="445" t="s">
        <v>477</v>
      </c>
      <c r="B17" s="101"/>
      <c r="C17" s="98"/>
      <c r="D17" s="446"/>
    </row>
    <row r="18" spans="1:4" ht="14.25" customHeight="1" x14ac:dyDescent="0.2">
      <c r="A18" s="445" t="s">
        <v>478</v>
      </c>
      <c r="B18" s="102"/>
      <c r="C18" s="98"/>
      <c r="D18" s="446"/>
    </row>
    <row r="19" spans="1:4" ht="14.25" customHeight="1" x14ac:dyDescent="0.2">
      <c r="A19" s="447" t="s">
        <v>479</v>
      </c>
      <c r="B19" s="104"/>
      <c r="C19" s="113">
        <f>SUM(C13:C18)</f>
        <v>1315.3636363636363</v>
      </c>
      <c r="D19" s="448">
        <f>SUM(D13:D18)</f>
        <v>986.52272727272725</v>
      </c>
    </row>
    <row r="20" spans="1:4" ht="14.25" customHeight="1" x14ac:dyDescent="0.2">
      <c r="A20" s="1019"/>
      <c r="B20" s="1007"/>
      <c r="C20" s="106"/>
      <c r="D20" s="450"/>
    </row>
    <row r="21" spans="1:4" ht="14.25" customHeight="1" x14ac:dyDescent="0.2">
      <c r="A21" s="1020" t="s">
        <v>480</v>
      </c>
      <c r="B21" s="1012"/>
      <c r="C21" s="1012"/>
      <c r="D21" s="1021"/>
    </row>
    <row r="22" spans="1:4" ht="14.25" customHeight="1" x14ac:dyDescent="0.2">
      <c r="A22" s="451" t="s">
        <v>481</v>
      </c>
      <c r="B22" s="109" t="s">
        <v>471</v>
      </c>
      <c r="C22" s="109" t="s">
        <v>472</v>
      </c>
      <c r="D22" s="452" t="s">
        <v>472</v>
      </c>
    </row>
    <row r="23" spans="1:4" ht="14.25" customHeight="1" x14ac:dyDescent="0.2">
      <c r="A23" s="453" t="s">
        <v>482</v>
      </c>
      <c r="B23" s="100">
        <f>1/12</f>
        <v>8.3333333333333329E-2</v>
      </c>
      <c r="C23" s="98">
        <f>ROUND($B23*C$19,2)</f>
        <v>109.61</v>
      </c>
      <c r="D23" s="446">
        <f>ROUND($B23*D$19,2)</f>
        <v>82.21</v>
      </c>
    </row>
    <row r="24" spans="1:4" ht="14.25" customHeight="1" x14ac:dyDescent="0.2">
      <c r="A24" s="453" t="s">
        <v>483</v>
      </c>
      <c r="B24" s="100">
        <f>1/3*1/12</f>
        <v>2.7777777777777776E-2</v>
      </c>
      <c r="C24" s="98">
        <f>C$19*$B$24</f>
        <v>36.537878787878782</v>
      </c>
      <c r="D24" s="446">
        <f>D$19*$B$24</f>
        <v>27.40340909090909</v>
      </c>
    </row>
    <row r="25" spans="1:4" ht="14.25" customHeight="1" x14ac:dyDescent="0.2">
      <c r="A25" s="447" t="s">
        <v>479</v>
      </c>
      <c r="B25" s="112">
        <f>SUM(B23:B24)</f>
        <v>0.1111111111111111</v>
      </c>
      <c r="C25" s="113">
        <f>SUM(C23:C24)</f>
        <v>146.14787878787877</v>
      </c>
      <c r="D25" s="448">
        <f>SUM(D23:D24)</f>
        <v>109.61340909090909</v>
      </c>
    </row>
    <row r="26" spans="1:4" ht="14.25" customHeight="1" x14ac:dyDescent="0.2">
      <c r="A26" s="451" t="s">
        <v>484</v>
      </c>
      <c r="B26" s="109" t="s">
        <v>471</v>
      </c>
      <c r="C26" s="109" t="s">
        <v>472</v>
      </c>
      <c r="D26" s="452" t="s">
        <v>472</v>
      </c>
    </row>
    <row r="27" spans="1:4" ht="14.25" customHeight="1" x14ac:dyDescent="0.2">
      <c r="A27" s="451" t="s">
        <v>485</v>
      </c>
      <c r="B27" s="115"/>
      <c r="C27" s="115"/>
      <c r="D27" s="454"/>
    </row>
    <row r="28" spans="1:4" ht="14.25" customHeight="1" x14ac:dyDescent="0.2">
      <c r="A28" s="453" t="s">
        <v>486</v>
      </c>
      <c r="B28" s="100">
        <v>0.2</v>
      </c>
      <c r="C28" s="117">
        <f t="shared" ref="C28:C35" si="0">ROUND(($C$19+$C$25)*B28,2)</f>
        <v>292.3</v>
      </c>
      <c r="D28" s="455">
        <f t="shared" ref="D28:D35" si="1">ROUND(($D$19+$D$25)*B28,2)</f>
        <v>219.23</v>
      </c>
    </row>
    <row r="29" spans="1:4" ht="14.25" customHeight="1" x14ac:dyDescent="0.2">
      <c r="A29" s="453" t="s">
        <v>487</v>
      </c>
      <c r="B29" s="100">
        <v>2.5000000000000001E-2</v>
      </c>
      <c r="C29" s="117">
        <f t="shared" si="0"/>
        <v>36.54</v>
      </c>
      <c r="D29" s="455">
        <f t="shared" si="1"/>
        <v>27.4</v>
      </c>
    </row>
    <row r="30" spans="1:4" ht="14.25" customHeight="1" x14ac:dyDescent="0.2">
      <c r="A30" s="453" t="s">
        <v>488</v>
      </c>
      <c r="B30" s="100">
        <v>0.03</v>
      </c>
      <c r="C30" s="117">
        <f t="shared" si="0"/>
        <v>43.85</v>
      </c>
      <c r="D30" s="455">
        <f t="shared" si="1"/>
        <v>32.880000000000003</v>
      </c>
    </row>
    <row r="31" spans="1:4" ht="14.25" customHeight="1" x14ac:dyDescent="0.2">
      <c r="A31" s="453" t="s">
        <v>489</v>
      </c>
      <c r="B31" s="100">
        <v>1.4999999999999999E-2</v>
      </c>
      <c r="C31" s="117">
        <f t="shared" si="0"/>
        <v>21.92</v>
      </c>
      <c r="D31" s="455">
        <f t="shared" si="1"/>
        <v>16.440000000000001</v>
      </c>
    </row>
    <row r="32" spans="1:4" ht="14.25" customHeight="1" x14ac:dyDescent="0.2">
      <c r="A32" s="453" t="s">
        <v>490</v>
      </c>
      <c r="B32" s="100">
        <v>0.01</v>
      </c>
      <c r="C32" s="117">
        <f t="shared" si="0"/>
        <v>14.62</v>
      </c>
      <c r="D32" s="455">
        <f t="shared" si="1"/>
        <v>10.96</v>
      </c>
    </row>
    <row r="33" spans="1:24" ht="14.25" customHeight="1" x14ac:dyDescent="0.2">
      <c r="A33" s="453" t="s">
        <v>491</v>
      </c>
      <c r="B33" s="100">
        <v>6.0000000000000001E-3</v>
      </c>
      <c r="C33" s="117">
        <f t="shared" si="0"/>
        <v>8.77</v>
      </c>
      <c r="D33" s="455">
        <f t="shared" si="1"/>
        <v>6.58</v>
      </c>
    </row>
    <row r="34" spans="1:24" ht="14.25" customHeight="1" x14ac:dyDescent="0.2">
      <c r="A34" s="453" t="s">
        <v>492</v>
      </c>
      <c r="B34" s="100">
        <v>2E-3</v>
      </c>
      <c r="C34" s="117">
        <f t="shared" si="0"/>
        <v>2.92</v>
      </c>
      <c r="D34" s="455">
        <f t="shared" si="1"/>
        <v>2.19</v>
      </c>
    </row>
    <row r="35" spans="1:24" ht="14.25" customHeight="1" x14ac:dyDescent="0.2">
      <c r="A35" s="453" t="s">
        <v>493</v>
      </c>
      <c r="B35" s="100">
        <v>0.08</v>
      </c>
      <c r="C35" s="117">
        <f t="shared" si="0"/>
        <v>116.92</v>
      </c>
      <c r="D35" s="455">
        <f t="shared" si="1"/>
        <v>87.69</v>
      </c>
    </row>
    <row r="36" spans="1:24" ht="14.25" customHeight="1" x14ac:dyDescent="0.2">
      <c r="A36" s="447" t="s">
        <v>479</v>
      </c>
      <c r="B36" s="112">
        <f>SUM(B28:B35)</f>
        <v>0.36800000000000005</v>
      </c>
      <c r="C36" s="113">
        <f>SUM(C27:C35)</f>
        <v>537.84</v>
      </c>
      <c r="D36" s="448">
        <f>SUM(D27:D35)</f>
        <v>403.36999999999995</v>
      </c>
    </row>
    <row r="37" spans="1:24" ht="14.25" customHeight="1" x14ac:dyDescent="0.2">
      <c r="A37" s="451" t="s">
        <v>494</v>
      </c>
      <c r="B37" s="109" t="s">
        <v>495</v>
      </c>
      <c r="C37" s="109" t="s">
        <v>472</v>
      </c>
      <c r="D37" s="452" t="s">
        <v>472</v>
      </c>
    </row>
    <row r="38" spans="1:24" ht="14.25" customHeight="1" x14ac:dyDescent="0.2">
      <c r="A38" s="453" t="s">
        <v>496</v>
      </c>
      <c r="B38" s="119">
        <f>MC!D106</f>
        <v>4.1713636363636359</v>
      </c>
      <c r="C38" s="98">
        <f>ROUND(((2*22*$B$38)-0.06*C$13),2)</f>
        <v>104.62</v>
      </c>
      <c r="D38" s="446">
        <f>ROUND(((2*22*$B$38)-0.06*D$13),2)</f>
        <v>124.35</v>
      </c>
    </row>
    <row r="39" spans="1:24" ht="14.25" customHeight="1" x14ac:dyDescent="0.2">
      <c r="A39" s="453" t="s">
        <v>497</v>
      </c>
      <c r="B39" s="120"/>
      <c r="C39" s="117">
        <f>MC!E16</f>
        <v>400.68</v>
      </c>
      <c r="D39" s="455">
        <f>MC!E17</f>
        <v>400.68</v>
      </c>
    </row>
    <row r="40" spans="1:24" ht="14.25" customHeight="1" x14ac:dyDescent="0.2">
      <c r="A40" s="453" t="s">
        <v>498</v>
      </c>
      <c r="B40" s="100">
        <f>MC!C21</f>
        <v>1.4999999999999999E-2</v>
      </c>
      <c r="C40" s="117"/>
      <c r="D40" s="455"/>
    </row>
    <row r="41" spans="1:24" ht="14.25" customHeight="1" x14ac:dyDescent="0.2">
      <c r="A41" s="453" t="s">
        <v>499</v>
      </c>
      <c r="B41" s="121">
        <f>MC!E23</f>
        <v>71.5</v>
      </c>
      <c r="C41" s="117">
        <f>B41</f>
        <v>71.5</v>
      </c>
      <c r="D41" s="455">
        <f>B41</f>
        <v>71.5</v>
      </c>
    </row>
    <row r="42" spans="1:24" ht="14.25" customHeight="1" x14ac:dyDescent="0.2">
      <c r="A42" s="453" t="s">
        <v>500</v>
      </c>
      <c r="B42" s="121">
        <f>MC!E24</f>
        <v>23.5</v>
      </c>
      <c r="C42" s="117">
        <f>B42</f>
        <v>23.5</v>
      </c>
      <c r="D42" s="455">
        <f>B42</f>
        <v>23.5</v>
      </c>
      <c r="X42" s="84" t="s">
        <v>612</v>
      </c>
    </row>
    <row r="43" spans="1:24" ht="14.25" customHeight="1" x14ac:dyDescent="0.2">
      <c r="A43" s="453" t="s">
        <v>501</v>
      </c>
      <c r="B43" s="100"/>
      <c r="C43" s="117"/>
      <c r="D43" s="455"/>
    </row>
    <row r="44" spans="1:24" ht="14.25" customHeight="1" x14ac:dyDescent="0.2">
      <c r="A44" s="447" t="s">
        <v>479</v>
      </c>
      <c r="B44" s="104"/>
      <c r="C44" s="113">
        <f>SUM(C38:C43)</f>
        <v>600.29999999999995</v>
      </c>
      <c r="D44" s="448">
        <f>SUM(D38:D43)</f>
        <v>620.03</v>
      </c>
    </row>
    <row r="45" spans="1:24" ht="14.25" customHeight="1" x14ac:dyDescent="0.2">
      <c r="A45" s="443" t="s">
        <v>502</v>
      </c>
      <c r="B45" s="94" t="s">
        <v>471</v>
      </c>
      <c r="C45" s="94" t="s">
        <v>472</v>
      </c>
      <c r="D45" s="444" t="s">
        <v>472</v>
      </c>
    </row>
    <row r="46" spans="1:24" ht="14.25" customHeight="1" x14ac:dyDescent="0.2">
      <c r="A46" s="453" t="s">
        <v>481</v>
      </c>
      <c r="B46" s="122">
        <f>B25</f>
        <v>0.1111111111111111</v>
      </c>
      <c r="C46" s="123">
        <f>C25</f>
        <v>146.14787878787877</v>
      </c>
      <c r="D46" s="456">
        <f>D25</f>
        <v>109.61340909090909</v>
      </c>
    </row>
    <row r="47" spans="1:24" ht="14.25" customHeight="1" x14ac:dyDescent="0.2">
      <c r="A47" s="453" t="s">
        <v>503</v>
      </c>
      <c r="B47" s="122">
        <f>B36</f>
        <v>0.36800000000000005</v>
      </c>
      <c r="C47" s="123">
        <f>C36</f>
        <v>537.84</v>
      </c>
      <c r="D47" s="456">
        <f>D36</f>
        <v>403.36999999999995</v>
      </c>
    </row>
    <row r="48" spans="1:24" ht="14.25" customHeight="1" x14ac:dyDescent="0.2">
      <c r="A48" s="453" t="s">
        <v>494</v>
      </c>
      <c r="B48" s="122"/>
      <c r="C48" s="123">
        <f>C44</f>
        <v>600.29999999999995</v>
      </c>
      <c r="D48" s="456">
        <f>D44</f>
        <v>620.03</v>
      </c>
    </row>
    <row r="49" spans="1:4" ht="14.25" customHeight="1" x14ac:dyDescent="0.2">
      <c r="A49" s="447" t="s">
        <v>479</v>
      </c>
      <c r="B49" s="104"/>
      <c r="C49" s="113">
        <f>SUM(C46:C48)</f>
        <v>1284.2878787878788</v>
      </c>
      <c r="D49" s="448">
        <f>SUM(D46:D48)</f>
        <v>1133.0134090909091</v>
      </c>
    </row>
    <row r="50" spans="1:4" ht="14.25" customHeight="1" x14ac:dyDescent="0.2">
      <c r="A50" s="1019"/>
      <c r="B50" s="1007"/>
      <c r="C50" s="106"/>
      <c r="D50" s="450"/>
    </row>
    <row r="51" spans="1:4" s="125" customFormat="1" ht="14.25" customHeight="1" x14ac:dyDescent="0.2">
      <c r="A51" s="1020" t="s">
        <v>504</v>
      </c>
      <c r="B51" s="1012"/>
      <c r="C51" s="1012"/>
      <c r="D51" s="1021"/>
    </row>
    <row r="52" spans="1:4" ht="14.25" customHeight="1" x14ac:dyDescent="0.2">
      <c r="A52" s="443" t="s">
        <v>505</v>
      </c>
      <c r="B52" s="94" t="s">
        <v>471</v>
      </c>
      <c r="C52" s="94" t="s">
        <v>472</v>
      </c>
      <c r="D52" s="444" t="s">
        <v>472</v>
      </c>
    </row>
    <row r="53" spans="1:4" ht="14.25" customHeight="1" x14ac:dyDescent="0.2">
      <c r="A53" s="451" t="s">
        <v>506</v>
      </c>
      <c r="B53" s="126"/>
      <c r="C53" s="126"/>
      <c r="D53" s="457"/>
    </row>
    <row r="54" spans="1:4" ht="14.25" customHeight="1" x14ac:dyDescent="0.2">
      <c r="A54" s="453" t="s">
        <v>507</v>
      </c>
      <c r="B54" s="122">
        <f>1/12*0.05</f>
        <v>4.1666666666666666E-3</v>
      </c>
      <c r="C54" s="128">
        <f>C19*$B54</f>
        <v>5.480681818181818</v>
      </c>
      <c r="D54" s="458">
        <f t="shared" ref="D54" si="2">D19*$B54</f>
        <v>4.1105113636363635</v>
      </c>
    </row>
    <row r="55" spans="1:4" ht="14.25" customHeight="1" x14ac:dyDescent="0.2">
      <c r="A55" s="453" t="s">
        <v>508</v>
      </c>
      <c r="B55" s="122">
        <f>B35*B54</f>
        <v>3.3333333333333332E-4</v>
      </c>
      <c r="C55" s="128">
        <f>$B$55*C19</f>
        <v>0.43845454545454543</v>
      </c>
      <c r="D55" s="458">
        <f t="shared" ref="D55" si="3">$B$55*D19</f>
        <v>0.32884090909090907</v>
      </c>
    </row>
    <row r="56" spans="1:4" ht="14.25" customHeight="1" x14ac:dyDescent="0.2">
      <c r="A56" s="453" t="s">
        <v>509</v>
      </c>
      <c r="B56" s="122">
        <v>0</v>
      </c>
      <c r="C56" s="128">
        <f>C35*$B56</f>
        <v>0</v>
      </c>
      <c r="D56" s="458">
        <f t="shared" ref="D56" si="4">D35*$B56</f>
        <v>0</v>
      </c>
    </row>
    <row r="57" spans="1:4" ht="14.25" customHeight="1" x14ac:dyDescent="0.2">
      <c r="A57" s="453" t="s">
        <v>510</v>
      </c>
      <c r="B57" s="122">
        <f>1/12*1/30*7</f>
        <v>1.9444444444444441E-2</v>
      </c>
      <c r="C57" s="123">
        <f>C19*$B57</f>
        <v>25.576515151515146</v>
      </c>
      <c r="D57" s="456">
        <f t="shared" ref="D57" si="5">D19*$B57</f>
        <v>19.182386363636361</v>
      </c>
    </row>
    <row r="58" spans="1:4" ht="14.25" customHeight="1" x14ac:dyDescent="0.2">
      <c r="A58" s="453" t="s">
        <v>511</v>
      </c>
      <c r="B58" s="122">
        <f>B36*B57</f>
        <v>7.1555555555555556E-3</v>
      </c>
      <c r="C58" s="123">
        <f>$B58*C19</f>
        <v>9.4121575757575755</v>
      </c>
      <c r="D58" s="456">
        <f t="shared" ref="D58" si="6">$B58*D19</f>
        <v>7.0591181818181816</v>
      </c>
    </row>
    <row r="59" spans="1:4" ht="14.25" customHeight="1" x14ac:dyDescent="0.2">
      <c r="A59" s="453" t="s">
        <v>512</v>
      </c>
      <c r="B59" s="122">
        <f>B35*40/100*90/100*(1+1/12+1/12+1/3*1/12)</f>
        <v>3.4399999999999993E-2</v>
      </c>
      <c r="C59" s="123">
        <f>C19*$B59</f>
        <v>45.248509090909081</v>
      </c>
      <c r="D59" s="456">
        <f t="shared" ref="D59" si="7">D19*$B59</f>
        <v>33.936381818181808</v>
      </c>
    </row>
    <row r="60" spans="1:4" ht="14.25" customHeight="1" x14ac:dyDescent="0.2">
      <c r="A60" s="447" t="s">
        <v>479</v>
      </c>
      <c r="B60" s="112">
        <f>SUM(B54:B59)</f>
        <v>6.5499999999999989E-2</v>
      </c>
      <c r="C60" s="129">
        <f>SUM(C54:C59)</f>
        <v>86.156318181818165</v>
      </c>
      <c r="D60" s="459">
        <f>SUM(D54:D59)</f>
        <v>64.617238636363624</v>
      </c>
    </row>
    <row r="61" spans="1:4" ht="14.25" customHeight="1" x14ac:dyDescent="0.2">
      <c r="A61" s="1019"/>
      <c r="B61" s="1007"/>
      <c r="C61" s="396"/>
      <c r="D61" s="460"/>
    </row>
    <row r="62" spans="1:4" ht="14.25" customHeight="1" x14ac:dyDescent="0.2">
      <c r="A62" s="1020" t="s">
        <v>513</v>
      </c>
      <c r="B62" s="1012"/>
      <c r="C62" s="1012"/>
      <c r="D62" s="1021"/>
    </row>
    <row r="63" spans="1:4" ht="14.25" customHeight="1" x14ac:dyDescent="0.2">
      <c r="A63" s="451" t="s">
        <v>41</v>
      </c>
      <c r="B63" s="109"/>
      <c r="C63" s="109"/>
      <c r="D63" s="452"/>
    </row>
    <row r="64" spans="1:4" ht="14.25" customHeight="1" x14ac:dyDescent="0.2">
      <c r="A64" s="453" t="s">
        <v>42</v>
      </c>
      <c r="B64" s="100">
        <f>1/12</f>
        <v>8.3333333333333329E-2</v>
      </c>
      <c r="C64" s="117">
        <f>B64*($C$19+$C$49+$C$60)</f>
        <v>223.81731944444442</v>
      </c>
      <c r="D64" s="455">
        <f>B64*($D$19+$D$49+$D$60)</f>
        <v>182.01278125000002</v>
      </c>
    </row>
    <row r="65" spans="1:4" ht="14.25" customHeight="1" x14ac:dyDescent="0.2">
      <c r="A65" s="453" t="s">
        <v>514</v>
      </c>
      <c r="B65" s="100">
        <f>MC!E51/30/12</f>
        <v>1.3538888888888885E-2</v>
      </c>
      <c r="C65" s="117">
        <f>B65*($C$19+$C$49+$C$60)</f>
        <v>36.362853832407396</v>
      </c>
      <c r="D65" s="455">
        <f>B65*($D$19+$D$49+$D$60)</f>
        <v>29.571009860416662</v>
      </c>
    </row>
    <row r="66" spans="1:4" ht="14.25" customHeight="1" x14ac:dyDescent="0.2">
      <c r="A66" s="453" t="s">
        <v>515</v>
      </c>
      <c r="B66" s="131">
        <f>(5/30)/12*MC!F53*MC!C54</f>
        <v>1.0764583333333333E-4</v>
      </c>
      <c r="C66" s="117">
        <f>B66*($C$19+$C$49+$C$60)</f>
        <v>0.28911602239236112</v>
      </c>
      <c r="D66" s="455">
        <f>B66*($D$19+$D$49+$D$60)</f>
        <v>0.23511501017968753</v>
      </c>
    </row>
    <row r="67" spans="1:4" ht="14.25" customHeight="1" x14ac:dyDescent="0.2">
      <c r="A67" s="453" t="s">
        <v>516</v>
      </c>
      <c r="B67" s="131">
        <f>MC!C56/30/12</f>
        <v>2.6830555555555553E-3</v>
      </c>
      <c r="C67" s="117">
        <f>B67*($C$19+$C$49+$C$60)</f>
        <v>7.2061716283796287</v>
      </c>
      <c r="D67" s="455">
        <f>B67*($D$19+$D$49+$D$60)</f>
        <v>5.8602048469791672</v>
      </c>
    </row>
    <row r="68" spans="1:4" ht="14.25" customHeight="1" x14ac:dyDescent="0.2">
      <c r="A68" s="453" t="s">
        <v>517</v>
      </c>
      <c r="B68" s="100"/>
      <c r="C68" s="117"/>
      <c r="D68" s="455"/>
    </row>
    <row r="69" spans="1:4" ht="14.25" customHeight="1" x14ac:dyDescent="0.2">
      <c r="A69" s="461" t="s">
        <v>518</v>
      </c>
      <c r="B69" s="133">
        <f>SUM(B64:B68)</f>
        <v>9.9662923611111107E-2</v>
      </c>
      <c r="C69" s="134">
        <f>SUM(C64:C68)</f>
        <v>267.67546092762382</v>
      </c>
      <c r="D69" s="462">
        <f>SUM(D64:D68)</f>
        <v>217.67911096757555</v>
      </c>
    </row>
    <row r="70" spans="1:4" ht="14.25" customHeight="1" x14ac:dyDescent="0.2">
      <c r="A70" s="451" t="s">
        <v>519</v>
      </c>
      <c r="B70" s="109"/>
      <c r="C70" s="109"/>
      <c r="D70" s="452"/>
    </row>
    <row r="71" spans="1:4" ht="14.25" customHeight="1" x14ac:dyDescent="0.2">
      <c r="A71" s="453" t="s">
        <v>520</v>
      </c>
      <c r="B71" s="100"/>
      <c r="C71" s="117"/>
      <c r="D71" s="455"/>
    </row>
    <row r="72" spans="1:4" ht="14.25" customHeight="1" x14ac:dyDescent="0.2">
      <c r="A72" s="461" t="s">
        <v>518</v>
      </c>
      <c r="B72" s="133"/>
      <c r="C72" s="134">
        <f>C71</f>
        <v>0</v>
      </c>
      <c r="D72" s="462"/>
    </row>
    <row r="73" spans="1:4" ht="14.25" customHeight="1" x14ac:dyDescent="0.2">
      <c r="A73" s="451" t="s">
        <v>63</v>
      </c>
      <c r="B73" s="109"/>
      <c r="C73" s="109"/>
      <c r="D73" s="452"/>
    </row>
    <row r="74" spans="1:4" ht="14.25" customHeight="1" x14ac:dyDescent="0.2">
      <c r="A74" s="453" t="s">
        <v>64</v>
      </c>
      <c r="B74" s="100">
        <f>120/30*MC!C59*MC!C60</f>
        <v>6.18624E-3</v>
      </c>
      <c r="C74" s="117">
        <f>(((C19*2)+ (C19*1/3))+(C36)+(C44-C38-C39))*$B$74</f>
        <v>22.901595452509092</v>
      </c>
      <c r="D74" s="455">
        <f>(((D19*2)+ (D19*1/3))+(D36)+(D44-D38-D39))*$B$74</f>
        <v>17.323057926981818</v>
      </c>
    </row>
    <row r="75" spans="1:4" ht="14.25" customHeight="1" x14ac:dyDescent="0.2">
      <c r="A75" s="461" t="s">
        <v>479</v>
      </c>
      <c r="B75" s="133"/>
      <c r="C75" s="134"/>
      <c r="D75" s="462"/>
    </row>
    <row r="76" spans="1:4" ht="14.25" customHeight="1" x14ac:dyDescent="0.2">
      <c r="A76" s="443" t="s">
        <v>521</v>
      </c>
      <c r="B76" s="94"/>
      <c r="C76" s="94"/>
      <c r="D76" s="444"/>
    </row>
    <row r="77" spans="1:4" ht="14.25" customHeight="1" x14ac:dyDescent="0.2">
      <c r="A77" s="453" t="s">
        <v>41</v>
      </c>
      <c r="B77" s="122">
        <f>B69</f>
        <v>9.9662923611111107E-2</v>
      </c>
      <c r="C77" s="123">
        <f>C69</f>
        <v>267.67546092762382</v>
      </c>
      <c r="D77" s="456">
        <f>D69</f>
        <v>217.67911096757555</v>
      </c>
    </row>
    <row r="78" spans="1:4" ht="14.25" customHeight="1" x14ac:dyDescent="0.2">
      <c r="A78" s="453" t="s">
        <v>519</v>
      </c>
      <c r="B78" s="122">
        <f>B72</f>
        <v>0</v>
      </c>
      <c r="C78" s="123">
        <f>C72</f>
        <v>0</v>
      </c>
      <c r="D78" s="456">
        <f>D72</f>
        <v>0</v>
      </c>
    </row>
    <row r="79" spans="1:4" ht="14.25" customHeight="1" x14ac:dyDescent="0.2">
      <c r="A79" s="453" t="s">
        <v>63</v>
      </c>
      <c r="B79" s="122">
        <f>B74</f>
        <v>6.18624E-3</v>
      </c>
      <c r="C79" s="123">
        <f>C74</f>
        <v>22.901595452509092</v>
      </c>
      <c r="D79" s="456">
        <f>D74</f>
        <v>17.323057926981818</v>
      </c>
    </row>
    <row r="80" spans="1:4" ht="14.25" customHeight="1" x14ac:dyDescent="0.2">
      <c r="A80" s="447" t="s">
        <v>479</v>
      </c>
      <c r="B80" s="104"/>
      <c r="C80" s="113">
        <f>SUM(C77:C79)</f>
        <v>290.57705638013289</v>
      </c>
      <c r="D80" s="448">
        <f>SUM(D77:D79)</f>
        <v>235.00216889455737</v>
      </c>
    </row>
    <row r="81" spans="1:4" ht="14.25" customHeight="1" x14ac:dyDescent="0.2">
      <c r="A81" s="449"/>
      <c r="B81" s="106"/>
      <c r="C81" s="106"/>
      <c r="D81" s="450"/>
    </row>
    <row r="82" spans="1:4" ht="14.25" customHeight="1" x14ac:dyDescent="0.2">
      <c r="A82" s="463" t="s">
        <v>522</v>
      </c>
      <c r="B82" s="257"/>
      <c r="C82" s="257"/>
      <c r="D82" s="464"/>
    </row>
    <row r="83" spans="1:4" ht="14.25" customHeight="1" x14ac:dyDescent="0.2">
      <c r="A83" s="443" t="s">
        <v>523</v>
      </c>
      <c r="B83" s="94" t="s">
        <v>495</v>
      </c>
      <c r="C83" s="94" t="s">
        <v>472</v>
      </c>
      <c r="D83" s="444" t="s">
        <v>472</v>
      </c>
    </row>
    <row r="84" spans="1:4" ht="14.25" customHeight="1" x14ac:dyDescent="0.2">
      <c r="A84" s="453" t="s">
        <v>524</v>
      </c>
      <c r="B84" s="496">
        <f>Insumos!G117</f>
        <v>27.875416666666666</v>
      </c>
      <c r="C84" s="98">
        <f>B84</f>
        <v>27.875416666666666</v>
      </c>
      <c r="D84" s="446">
        <f>B84</f>
        <v>27.875416666666666</v>
      </c>
    </row>
    <row r="85" spans="1:4" ht="14.25" customHeight="1" x14ac:dyDescent="0.2">
      <c r="A85" s="465" t="s">
        <v>525</v>
      </c>
      <c r="B85" s="496">
        <f>Insumos!G69</f>
        <v>247.1166666666667</v>
      </c>
      <c r="C85" s="98">
        <f>B85</f>
        <v>247.1166666666667</v>
      </c>
      <c r="D85" s="446">
        <f>B85</f>
        <v>247.1166666666667</v>
      </c>
    </row>
    <row r="86" spans="1:4" ht="14.25" customHeight="1" x14ac:dyDescent="0.2">
      <c r="A86" s="465" t="s">
        <v>526</v>
      </c>
      <c r="B86" s="497">
        <v>0</v>
      </c>
      <c r="C86" s="98"/>
      <c r="D86" s="446"/>
    </row>
    <row r="87" spans="1:4" ht="14.25" customHeight="1" x14ac:dyDescent="0.2">
      <c r="A87" s="465" t="s">
        <v>527</v>
      </c>
      <c r="B87" s="498"/>
      <c r="C87" s="98">
        <f>Insumos!I122</f>
        <v>142.21333333333334</v>
      </c>
      <c r="D87" s="446">
        <f>Insumos!H122</f>
        <v>122.52333333333333</v>
      </c>
    </row>
    <row r="88" spans="1:4" ht="14.25" customHeight="1" x14ac:dyDescent="0.2">
      <c r="A88" s="465" t="s">
        <v>528</v>
      </c>
      <c r="B88" s="499">
        <v>0</v>
      </c>
      <c r="C88" s="98"/>
      <c r="D88" s="446"/>
    </row>
    <row r="89" spans="1:4" ht="14.25" customHeight="1" x14ac:dyDescent="0.2">
      <c r="A89" s="465" t="s">
        <v>601</v>
      </c>
      <c r="B89" s="496">
        <v>0</v>
      </c>
      <c r="C89" s="98"/>
      <c r="D89" s="446"/>
    </row>
    <row r="90" spans="1:4" ht="14.25" customHeight="1" x14ac:dyDescent="0.2">
      <c r="A90" s="465" t="s">
        <v>530</v>
      </c>
      <c r="B90" s="496">
        <v>0</v>
      </c>
      <c r="C90" s="98"/>
      <c r="D90" s="446"/>
    </row>
    <row r="91" spans="1:4" ht="14.25" customHeight="1" x14ac:dyDescent="0.2">
      <c r="A91" s="461" t="s">
        <v>479</v>
      </c>
      <c r="B91" s="136"/>
      <c r="C91" s="134">
        <f>SUM(C84:C90)</f>
        <v>417.20541666666668</v>
      </c>
      <c r="D91" s="462">
        <f t="shared" ref="D91" si="8">SUM(D84:D90)</f>
        <v>397.51541666666668</v>
      </c>
    </row>
    <row r="92" spans="1:4" ht="14.25" customHeight="1" x14ac:dyDescent="0.2">
      <c r="A92" s="1019"/>
      <c r="B92" s="1007"/>
      <c r="C92" s="137"/>
      <c r="D92" s="466"/>
    </row>
    <row r="93" spans="1:4" ht="14.25" customHeight="1" x14ac:dyDescent="0.2">
      <c r="A93" s="463" t="s">
        <v>531</v>
      </c>
      <c r="B93" s="257"/>
      <c r="C93" s="257"/>
      <c r="D93" s="464"/>
    </row>
    <row r="94" spans="1:4" ht="14.25" customHeight="1" x14ac:dyDescent="0.2">
      <c r="A94" s="443" t="s">
        <v>532</v>
      </c>
      <c r="B94" s="94" t="s">
        <v>471</v>
      </c>
      <c r="C94" s="94" t="s">
        <v>472</v>
      </c>
      <c r="D94" s="444" t="s">
        <v>472</v>
      </c>
    </row>
    <row r="95" spans="1:4" ht="14.25" customHeight="1" x14ac:dyDescent="0.2">
      <c r="A95" s="445" t="s">
        <v>69</v>
      </c>
      <c r="B95" s="100">
        <v>0.03</v>
      </c>
      <c r="C95" s="117">
        <f>($C$19+$C$49+$C$60+$C$80+$C$91)*$B$95</f>
        <v>101.80770919140399</v>
      </c>
      <c r="D95" s="455">
        <f>($D$19+$D$49+$D$60+$D$80+$D$91)*$B$95</f>
        <v>84.500128816836735</v>
      </c>
    </row>
    <row r="96" spans="1:4" ht="14.25" customHeight="1" x14ac:dyDescent="0.2">
      <c r="A96" s="445" t="s">
        <v>70</v>
      </c>
      <c r="B96" s="100">
        <v>6.7900000000000002E-2</v>
      </c>
      <c r="C96" s="117">
        <f>($C$19+$C$49+$C$60+$C$80+$C$91+C95)*B96</f>
        <v>237.33752525730736</v>
      </c>
      <c r="D96" s="455">
        <f>($D$19+$D$49+$D$60+$D$80+$D$91+$D$95)*$B$96</f>
        <v>196.98951696877037</v>
      </c>
    </row>
    <row r="97" spans="1:4" ht="14.25" customHeight="1" x14ac:dyDescent="0.2">
      <c r="A97" s="467" t="s">
        <v>533</v>
      </c>
      <c r="B97" s="261">
        <f>B98+B99</f>
        <v>0.1125</v>
      </c>
      <c r="C97" s="262">
        <f>((C19+C49+C60+C80+C91+C95+C96)/(1-($B$97)))*$B$97</f>
        <v>473.16366010506476</v>
      </c>
      <c r="D97" s="468">
        <f>((D19+D49+D60+D80+D91+D95+D96)/(1-($B$97)))*$B$97</f>
        <v>392.72458390311954</v>
      </c>
    </row>
    <row r="98" spans="1:4" ht="14.25" customHeight="1" x14ac:dyDescent="0.2">
      <c r="A98" s="445" t="s">
        <v>534</v>
      </c>
      <c r="B98" s="100">
        <f>0.0165+0.076</f>
        <v>9.2499999999999999E-2</v>
      </c>
      <c r="C98" s="263">
        <f>((C$19+C$49+C$60+C$80+C$91+C$95+C$96)/(1-($B$97)))*$B$98</f>
        <v>389.04567608638661</v>
      </c>
      <c r="D98" s="469">
        <f t="shared" ref="D98" si="9">((D$19+D$49+D$60+D$80+D$91+D$95+D$96)/(1-($B$97)))*$B$98</f>
        <v>322.9068800981205</v>
      </c>
    </row>
    <row r="99" spans="1:4" ht="14.25" customHeight="1" x14ac:dyDescent="0.2">
      <c r="A99" s="445" t="s">
        <v>535</v>
      </c>
      <c r="B99" s="100">
        <v>0.02</v>
      </c>
      <c r="C99" s="264">
        <f>((C$19+C$49+C$60+C$80+C$91+C$95+C$96)/(1-($B$97)))*$B$99</f>
        <v>84.117984018678186</v>
      </c>
      <c r="D99" s="470">
        <f t="shared" ref="D99" si="10">((D$19+D$49+D$60+D$80+D$91+D$95+D$96)/(1-($B$97)))*$B$99</f>
        <v>69.817703804999027</v>
      </c>
    </row>
    <row r="100" spans="1:4" ht="14.25" customHeight="1" x14ac:dyDescent="0.2">
      <c r="A100" s="467" t="s">
        <v>537</v>
      </c>
      <c r="B100" s="261">
        <f>B101+B102</f>
        <v>0.1225</v>
      </c>
      <c r="C100" s="262">
        <f>((C19+C49+C60+C80+C91+C95+C96)/(1-($B$100)))*$B$100</f>
        <v>521.09413532938277</v>
      </c>
      <c r="D100" s="468">
        <f t="shared" ref="D100" si="11">((D19+D49+D60+D80+D91+D95+D96)/(1-($B$100)))*$B$100</f>
        <v>432.50675131337533</v>
      </c>
    </row>
    <row r="101" spans="1:4" ht="14.25" customHeight="1" x14ac:dyDescent="0.2">
      <c r="A101" s="445" t="s">
        <v>534</v>
      </c>
      <c r="B101" s="100">
        <f>0.0165+0.076</f>
        <v>9.2499999999999999E-2</v>
      </c>
      <c r="C101" s="263">
        <f>((C19+C49+C60+C80+C91+C95+C96)/(1-($B$100)))*$B$101</f>
        <v>393.479245044636</v>
      </c>
      <c r="D101" s="469">
        <f t="shared" ref="D101" si="12">((D19+D49+D60+D80+D91+D95+D96)/(1-($B$100)))*$B$101</f>
        <v>326.58673058356914</v>
      </c>
    </row>
    <row r="102" spans="1:4" ht="14.25" customHeight="1" x14ac:dyDescent="0.2">
      <c r="A102" s="445" t="s">
        <v>535</v>
      </c>
      <c r="B102" s="100">
        <v>0.03</v>
      </c>
      <c r="C102" s="264">
        <f>((C$19+C$49+C$60+C$80+C$91+C$95+C$96)/(1-($B$100)))*$B$102</f>
        <v>127.61489028474681</v>
      </c>
      <c r="D102" s="470">
        <f t="shared" ref="D102" si="13">((D$19+D$49+D$60+D$80+D$91+D$95+D$96)/(1-($B$100)))*$B$102</f>
        <v>105.92002072980621</v>
      </c>
    </row>
    <row r="103" spans="1:4" ht="14.25" customHeight="1" x14ac:dyDescent="0.2">
      <c r="A103" s="467" t="s">
        <v>607</v>
      </c>
      <c r="B103" s="261">
        <f>B104+B105</f>
        <v>0.1245</v>
      </c>
      <c r="C103" s="262">
        <f>((C19+C49+C60+C80+C91+C95+C96)/(1-($B$103)))*$B$103</f>
        <v>530.81162173979567</v>
      </c>
      <c r="D103" s="468">
        <f t="shared" ref="D103" si="14">((D19+D49+D60+D80+D91+D95+D96)/(1-($B$103)))*$B$103</f>
        <v>440.57223928061745</v>
      </c>
    </row>
    <row r="104" spans="1:4" ht="14.25" customHeight="1" x14ac:dyDescent="0.2">
      <c r="A104" s="445" t="s">
        <v>534</v>
      </c>
      <c r="B104" s="100">
        <f>0.0165+0.076</f>
        <v>9.2499999999999999E-2</v>
      </c>
      <c r="C104" s="263">
        <f>((C19+C49+C60+C80+C91+C95+C96)/(1-($B$103)))*$B$104</f>
        <v>394.37811253759918</v>
      </c>
      <c r="D104" s="469">
        <f t="shared" ref="D104" si="15">((D19+D49+D60+D80+D91+D95+D96)/(1-($B$103)))*$B$104</f>
        <v>327.3327882205391</v>
      </c>
    </row>
    <row r="105" spans="1:4" ht="14.25" customHeight="1" x14ac:dyDescent="0.2">
      <c r="A105" s="445" t="s">
        <v>535</v>
      </c>
      <c r="B105" s="100">
        <v>3.2000000000000001E-2</v>
      </c>
      <c r="C105" s="264">
        <f>((C19+C49+C60+C80+C91+C95+C96)/(1-($B$103)))*$B$105</f>
        <v>136.43350920219646</v>
      </c>
      <c r="D105" s="470">
        <f t="shared" ref="D105" si="16">((D19+D49+D60+D80+D91+D95+D96)/(1-($B$103)))*$B$105</f>
        <v>113.23945106007838</v>
      </c>
    </row>
    <row r="106" spans="1:4" ht="14.25" customHeight="1" x14ac:dyDescent="0.2">
      <c r="A106" s="467" t="s">
        <v>538</v>
      </c>
      <c r="B106" s="261">
        <f>B107+B108</f>
        <v>0.13250000000000001</v>
      </c>
      <c r="C106" s="262">
        <f>((C19+C49+C60+C80+C91+C95+C96)/(1-($B$106)))*$B$106</f>
        <v>570.12963591910295</v>
      </c>
      <c r="D106" s="468">
        <f t="shared" ref="D106" si="17">((D19+D49+D60+D80+D91+D95+D96)/(1-($B$106)))*$B$106</f>
        <v>473.20608684836338</v>
      </c>
    </row>
    <row r="107" spans="1:4" ht="14.25" customHeight="1" x14ac:dyDescent="0.2">
      <c r="A107" s="445" t="s">
        <v>534</v>
      </c>
      <c r="B107" s="100">
        <f>0.0165+0.076</f>
        <v>9.2499999999999999E-2</v>
      </c>
      <c r="C107" s="263">
        <f>((C19+C49+C60+C80+C91+C95+C96)/(1-($B$106)))*$B$107</f>
        <v>398.01502884918506</v>
      </c>
      <c r="D107" s="469">
        <f t="shared" ref="D107" si="18">((D19+D49+D60+D80+D91+D95+D96)/(1-($B$106)))*$B$107</f>
        <v>330.35141912055553</v>
      </c>
    </row>
    <row r="108" spans="1:4" ht="14.25" customHeight="1" x14ac:dyDescent="0.2">
      <c r="A108" s="445" t="s">
        <v>535</v>
      </c>
      <c r="B108" s="100">
        <v>0.04</v>
      </c>
      <c r="C108" s="264">
        <f>((C19+C49+C60+C80+C91+C95+C96)/(1-($B$106)))*$B$108</f>
        <v>172.11460706991787</v>
      </c>
      <c r="D108" s="470">
        <f t="shared" ref="D108" si="19">((D19+D49+D60+D80+D91+D95+D96)/(1-($B$106)))*$B$108</f>
        <v>142.85466772780782</v>
      </c>
    </row>
    <row r="109" spans="1:4" ht="14.25" customHeight="1" x14ac:dyDescent="0.2">
      <c r="A109" s="467" t="s">
        <v>539</v>
      </c>
      <c r="B109" s="261">
        <f>B110+B111</f>
        <v>0.14250000000000002</v>
      </c>
      <c r="C109" s="262">
        <f>((C19+C49+C60+C80+C91+C95+C96)/(1-($B$109)))*$B$109</f>
        <v>620.30882165377307</v>
      </c>
      <c r="D109" s="468">
        <f t="shared" ref="D109" si="20">((D19+D49+D60+D80+D91+D95+D96)/(1-($B$109)))*$B$109</f>
        <v>514.85467802265146</v>
      </c>
    </row>
    <row r="110" spans="1:4" ht="14.25" customHeight="1" x14ac:dyDescent="0.2">
      <c r="A110" s="445" t="s">
        <v>534</v>
      </c>
      <c r="B110" s="100">
        <f>0.0165+0.076</f>
        <v>9.2499999999999999E-2</v>
      </c>
      <c r="C110" s="263">
        <f>((C19+C49+C60+C80+C91+C95+C96)/(1-($B$109)))*$B$110</f>
        <v>402.6566035296421</v>
      </c>
      <c r="D110" s="469">
        <f t="shared" ref="D110" si="21">((D19+D49+D60+D80+D91+D95+D96)/(1-($B$109)))*$B$110</f>
        <v>334.2039138041772</v>
      </c>
    </row>
    <row r="111" spans="1:4" ht="14.25" customHeight="1" x14ac:dyDescent="0.2">
      <c r="A111" s="445" t="s">
        <v>535</v>
      </c>
      <c r="B111" s="266">
        <v>0.05</v>
      </c>
      <c r="C111" s="264">
        <f>((C19+C49+C60+C80+C91+C95+C96)/(1-($B$109)))*$B$111</f>
        <v>217.65221812413088</v>
      </c>
      <c r="D111" s="470">
        <f t="shared" ref="D111" si="22">((D19+D49+D60+D80+D91+D95+D96)/(1-($B$109)))*$B$111</f>
        <v>180.65076421847417</v>
      </c>
    </row>
    <row r="112" spans="1:4" ht="14.25" customHeight="1" x14ac:dyDescent="0.2">
      <c r="A112" s="1022" t="s">
        <v>540</v>
      </c>
      <c r="B112" s="267">
        <v>0.02</v>
      </c>
      <c r="C112" s="268">
        <f>C95+C96+C97</f>
        <v>812.3088945537761</v>
      </c>
      <c r="D112" s="471">
        <f>D95+D96+D97</f>
        <v>674.21422968872662</v>
      </c>
    </row>
    <row r="113" spans="1:4" ht="14.25" customHeight="1" x14ac:dyDescent="0.2">
      <c r="A113" s="1022"/>
      <c r="B113" s="269">
        <v>2.5000000000000001E-2</v>
      </c>
      <c r="C113" s="270">
        <f>C95+C96+C100</f>
        <v>860.2393697780941</v>
      </c>
      <c r="D113" s="472">
        <f>D95+D96+D100</f>
        <v>713.99639709898247</v>
      </c>
    </row>
    <row r="114" spans="1:4" ht="14.25" customHeight="1" x14ac:dyDescent="0.2">
      <c r="A114" s="1022"/>
      <c r="B114" s="269">
        <v>0.03</v>
      </c>
      <c r="C114" s="270">
        <f>C95+C96+C103</f>
        <v>869.956856188507</v>
      </c>
      <c r="D114" s="472">
        <f>D95+D96+D103</f>
        <v>722.06188506622448</v>
      </c>
    </row>
    <row r="115" spans="1:4" ht="14.25" customHeight="1" x14ac:dyDescent="0.2">
      <c r="A115" s="1022"/>
      <c r="B115" s="269">
        <v>0.04</v>
      </c>
      <c r="C115" s="270">
        <f>C95+C96+C106</f>
        <v>909.27487036781429</v>
      </c>
      <c r="D115" s="472">
        <f>D95+D96+D106</f>
        <v>754.69573263397047</v>
      </c>
    </row>
    <row r="116" spans="1:4" ht="14.25" customHeight="1" x14ac:dyDescent="0.2">
      <c r="A116" s="1022"/>
      <c r="B116" s="271">
        <v>0.05</v>
      </c>
      <c r="C116" s="272">
        <f>C95+C96+C109</f>
        <v>959.4540561024844</v>
      </c>
      <c r="D116" s="473">
        <f>D95+D96+D109</f>
        <v>796.34432380825854</v>
      </c>
    </row>
    <row r="117" spans="1:4" ht="14.25" customHeight="1" x14ac:dyDescent="0.2">
      <c r="A117" s="445" t="s">
        <v>541</v>
      </c>
      <c r="B117" s="273"/>
      <c r="C117" s="274"/>
      <c r="D117" s="474"/>
    </row>
    <row r="118" spans="1:4" ht="14.25" customHeight="1" x14ac:dyDescent="0.2">
      <c r="A118" s="475"/>
      <c r="B118" s="277"/>
      <c r="C118" s="278"/>
      <c r="D118" s="476"/>
    </row>
    <row r="119" spans="1:4" ht="7.5" customHeight="1" x14ac:dyDescent="0.2">
      <c r="A119" s="1023"/>
      <c r="B119" s="1009"/>
      <c r="C119" s="1009"/>
      <c r="D119" s="1024"/>
    </row>
    <row r="120" spans="1:4" ht="7.5" customHeight="1" x14ac:dyDescent="0.2">
      <c r="A120" s="1025"/>
      <c r="B120" s="1010"/>
      <c r="C120" s="1010"/>
      <c r="D120" s="1026"/>
    </row>
    <row r="121" spans="1:4" ht="54.75" customHeight="1" x14ac:dyDescent="0.2">
      <c r="A121" s="1027" t="s">
        <v>542</v>
      </c>
      <c r="B121" s="1011"/>
      <c r="C121" s="281" t="str">
        <f>C10</f>
        <v>Servente COVID 40h</v>
      </c>
      <c r="D121" s="477" t="str">
        <f>D10</f>
        <v>Servente COVID 30h</v>
      </c>
    </row>
    <row r="122" spans="1:4" ht="15.75" customHeight="1" x14ac:dyDescent="0.2">
      <c r="A122" s="1028" t="s">
        <v>543</v>
      </c>
      <c r="B122" s="1005"/>
      <c r="C122" s="284" t="s">
        <v>472</v>
      </c>
      <c r="D122" s="478" t="s">
        <v>472</v>
      </c>
    </row>
    <row r="123" spans="1:4" ht="14.25" customHeight="1" x14ac:dyDescent="0.2">
      <c r="A123" s="1029" t="s">
        <v>544</v>
      </c>
      <c r="B123" s="1006"/>
      <c r="C123" s="286">
        <f>C19</f>
        <v>1315.3636363636363</v>
      </c>
      <c r="D123" s="479">
        <f>D19</f>
        <v>986.52272727272725</v>
      </c>
    </row>
    <row r="124" spans="1:4" ht="14.25" customHeight="1" x14ac:dyDescent="0.2">
      <c r="A124" s="1016" t="s">
        <v>545</v>
      </c>
      <c r="B124" s="1001"/>
      <c r="C124" s="139">
        <f>C49</f>
        <v>1284.2878787878788</v>
      </c>
      <c r="D124" s="480">
        <f>D49</f>
        <v>1133.0134090909091</v>
      </c>
    </row>
    <row r="125" spans="1:4" ht="14.25" customHeight="1" x14ac:dyDescent="0.2">
      <c r="A125" s="1016" t="s">
        <v>546</v>
      </c>
      <c r="B125" s="1001"/>
      <c r="C125" s="139">
        <f>C60</f>
        <v>86.156318181818165</v>
      </c>
      <c r="D125" s="480">
        <f>D60</f>
        <v>64.617238636363624</v>
      </c>
    </row>
    <row r="126" spans="1:4" ht="14.25" customHeight="1" x14ac:dyDescent="0.2">
      <c r="A126" s="1016" t="s">
        <v>547</v>
      </c>
      <c r="B126" s="1001"/>
      <c r="C126" s="139">
        <f>C80</f>
        <v>290.57705638013289</v>
      </c>
      <c r="D126" s="480">
        <f>D80</f>
        <v>235.00216889455737</v>
      </c>
    </row>
    <row r="127" spans="1:4" ht="15.75" customHeight="1" x14ac:dyDescent="0.2">
      <c r="A127" s="1016" t="s">
        <v>548</v>
      </c>
      <c r="B127" s="1001"/>
      <c r="C127" s="139">
        <f>C91</f>
        <v>417.20541666666668</v>
      </c>
      <c r="D127" s="480">
        <f>D91</f>
        <v>397.51541666666668</v>
      </c>
    </row>
    <row r="128" spans="1:4" ht="15.75" customHeight="1" x14ac:dyDescent="0.2">
      <c r="A128" s="1018" t="s">
        <v>549</v>
      </c>
      <c r="B128" s="1004"/>
      <c r="C128" s="141">
        <f>SUM(C123:C127)</f>
        <v>3393.5903063801329</v>
      </c>
      <c r="D128" s="481">
        <f>SUM(D123:D127)</f>
        <v>2816.6709605612245</v>
      </c>
    </row>
    <row r="129" spans="1:5" ht="15.75" customHeight="1" x14ac:dyDescent="0.2">
      <c r="A129" s="1017" t="s">
        <v>550</v>
      </c>
      <c r="B129" s="1002"/>
      <c r="C129" s="289">
        <f t="shared" ref="C129:D133" si="23">C112</f>
        <v>812.3088945537761</v>
      </c>
      <c r="D129" s="482">
        <f t="shared" si="23"/>
        <v>674.21422968872662</v>
      </c>
    </row>
    <row r="130" spans="1:5" ht="15.75" customHeight="1" x14ac:dyDescent="0.2">
      <c r="A130" s="1016" t="s">
        <v>551</v>
      </c>
      <c r="B130" s="1001"/>
      <c r="C130" s="291">
        <f t="shared" si="23"/>
        <v>860.2393697780941</v>
      </c>
      <c r="D130" s="483">
        <f t="shared" si="23"/>
        <v>713.99639709898247</v>
      </c>
    </row>
    <row r="131" spans="1:5" ht="15.75" customHeight="1" x14ac:dyDescent="0.2">
      <c r="A131" s="1016" t="s">
        <v>552</v>
      </c>
      <c r="B131" s="1001"/>
      <c r="C131" s="291">
        <f t="shared" si="23"/>
        <v>869.956856188507</v>
      </c>
      <c r="D131" s="483">
        <f t="shared" si="23"/>
        <v>722.06188506622448</v>
      </c>
    </row>
    <row r="132" spans="1:5" ht="15.75" customHeight="1" x14ac:dyDescent="0.2">
      <c r="A132" s="1016" t="s">
        <v>553</v>
      </c>
      <c r="B132" s="1001"/>
      <c r="C132" s="291">
        <f t="shared" si="23"/>
        <v>909.27487036781429</v>
      </c>
      <c r="D132" s="483">
        <f t="shared" si="23"/>
        <v>754.69573263397047</v>
      </c>
    </row>
    <row r="133" spans="1:5" ht="15.75" customHeight="1" x14ac:dyDescent="0.2">
      <c r="A133" s="1017" t="s">
        <v>554</v>
      </c>
      <c r="B133" s="1002"/>
      <c r="C133" s="291">
        <f t="shared" si="23"/>
        <v>959.4540561024844</v>
      </c>
      <c r="D133" s="483">
        <f t="shared" si="23"/>
        <v>796.34432380825854</v>
      </c>
    </row>
    <row r="134" spans="1:5" ht="15.75" customHeight="1" x14ac:dyDescent="0.2">
      <c r="A134" s="484" t="s">
        <v>555</v>
      </c>
      <c r="B134" s="294"/>
      <c r="C134" s="295">
        <f>C128+C129</f>
        <v>4205.899200933909</v>
      </c>
      <c r="D134" s="485">
        <f>D128+D129</f>
        <v>3490.8851902499509</v>
      </c>
      <c r="E134" s="652"/>
    </row>
    <row r="135" spans="1:5" ht="15.75" customHeight="1" x14ac:dyDescent="0.2">
      <c r="A135" s="486" t="s">
        <v>557</v>
      </c>
      <c r="B135" s="298"/>
      <c r="C135" s="299">
        <f>C128+C130</f>
        <v>4253.8296761582269</v>
      </c>
      <c r="D135" s="487">
        <f>D128+D130</f>
        <v>3530.667357660207</v>
      </c>
      <c r="E135" s="652"/>
    </row>
    <row r="136" spans="1:5" ht="15.75" customHeight="1" x14ac:dyDescent="0.2">
      <c r="A136" s="486" t="s">
        <v>608</v>
      </c>
      <c r="B136" s="298"/>
      <c r="C136" s="299">
        <f>C128+C131</f>
        <v>4263.5471625686396</v>
      </c>
      <c r="D136" s="487">
        <f>D128+D131</f>
        <v>3538.732845627449</v>
      </c>
      <c r="E136" s="652"/>
    </row>
    <row r="137" spans="1:5" ht="15.75" customHeight="1" x14ac:dyDescent="0.2">
      <c r="A137" s="486" t="s">
        <v>558</v>
      </c>
      <c r="B137" s="298"/>
      <c r="C137" s="299">
        <f>C128+C132</f>
        <v>4302.8651767479469</v>
      </c>
      <c r="D137" s="487">
        <f>D128+D132</f>
        <v>3571.3666931951948</v>
      </c>
    </row>
    <row r="138" spans="1:5" ht="15.75" customHeight="1" x14ac:dyDescent="0.2">
      <c r="A138" s="486" t="s">
        <v>559</v>
      </c>
      <c r="B138" s="298"/>
      <c r="C138" s="299">
        <f>C128+C133</f>
        <v>4353.0443624826175</v>
      </c>
      <c r="D138" s="487">
        <f>D128+D133</f>
        <v>3613.0152843694832</v>
      </c>
      <c r="E138" s="652"/>
    </row>
    <row r="139" spans="1:5" ht="15.75" customHeight="1" x14ac:dyDescent="0.2">
      <c r="A139" s="488" t="s">
        <v>560</v>
      </c>
      <c r="B139" s="302"/>
      <c r="C139" s="303">
        <f>C134/200</f>
        <v>21.029496004669546</v>
      </c>
      <c r="D139" s="489"/>
      <c r="E139" s="652"/>
    </row>
    <row r="140" spans="1:5" ht="15.75" customHeight="1" x14ac:dyDescent="0.2">
      <c r="A140" s="490" t="s">
        <v>562</v>
      </c>
      <c r="B140" s="307"/>
      <c r="C140" s="308">
        <f>C135/200</f>
        <v>21.269148380791133</v>
      </c>
      <c r="D140" s="491"/>
      <c r="E140" s="652"/>
    </row>
    <row r="141" spans="1:5" ht="15.75" customHeight="1" x14ac:dyDescent="0.2">
      <c r="A141" s="490" t="s">
        <v>609</v>
      </c>
      <c r="B141" s="307"/>
      <c r="C141" s="308">
        <f>C136/200</f>
        <v>21.317735812843196</v>
      </c>
      <c r="D141" s="491"/>
    </row>
    <row r="142" spans="1:5" ht="15.75" customHeight="1" x14ac:dyDescent="0.2">
      <c r="A142" s="490" t="s">
        <v>563</v>
      </c>
      <c r="B142" s="307"/>
      <c r="C142" s="308">
        <f>C137/200</f>
        <v>21.514325883739733</v>
      </c>
      <c r="D142" s="491"/>
    </row>
    <row r="143" spans="1:5" ht="15.75" customHeight="1" x14ac:dyDescent="0.2">
      <c r="A143" s="492" t="s">
        <v>564</v>
      </c>
      <c r="B143" s="493"/>
      <c r="C143" s="494">
        <f>C138/200</f>
        <v>21.765221812413088</v>
      </c>
      <c r="D143" s="495"/>
    </row>
    <row r="144" spans="1:5" x14ac:dyDescent="0.2">
      <c r="A144" s="316"/>
    </row>
    <row r="148" spans="5:5" x14ac:dyDescent="0.2">
      <c r="E148" s="652"/>
    </row>
  </sheetData>
  <mergeCells count="27">
    <mergeCell ref="A131:B131"/>
    <mergeCell ref="A132:B132"/>
    <mergeCell ref="A133:B133"/>
    <mergeCell ref="A125:B125"/>
    <mergeCell ref="A126:B126"/>
    <mergeCell ref="A127:B127"/>
    <mergeCell ref="A128:B128"/>
    <mergeCell ref="A129:B129"/>
    <mergeCell ref="A130:B130"/>
    <mergeCell ref="A124:B124"/>
    <mergeCell ref="A50:B50"/>
    <mergeCell ref="A51:D51"/>
    <mergeCell ref="A61:B61"/>
    <mergeCell ref="A62:D62"/>
    <mergeCell ref="A92:B92"/>
    <mergeCell ref="A112:A116"/>
    <mergeCell ref="A119:D119"/>
    <mergeCell ref="A120:D120"/>
    <mergeCell ref="A121:B121"/>
    <mergeCell ref="A122:B122"/>
    <mergeCell ref="A123:B123"/>
    <mergeCell ref="A21:D21"/>
    <mergeCell ref="A1:D1"/>
    <mergeCell ref="A2:D2"/>
    <mergeCell ref="A3:D3"/>
    <mergeCell ref="A9:D9"/>
    <mergeCell ref="A20:B20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5A11"/>
  </sheetPr>
  <dimension ref="A1:AML147"/>
  <sheetViews>
    <sheetView showGridLines="0" tabSelected="1" topLeftCell="A49" zoomScale="80" zoomScaleNormal="80" workbookViewId="0">
      <pane xSplit="2" topLeftCell="C1" activePane="topRight" state="frozen"/>
      <selection pane="topRight" activeCell="I99" sqref="I99"/>
    </sheetView>
  </sheetViews>
  <sheetFormatPr defaultRowHeight="14.25" x14ac:dyDescent="0.2"/>
  <cols>
    <col min="1" max="1" width="56.5" style="33" customWidth="1"/>
    <col min="2" max="2" width="18.25" style="33" customWidth="1"/>
    <col min="3" max="8" width="13.125" style="33" customWidth="1"/>
    <col min="9" max="11" width="15.625" style="33" customWidth="1"/>
    <col min="12" max="1025" width="9" style="33"/>
  </cols>
  <sheetData>
    <row r="1" spans="1:1023" s="34" customFormat="1" ht="20.25" customHeight="1" thickBot="1" x14ac:dyDescent="0.25">
      <c r="A1" s="891" t="s">
        <v>131</v>
      </c>
      <c r="B1" s="892"/>
      <c r="C1" s="892"/>
      <c r="D1" s="892"/>
      <c r="E1" s="892"/>
      <c r="F1" s="892"/>
      <c r="G1" s="892"/>
      <c r="H1" s="893"/>
      <c r="I1" s="734" t="s">
        <v>132</v>
      </c>
      <c r="J1" s="734"/>
      <c r="K1" s="734"/>
      <c r="L1" s="734"/>
      <c r="M1" s="734"/>
      <c r="N1" s="734"/>
      <c r="O1" s="734"/>
      <c r="P1" s="734"/>
      <c r="Q1" s="734"/>
      <c r="R1" s="734"/>
      <c r="S1" s="734"/>
    </row>
    <row r="2" spans="1:1023" customFormat="1" ht="52.5" customHeight="1" thickBot="1" x14ac:dyDescent="0.25">
      <c r="A2" s="35" t="s">
        <v>133</v>
      </c>
      <c r="B2" s="36" t="s">
        <v>134</v>
      </c>
      <c r="C2" s="36" t="s">
        <v>135</v>
      </c>
      <c r="D2" s="36" t="s">
        <v>136</v>
      </c>
      <c r="E2" s="36" t="s">
        <v>137</v>
      </c>
      <c r="F2" s="37" t="s">
        <v>138</v>
      </c>
      <c r="G2" s="678" t="s">
        <v>139</v>
      </c>
      <c r="H2" s="678" t="s">
        <v>140</v>
      </c>
      <c r="I2" s="729" t="s">
        <v>141</v>
      </c>
      <c r="J2" s="729"/>
      <c r="K2" s="729"/>
      <c r="L2" s="729"/>
      <c r="M2" s="729"/>
      <c r="N2" s="729"/>
      <c r="O2" s="729"/>
      <c r="P2" s="729"/>
      <c r="Q2" s="729"/>
      <c r="R2" s="729"/>
      <c r="S2" s="729"/>
      <c r="U2" s="33"/>
      <c r="V2" s="33"/>
      <c r="W2" s="33"/>
      <c r="AMI2" s="33"/>
    </row>
    <row r="3" spans="1:1023" customFormat="1" ht="15" customHeight="1" x14ac:dyDescent="0.2">
      <c r="A3" s="399" t="s">
        <v>142</v>
      </c>
      <c r="B3" s="400" t="s">
        <v>143</v>
      </c>
      <c r="C3" s="679">
        <v>0.31</v>
      </c>
      <c r="D3" s="401">
        <v>6.61</v>
      </c>
      <c r="E3" s="401">
        <v>7.33</v>
      </c>
      <c r="F3" s="40">
        <f t="shared" ref="F3:F36" si="0">(D3+E3)/2</f>
        <v>6.9700000000000006</v>
      </c>
      <c r="G3" s="41">
        <f>C3*F3</f>
        <v>2.1607000000000003</v>
      </c>
      <c r="H3" s="732" t="s">
        <v>144</v>
      </c>
      <c r="I3" s="729" t="s">
        <v>145</v>
      </c>
      <c r="J3" s="729"/>
      <c r="K3" s="729"/>
      <c r="L3" s="729"/>
      <c r="M3" s="729"/>
      <c r="N3" s="729"/>
      <c r="O3" s="729"/>
      <c r="P3" s="729"/>
      <c r="Q3" s="729"/>
      <c r="R3" s="729"/>
      <c r="S3" s="729"/>
      <c r="U3" s="33"/>
      <c r="V3" s="33"/>
      <c r="W3" s="33"/>
      <c r="AMI3" s="33"/>
    </row>
    <row r="4" spans="1:1023" customFormat="1" ht="15" customHeight="1" x14ac:dyDescent="0.2">
      <c r="A4" s="399" t="s">
        <v>146</v>
      </c>
      <c r="B4" s="400" t="s">
        <v>143</v>
      </c>
      <c r="C4" s="679">
        <v>4.74</v>
      </c>
      <c r="D4" s="401">
        <v>2.2000000000000002</v>
      </c>
      <c r="E4" s="401">
        <v>2.0099999999999998</v>
      </c>
      <c r="F4" s="40">
        <f t="shared" si="0"/>
        <v>2.105</v>
      </c>
      <c r="G4" s="41">
        <f t="shared" ref="G4:G36" si="1">C4*F4</f>
        <v>9.9777000000000005</v>
      </c>
      <c r="H4" s="733" t="s">
        <v>147</v>
      </c>
      <c r="I4" s="729" t="s">
        <v>148</v>
      </c>
      <c r="J4" s="729"/>
      <c r="K4" s="729"/>
      <c r="L4" s="729"/>
      <c r="M4" s="729"/>
      <c r="N4" s="729"/>
      <c r="O4" s="729"/>
      <c r="P4" s="729"/>
      <c r="Q4" s="729"/>
      <c r="R4" s="729"/>
      <c r="S4" s="729"/>
      <c r="U4" s="33"/>
      <c r="V4" s="33"/>
      <c r="W4" s="33"/>
      <c r="AMI4" s="33"/>
    </row>
    <row r="5" spans="1:1023" customFormat="1" ht="15" customHeight="1" x14ac:dyDescent="0.2">
      <c r="A5" s="399" t="s">
        <v>149</v>
      </c>
      <c r="B5" s="400" t="s">
        <v>150</v>
      </c>
      <c r="C5" s="679">
        <v>2.02</v>
      </c>
      <c r="D5" s="401">
        <v>7.37</v>
      </c>
      <c r="E5" s="401">
        <v>8.2100000000000009</v>
      </c>
      <c r="F5" s="40">
        <f t="shared" si="0"/>
        <v>7.7900000000000009</v>
      </c>
      <c r="G5" s="41">
        <f t="shared" si="1"/>
        <v>15.735800000000001</v>
      </c>
      <c r="H5" s="733" t="s">
        <v>151</v>
      </c>
      <c r="I5" s="729" t="s">
        <v>152</v>
      </c>
      <c r="J5" s="729"/>
      <c r="K5" s="729"/>
      <c r="L5" s="729"/>
      <c r="M5" s="729"/>
      <c r="N5" s="729"/>
      <c r="O5" s="729"/>
      <c r="P5" s="729"/>
      <c r="Q5" s="729"/>
      <c r="R5" s="729"/>
      <c r="S5" s="729"/>
      <c r="U5" s="33"/>
      <c r="V5" s="33"/>
      <c r="W5" s="33"/>
      <c r="AMI5" s="33"/>
    </row>
    <row r="6" spans="1:1023" customFormat="1" ht="15" customHeight="1" x14ac:dyDescent="0.2">
      <c r="A6" s="399" t="s">
        <v>153</v>
      </c>
      <c r="B6" s="400" t="s">
        <v>143</v>
      </c>
      <c r="C6" s="679">
        <v>2.52</v>
      </c>
      <c r="D6" s="401">
        <v>7.25</v>
      </c>
      <c r="E6" s="401">
        <v>6.84</v>
      </c>
      <c r="F6" s="40">
        <f t="shared" si="0"/>
        <v>7.0449999999999999</v>
      </c>
      <c r="G6" s="41">
        <f t="shared" si="1"/>
        <v>17.753399999999999</v>
      </c>
      <c r="H6" s="733" t="s">
        <v>151</v>
      </c>
      <c r="I6" s="730" t="s">
        <v>154</v>
      </c>
      <c r="J6" s="730"/>
      <c r="K6" s="730"/>
      <c r="L6" s="730"/>
      <c r="M6" s="730"/>
      <c r="N6" s="730"/>
      <c r="O6" s="730"/>
      <c r="P6" s="730"/>
      <c r="Q6" s="730"/>
      <c r="R6" s="730"/>
      <c r="S6" s="730"/>
      <c r="U6" s="33"/>
      <c r="V6" s="33"/>
      <c r="W6" s="33"/>
      <c r="AMI6" s="33"/>
    </row>
    <row r="7" spans="1:1023" customFormat="1" ht="15" customHeight="1" x14ac:dyDescent="0.2">
      <c r="A7" s="399" t="s">
        <v>155</v>
      </c>
      <c r="B7" s="400" t="s">
        <v>156</v>
      </c>
      <c r="C7" s="679">
        <v>0.3</v>
      </c>
      <c r="D7" s="401">
        <v>18.54</v>
      </c>
      <c r="E7" s="401">
        <v>24.19</v>
      </c>
      <c r="F7" s="40">
        <f t="shared" si="0"/>
        <v>21.365000000000002</v>
      </c>
      <c r="G7" s="41">
        <f t="shared" si="1"/>
        <v>6.4095000000000004</v>
      </c>
      <c r="H7" s="733" t="s">
        <v>157</v>
      </c>
      <c r="AMI7" s="33"/>
    </row>
    <row r="8" spans="1:1023" customFormat="1" ht="15" customHeight="1" x14ac:dyDescent="0.2">
      <c r="A8" s="399" t="s">
        <v>158</v>
      </c>
      <c r="B8" s="400" t="s">
        <v>156</v>
      </c>
      <c r="C8" s="679">
        <v>1.35</v>
      </c>
      <c r="D8" s="401">
        <v>5.46</v>
      </c>
      <c r="E8" s="401">
        <v>11.8</v>
      </c>
      <c r="F8" s="40">
        <f t="shared" si="0"/>
        <v>8.6300000000000008</v>
      </c>
      <c r="G8" s="41">
        <f t="shared" si="1"/>
        <v>11.650500000000001</v>
      </c>
      <c r="H8" s="733" t="s">
        <v>159</v>
      </c>
      <c r="J8" s="33"/>
      <c r="AMI8" s="33"/>
    </row>
    <row r="9" spans="1:1023" customFormat="1" ht="15" customHeight="1" x14ac:dyDescent="0.2">
      <c r="A9" s="399" t="s">
        <v>160</v>
      </c>
      <c r="B9" s="400" t="s">
        <v>156</v>
      </c>
      <c r="C9" s="679">
        <v>0.2</v>
      </c>
      <c r="D9" s="401">
        <v>47.92</v>
      </c>
      <c r="E9" s="401">
        <v>50.74</v>
      </c>
      <c r="F9" s="40">
        <f t="shared" si="0"/>
        <v>49.33</v>
      </c>
      <c r="G9" s="41">
        <f t="shared" si="1"/>
        <v>9.8659999999999997</v>
      </c>
      <c r="H9" s="733" t="s">
        <v>161</v>
      </c>
      <c r="AMI9" s="33"/>
    </row>
    <row r="10" spans="1:1023" customFormat="1" ht="15" customHeight="1" x14ac:dyDescent="0.2">
      <c r="A10" s="399" t="s">
        <v>162</v>
      </c>
      <c r="B10" s="400" t="s">
        <v>156</v>
      </c>
      <c r="C10" s="679">
        <v>0.5</v>
      </c>
      <c r="D10" s="401">
        <v>12.32</v>
      </c>
      <c r="E10" s="401">
        <v>14.65</v>
      </c>
      <c r="F10" s="40">
        <f t="shared" si="0"/>
        <v>13.484999999999999</v>
      </c>
      <c r="G10" s="41">
        <f t="shared" si="1"/>
        <v>6.7424999999999997</v>
      </c>
      <c r="H10" s="733" t="s">
        <v>163</v>
      </c>
      <c r="AMI10" s="33"/>
    </row>
    <row r="11" spans="1:1023" customFormat="1" ht="15" customHeight="1" x14ac:dyDescent="0.2">
      <c r="A11" s="399" t="s">
        <v>164</v>
      </c>
      <c r="B11" s="400" t="s">
        <v>150</v>
      </c>
      <c r="C11" s="679">
        <v>1.43</v>
      </c>
      <c r="D11" s="401">
        <v>1.44</v>
      </c>
      <c r="E11" s="401">
        <v>1.82</v>
      </c>
      <c r="F11" s="40">
        <f t="shared" si="0"/>
        <v>1.63</v>
      </c>
      <c r="G11" s="41">
        <f t="shared" si="1"/>
        <v>2.3308999999999997</v>
      </c>
      <c r="H11" s="733" t="s">
        <v>165</v>
      </c>
      <c r="AMI11" s="33"/>
    </row>
    <row r="12" spans="1:1023" customFormat="1" ht="15" customHeight="1" x14ac:dyDescent="0.2">
      <c r="A12" s="399" t="s">
        <v>166</v>
      </c>
      <c r="B12" s="400" t="s">
        <v>167</v>
      </c>
      <c r="C12" s="679">
        <v>1.0900000000000001</v>
      </c>
      <c r="D12" s="401">
        <v>6.86</v>
      </c>
      <c r="E12" s="401">
        <v>7.94</v>
      </c>
      <c r="F12" s="40">
        <f t="shared" si="0"/>
        <v>7.4</v>
      </c>
      <c r="G12" s="41">
        <f t="shared" si="1"/>
        <v>8.0660000000000007</v>
      </c>
      <c r="H12" s="733" t="s">
        <v>168</v>
      </c>
      <c r="AMI12" s="33"/>
    </row>
    <row r="13" spans="1:1023" customFormat="1" ht="15" customHeight="1" x14ac:dyDescent="0.2">
      <c r="A13" s="399" t="s">
        <v>169</v>
      </c>
      <c r="B13" s="400" t="s">
        <v>167</v>
      </c>
      <c r="C13" s="679">
        <v>1.27</v>
      </c>
      <c r="D13" s="401">
        <v>2.0699999999999998</v>
      </c>
      <c r="E13" s="401">
        <v>2.86</v>
      </c>
      <c r="F13" s="40">
        <f t="shared" si="0"/>
        <v>2.4649999999999999</v>
      </c>
      <c r="G13" s="41">
        <f t="shared" si="1"/>
        <v>3.1305499999999999</v>
      </c>
      <c r="H13" s="733" t="s">
        <v>170</v>
      </c>
      <c r="AMI13" s="33"/>
    </row>
    <row r="14" spans="1:1023" customFormat="1" ht="15" customHeight="1" x14ac:dyDescent="0.2">
      <c r="A14" s="399" t="s">
        <v>171</v>
      </c>
      <c r="B14" s="400" t="s">
        <v>167</v>
      </c>
      <c r="C14" s="679">
        <v>2.2200000000000002</v>
      </c>
      <c r="D14" s="401">
        <v>0.69</v>
      </c>
      <c r="E14" s="401">
        <v>0.83</v>
      </c>
      <c r="F14" s="40">
        <f t="shared" si="0"/>
        <v>0.76</v>
      </c>
      <c r="G14" s="41">
        <f t="shared" si="1"/>
        <v>1.6872000000000003</v>
      </c>
      <c r="H14" s="733" t="s">
        <v>159</v>
      </c>
      <c r="AMI14" s="33"/>
    </row>
    <row r="15" spans="1:1023" customFormat="1" ht="15" customHeight="1" x14ac:dyDescent="0.2">
      <c r="A15" s="399" t="s">
        <v>172</v>
      </c>
      <c r="B15" s="400" t="s">
        <v>167</v>
      </c>
      <c r="C15" s="679">
        <v>2.41</v>
      </c>
      <c r="D15" s="401">
        <v>1.64</v>
      </c>
      <c r="E15" s="401">
        <v>2.9</v>
      </c>
      <c r="F15" s="40">
        <f t="shared" si="0"/>
        <v>2.27</v>
      </c>
      <c r="G15" s="41">
        <f t="shared" si="1"/>
        <v>5.4707000000000008</v>
      </c>
      <c r="H15" s="733" t="s">
        <v>173</v>
      </c>
      <c r="AMF15" s="33"/>
    </row>
    <row r="16" spans="1:1023" customFormat="1" ht="15" customHeight="1" x14ac:dyDescent="0.2">
      <c r="A16" s="399" t="s">
        <v>174</v>
      </c>
      <c r="B16" s="400" t="s">
        <v>167</v>
      </c>
      <c r="C16" s="679">
        <v>0.25</v>
      </c>
      <c r="D16" s="401">
        <v>7.21</v>
      </c>
      <c r="E16" s="401">
        <v>8.66</v>
      </c>
      <c r="F16" s="40">
        <f t="shared" si="0"/>
        <v>7.9350000000000005</v>
      </c>
      <c r="G16" s="41">
        <f t="shared" si="1"/>
        <v>1.9837500000000001</v>
      </c>
      <c r="H16" s="733" t="s">
        <v>175</v>
      </c>
      <c r="AMF16" s="33"/>
    </row>
    <row r="17" spans="1:1023" customFormat="1" ht="15" customHeight="1" x14ac:dyDescent="0.2">
      <c r="A17" s="399" t="s">
        <v>176</v>
      </c>
      <c r="B17" s="400" t="s">
        <v>177</v>
      </c>
      <c r="C17" s="679">
        <v>0.65</v>
      </c>
      <c r="D17" s="401">
        <v>1.38</v>
      </c>
      <c r="E17" s="401">
        <v>2.37</v>
      </c>
      <c r="F17" s="40">
        <f t="shared" si="0"/>
        <v>1.875</v>
      </c>
      <c r="G17" s="41">
        <f t="shared" si="1"/>
        <v>1.21875</v>
      </c>
      <c r="H17" s="733" t="s">
        <v>165</v>
      </c>
      <c r="AMF17" s="33"/>
    </row>
    <row r="18" spans="1:1023" customFormat="1" ht="15" customHeight="1" x14ac:dyDescent="0.2">
      <c r="A18" s="399" t="s">
        <v>178</v>
      </c>
      <c r="B18" s="400" t="s">
        <v>150</v>
      </c>
      <c r="C18" s="679">
        <v>0.22</v>
      </c>
      <c r="D18" s="401">
        <v>2.41</v>
      </c>
      <c r="E18" s="401">
        <v>4.2300000000000004</v>
      </c>
      <c r="F18" s="40">
        <f t="shared" si="0"/>
        <v>3.3200000000000003</v>
      </c>
      <c r="G18" s="41">
        <f t="shared" si="1"/>
        <v>0.73040000000000005</v>
      </c>
      <c r="H18" s="733" t="s">
        <v>179</v>
      </c>
      <c r="AMF18" s="33"/>
    </row>
    <row r="19" spans="1:1023" customFormat="1" ht="15" customHeight="1" x14ac:dyDescent="0.2">
      <c r="A19" s="399" t="s">
        <v>180</v>
      </c>
      <c r="B19" s="400" t="s">
        <v>181</v>
      </c>
      <c r="C19" s="679">
        <v>1.61</v>
      </c>
      <c r="D19" s="401">
        <v>3.57</v>
      </c>
      <c r="E19" s="401">
        <v>3.76</v>
      </c>
      <c r="F19" s="40">
        <f t="shared" si="0"/>
        <v>3.665</v>
      </c>
      <c r="G19" s="41">
        <f t="shared" si="1"/>
        <v>5.9006500000000006</v>
      </c>
      <c r="H19" s="733" t="s">
        <v>182</v>
      </c>
      <c r="AMF19" s="33"/>
    </row>
    <row r="20" spans="1:1023" customFormat="1" ht="15" customHeight="1" x14ac:dyDescent="0.2">
      <c r="A20" s="399" t="s">
        <v>183</v>
      </c>
      <c r="B20" s="400" t="s">
        <v>150</v>
      </c>
      <c r="C20" s="679">
        <v>2.2000000000000002</v>
      </c>
      <c r="D20" s="401">
        <v>2.5299999999999998</v>
      </c>
      <c r="E20" s="401">
        <v>3.51</v>
      </c>
      <c r="F20" s="40">
        <f t="shared" si="0"/>
        <v>3.0199999999999996</v>
      </c>
      <c r="G20" s="41">
        <f t="shared" si="1"/>
        <v>6.6439999999999992</v>
      </c>
      <c r="H20" s="733" t="s">
        <v>163</v>
      </c>
      <c r="AMF20" s="33"/>
    </row>
    <row r="21" spans="1:1023" customFormat="1" ht="15" customHeight="1" x14ac:dyDescent="0.2">
      <c r="A21" s="399" t="s">
        <v>184</v>
      </c>
      <c r="B21" s="400" t="s">
        <v>185</v>
      </c>
      <c r="C21" s="679">
        <v>0.3</v>
      </c>
      <c r="D21" s="401">
        <v>1.87</v>
      </c>
      <c r="E21" s="401">
        <v>2.73</v>
      </c>
      <c r="F21" s="40">
        <f t="shared" si="0"/>
        <v>2.2999999999999998</v>
      </c>
      <c r="G21" s="41">
        <f t="shared" si="1"/>
        <v>0.69</v>
      </c>
      <c r="H21" s="733" t="s">
        <v>151</v>
      </c>
      <c r="AMF21" s="33"/>
    </row>
    <row r="22" spans="1:1023" customFormat="1" ht="15" customHeight="1" x14ac:dyDescent="0.2">
      <c r="A22" s="399" t="s">
        <v>186</v>
      </c>
      <c r="B22" s="400" t="s">
        <v>187</v>
      </c>
      <c r="C22" s="679">
        <v>2.2999999999999998</v>
      </c>
      <c r="D22" s="401">
        <v>4.3</v>
      </c>
      <c r="E22" s="401">
        <v>5.1100000000000003</v>
      </c>
      <c r="F22" s="40">
        <f t="shared" si="0"/>
        <v>4.7050000000000001</v>
      </c>
      <c r="G22" s="41">
        <f t="shared" si="1"/>
        <v>10.821499999999999</v>
      </c>
      <c r="H22" s="733" t="s">
        <v>163</v>
      </c>
      <c r="AMF22" s="33"/>
    </row>
    <row r="23" spans="1:1023" customFormat="1" ht="15" customHeight="1" x14ac:dyDescent="0.2">
      <c r="A23" s="399" t="s">
        <v>188</v>
      </c>
      <c r="B23" s="400" t="s">
        <v>167</v>
      </c>
      <c r="C23" s="679">
        <v>1.48</v>
      </c>
      <c r="D23" s="401">
        <v>7.44</v>
      </c>
      <c r="E23" s="401">
        <v>7.96</v>
      </c>
      <c r="F23" s="40">
        <f t="shared" si="0"/>
        <v>7.7</v>
      </c>
      <c r="G23" s="41">
        <f t="shared" si="1"/>
        <v>11.396000000000001</v>
      </c>
      <c r="H23" s="733" t="s">
        <v>165</v>
      </c>
      <c r="AMF23" s="33"/>
    </row>
    <row r="24" spans="1:1023" customFormat="1" ht="15" customHeight="1" x14ac:dyDescent="0.2">
      <c r="A24" s="399" t="s">
        <v>189</v>
      </c>
      <c r="B24" s="400" t="s">
        <v>167</v>
      </c>
      <c r="C24" s="679">
        <v>2.58</v>
      </c>
      <c r="D24" s="401">
        <v>3.37</v>
      </c>
      <c r="E24" s="401">
        <v>4.33</v>
      </c>
      <c r="F24" s="40">
        <f t="shared" si="0"/>
        <v>3.85</v>
      </c>
      <c r="G24" s="41">
        <f t="shared" si="1"/>
        <v>9.9329999999999998</v>
      </c>
      <c r="H24" s="733" t="s">
        <v>163</v>
      </c>
      <c r="AMF24" s="33"/>
    </row>
    <row r="25" spans="1:1023" customFormat="1" ht="15" customHeight="1" x14ac:dyDescent="0.2">
      <c r="A25" s="399" t="s">
        <v>190</v>
      </c>
      <c r="B25" s="400" t="s">
        <v>191</v>
      </c>
      <c r="C25" s="679">
        <v>0.62</v>
      </c>
      <c r="D25" s="401">
        <v>59.32</v>
      </c>
      <c r="E25" s="401">
        <v>74.08</v>
      </c>
      <c r="F25" s="40">
        <f t="shared" si="0"/>
        <v>66.7</v>
      </c>
      <c r="G25" s="41">
        <f t="shared" si="1"/>
        <v>41.353999999999999</v>
      </c>
      <c r="H25" s="733" t="s">
        <v>165</v>
      </c>
      <c r="AMF25" s="33"/>
    </row>
    <row r="26" spans="1:1023" customFormat="1" ht="15" customHeight="1" x14ac:dyDescent="0.2">
      <c r="A26" s="399" t="s">
        <v>192</v>
      </c>
      <c r="B26" s="400" t="s">
        <v>193</v>
      </c>
      <c r="C26" s="679">
        <v>2.41</v>
      </c>
      <c r="D26" s="401">
        <v>27.95</v>
      </c>
      <c r="E26" s="401">
        <v>26.37</v>
      </c>
      <c r="F26" s="40">
        <f t="shared" si="0"/>
        <v>27.16</v>
      </c>
      <c r="G26" s="41">
        <f t="shared" si="1"/>
        <v>65.455600000000004</v>
      </c>
      <c r="H26" s="733" t="s">
        <v>165</v>
      </c>
      <c r="AMF26" s="33"/>
    </row>
    <row r="27" spans="1:1023" customFormat="1" ht="15" customHeight="1" x14ac:dyDescent="0.2">
      <c r="A27" s="399" t="s">
        <v>194</v>
      </c>
      <c r="B27" s="400" t="s">
        <v>195</v>
      </c>
      <c r="C27" s="679">
        <v>5.88</v>
      </c>
      <c r="D27" s="401">
        <v>10.61</v>
      </c>
      <c r="E27" s="401">
        <v>9.8000000000000007</v>
      </c>
      <c r="F27" s="40">
        <f t="shared" si="0"/>
        <v>10.205</v>
      </c>
      <c r="G27" s="41">
        <f t="shared" si="1"/>
        <v>60.005400000000002</v>
      </c>
      <c r="H27" s="733" t="s">
        <v>165</v>
      </c>
      <c r="AMF27" s="33"/>
    </row>
    <row r="28" spans="1:1023" customFormat="1" ht="15" customHeight="1" x14ac:dyDescent="0.2">
      <c r="A28" s="399" t="s">
        <v>196</v>
      </c>
      <c r="B28" s="400" t="s">
        <v>197</v>
      </c>
      <c r="C28" s="679">
        <v>2.75</v>
      </c>
      <c r="D28" s="401">
        <v>1.37</v>
      </c>
      <c r="E28" s="401">
        <v>1.22</v>
      </c>
      <c r="F28" s="40">
        <f t="shared" si="0"/>
        <v>1.2949999999999999</v>
      </c>
      <c r="G28" s="41">
        <f t="shared" si="1"/>
        <v>3.5612499999999998</v>
      </c>
      <c r="H28" s="733" t="s">
        <v>165</v>
      </c>
      <c r="AMI28" s="33"/>
    </row>
    <row r="29" spans="1:1023" customFormat="1" ht="15" customHeight="1" x14ac:dyDescent="0.2">
      <c r="A29" s="399" t="s">
        <v>198</v>
      </c>
      <c r="B29" s="400" t="s">
        <v>156</v>
      </c>
      <c r="C29" s="679">
        <v>0.67</v>
      </c>
      <c r="D29" s="401">
        <v>19.739999999999998</v>
      </c>
      <c r="E29" s="401">
        <v>20.96</v>
      </c>
      <c r="F29" s="40">
        <f t="shared" si="0"/>
        <v>20.350000000000001</v>
      </c>
      <c r="G29" s="41">
        <f t="shared" si="1"/>
        <v>13.634500000000001</v>
      </c>
      <c r="H29" s="733" t="s">
        <v>163</v>
      </c>
      <c r="AMI29" s="33"/>
    </row>
    <row r="30" spans="1:1023" customFormat="1" ht="15" customHeight="1" x14ac:dyDescent="0.2">
      <c r="A30" s="399" t="s">
        <v>199</v>
      </c>
      <c r="B30" s="400" t="s">
        <v>167</v>
      </c>
      <c r="C30" s="679">
        <v>1.2</v>
      </c>
      <c r="D30" s="401">
        <v>1.19</v>
      </c>
      <c r="E30" s="401">
        <v>2.75</v>
      </c>
      <c r="F30" s="40">
        <f t="shared" si="0"/>
        <v>1.97</v>
      </c>
      <c r="G30" s="41">
        <f t="shared" si="1"/>
        <v>2.3639999999999999</v>
      </c>
      <c r="H30" s="733" t="s">
        <v>163</v>
      </c>
      <c r="AMI30" s="33"/>
    </row>
    <row r="31" spans="1:1023" customFormat="1" ht="15" customHeight="1" x14ac:dyDescent="0.2">
      <c r="A31" s="399" t="s">
        <v>200</v>
      </c>
      <c r="B31" s="400" t="s">
        <v>201</v>
      </c>
      <c r="C31" s="679">
        <v>0.79</v>
      </c>
      <c r="D31" s="401">
        <v>4.72</v>
      </c>
      <c r="E31" s="401">
        <v>4.93</v>
      </c>
      <c r="F31" s="40">
        <f t="shared" si="0"/>
        <v>4.8249999999999993</v>
      </c>
      <c r="G31" s="41">
        <f t="shared" si="1"/>
        <v>3.8117499999999995</v>
      </c>
      <c r="H31" s="733" t="s">
        <v>163</v>
      </c>
      <c r="AMI31" s="33"/>
    </row>
    <row r="32" spans="1:1023" customFormat="1" ht="15" customHeight="1" x14ac:dyDescent="0.2">
      <c r="A32" s="399" t="s">
        <v>202</v>
      </c>
      <c r="B32" s="400" t="s">
        <v>156</v>
      </c>
      <c r="C32" s="679">
        <v>0.77</v>
      </c>
      <c r="D32" s="401">
        <v>16.22</v>
      </c>
      <c r="E32" s="401">
        <v>25.11</v>
      </c>
      <c r="F32" s="40">
        <f t="shared" si="0"/>
        <v>20.664999999999999</v>
      </c>
      <c r="G32" s="41">
        <f t="shared" si="1"/>
        <v>15.912049999999999</v>
      </c>
      <c r="H32" s="733" t="s">
        <v>165</v>
      </c>
      <c r="AMI32" s="33"/>
    </row>
    <row r="33" spans="1:1023" customFormat="1" ht="15" customHeight="1" x14ac:dyDescent="0.2">
      <c r="A33" s="399" t="s">
        <v>203</v>
      </c>
      <c r="B33" s="400" t="s">
        <v>167</v>
      </c>
      <c r="C33" s="679">
        <v>1.53</v>
      </c>
      <c r="D33" s="401">
        <v>3.47</v>
      </c>
      <c r="E33" s="401">
        <v>4.25</v>
      </c>
      <c r="F33" s="40">
        <f t="shared" si="0"/>
        <v>3.8600000000000003</v>
      </c>
      <c r="G33" s="41">
        <f t="shared" si="1"/>
        <v>5.9058000000000002</v>
      </c>
      <c r="H33" s="733" t="s">
        <v>204</v>
      </c>
      <c r="AMI33" s="33"/>
    </row>
    <row r="34" spans="1:1023" customFormat="1" ht="15" customHeight="1" x14ac:dyDescent="0.2">
      <c r="A34" s="399" t="s">
        <v>205</v>
      </c>
      <c r="B34" s="400" t="s">
        <v>206</v>
      </c>
      <c r="C34" s="679">
        <v>0.68</v>
      </c>
      <c r="D34" s="401">
        <v>14.06</v>
      </c>
      <c r="E34" s="401">
        <v>17.690000000000001</v>
      </c>
      <c r="F34" s="40">
        <f t="shared" si="0"/>
        <v>15.875</v>
      </c>
      <c r="G34" s="41">
        <f t="shared" si="1"/>
        <v>10.795</v>
      </c>
      <c r="H34" s="733" t="s">
        <v>207</v>
      </c>
      <c r="AMI34" s="33"/>
    </row>
    <row r="35" spans="1:1023" customFormat="1" ht="15" customHeight="1" x14ac:dyDescent="0.2">
      <c r="A35" s="399" t="s">
        <v>208</v>
      </c>
      <c r="B35" s="400" t="s">
        <v>206</v>
      </c>
      <c r="C35" s="679">
        <v>0.65</v>
      </c>
      <c r="D35" s="401">
        <v>14.34</v>
      </c>
      <c r="E35" s="401">
        <v>19.29</v>
      </c>
      <c r="F35" s="40">
        <f t="shared" si="0"/>
        <v>16.814999999999998</v>
      </c>
      <c r="G35" s="41">
        <f t="shared" si="1"/>
        <v>10.929749999999999</v>
      </c>
      <c r="H35" s="733" t="s">
        <v>207</v>
      </c>
      <c r="AMI35" s="33"/>
    </row>
    <row r="36" spans="1:1023" customFormat="1" ht="15" customHeight="1" thickBot="1" x14ac:dyDescent="0.25">
      <c r="A36" s="680" t="s">
        <v>209</v>
      </c>
      <c r="B36" s="681" t="s">
        <v>206</v>
      </c>
      <c r="C36" s="682">
        <v>1.02</v>
      </c>
      <c r="D36" s="683">
        <v>24.89</v>
      </c>
      <c r="E36" s="683">
        <v>25.63</v>
      </c>
      <c r="F36" s="47">
        <f t="shared" si="0"/>
        <v>25.259999999999998</v>
      </c>
      <c r="G36" s="48">
        <f t="shared" si="1"/>
        <v>25.7652</v>
      </c>
      <c r="H36" s="53" t="s">
        <v>163</v>
      </c>
      <c r="AMI36" s="33"/>
    </row>
    <row r="37" spans="1:1023" customFormat="1" ht="20.25" customHeight="1" thickBot="1" x14ac:dyDescent="0.25">
      <c r="A37" s="684" t="s">
        <v>210</v>
      </c>
      <c r="B37" s="685"/>
      <c r="C37" s="685"/>
      <c r="D37" s="685"/>
      <c r="E37" s="685"/>
      <c r="F37" s="685"/>
      <c r="G37" s="686">
        <f>SUM(G3:G36)</f>
        <v>409.79379999999998</v>
      </c>
      <c r="H37" s="731"/>
      <c r="AMI37" s="33"/>
    </row>
    <row r="38" spans="1:1023" customFormat="1" ht="45.75" customHeight="1" thickBot="1" x14ac:dyDescent="0.25">
      <c r="A38" s="35" t="s">
        <v>133</v>
      </c>
      <c r="B38" s="36" t="s">
        <v>134</v>
      </c>
      <c r="C38" s="36" t="s">
        <v>211</v>
      </c>
      <c r="D38" s="36" t="s">
        <v>136</v>
      </c>
      <c r="E38" s="36" t="s">
        <v>137</v>
      </c>
      <c r="F38" s="37" t="s">
        <v>138</v>
      </c>
      <c r="G38" s="687" t="s">
        <v>212</v>
      </c>
      <c r="H38" s="50" t="s">
        <v>140</v>
      </c>
      <c r="AMI38" s="33"/>
    </row>
    <row r="39" spans="1:1023" customFormat="1" ht="15" customHeight="1" x14ac:dyDescent="0.2">
      <c r="A39" s="38" t="s">
        <v>213</v>
      </c>
      <c r="B39" s="39" t="s">
        <v>167</v>
      </c>
      <c r="C39" s="679">
        <v>3.19</v>
      </c>
      <c r="D39" s="405">
        <v>9.91</v>
      </c>
      <c r="E39" s="405">
        <v>7.95</v>
      </c>
      <c r="F39" s="40">
        <f t="shared" ref="F39:F57" si="2">(D39+E39)/2</f>
        <v>8.93</v>
      </c>
      <c r="G39" s="51">
        <f>C39*F39/12</f>
        <v>2.3738916666666667</v>
      </c>
      <c r="H39" s="406" t="s">
        <v>163</v>
      </c>
      <c r="AMI39" s="33"/>
    </row>
    <row r="40" spans="1:1023" customFormat="1" ht="15" customHeight="1" x14ac:dyDescent="0.2">
      <c r="A40" s="42" t="s">
        <v>214</v>
      </c>
      <c r="B40" s="44" t="s">
        <v>167</v>
      </c>
      <c r="C40" s="679">
        <v>0.75</v>
      </c>
      <c r="D40" s="405">
        <v>5.96</v>
      </c>
      <c r="E40" s="405">
        <v>3.96</v>
      </c>
      <c r="F40" s="40">
        <f t="shared" si="2"/>
        <v>4.96</v>
      </c>
      <c r="G40" s="51">
        <f t="shared" ref="G40:G57" si="3">C40*F40/12</f>
        <v>0.31</v>
      </c>
      <c r="H40" s="407" t="s">
        <v>165</v>
      </c>
      <c r="AMI40" s="33"/>
    </row>
    <row r="41" spans="1:1023" customFormat="1" ht="15" customHeight="1" x14ac:dyDescent="0.2">
      <c r="A41" s="42" t="s">
        <v>215</v>
      </c>
      <c r="B41" s="44" t="s">
        <v>167</v>
      </c>
      <c r="C41" s="679">
        <v>0.75</v>
      </c>
      <c r="D41" s="405">
        <v>7.93</v>
      </c>
      <c r="E41" s="405">
        <v>5.84</v>
      </c>
      <c r="F41" s="40">
        <f t="shared" si="2"/>
        <v>6.8849999999999998</v>
      </c>
      <c r="G41" s="51">
        <f t="shared" si="3"/>
        <v>0.43031250000000004</v>
      </c>
      <c r="H41" s="407" t="s">
        <v>165</v>
      </c>
      <c r="AMI41" s="33"/>
    </row>
    <row r="42" spans="1:1023" customFormat="1" ht="15" customHeight="1" x14ac:dyDescent="0.2">
      <c r="A42" s="42" t="s">
        <v>216</v>
      </c>
      <c r="B42" s="44" t="s">
        <v>167</v>
      </c>
      <c r="C42" s="679">
        <v>1.94</v>
      </c>
      <c r="D42" s="405">
        <v>22.32</v>
      </c>
      <c r="E42" s="405">
        <v>19.21</v>
      </c>
      <c r="F42" s="40">
        <f t="shared" si="2"/>
        <v>20.765000000000001</v>
      </c>
      <c r="G42" s="51">
        <f t="shared" si="3"/>
        <v>3.3570083333333334</v>
      </c>
      <c r="H42" s="407" t="s">
        <v>163</v>
      </c>
      <c r="AMI42" s="33"/>
    </row>
    <row r="43" spans="1:1023" customFormat="1" ht="15" customHeight="1" x14ac:dyDescent="0.2">
      <c r="A43" s="42" t="s">
        <v>217</v>
      </c>
      <c r="B43" s="44" t="s">
        <v>167</v>
      </c>
      <c r="C43" s="679">
        <v>2.85</v>
      </c>
      <c r="D43" s="405">
        <v>4.12</v>
      </c>
      <c r="E43" s="405">
        <v>6.08</v>
      </c>
      <c r="F43" s="40">
        <f t="shared" si="2"/>
        <v>5.0999999999999996</v>
      </c>
      <c r="G43" s="51">
        <f t="shared" si="3"/>
        <v>1.2112499999999999</v>
      </c>
      <c r="H43" s="407" t="s">
        <v>165</v>
      </c>
      <c r="AMI43" s="33"/>
    </row>
    <row r="44" spans="1:1023" customFormat="1" ht="15" customHeight="1" x14ac:dyDescent="0.2">
      <c r="A44" s="42" t="s">
        <v>218</v>
      </c>
      <c r="B44" s="44" t="s">
        <v>167</v>
      </c>
      <c r="C44" s="679">
        <v>0.64</v>
      </c>
      <c r="D44" s="405">
        <v>47.9</v>
      </c>
      <c r="E44" s="405">
        <v>50.35</v>
      </c>
      <c r="F44" s="40">
        <f t="shared" si="2"/>
        <v>49.125</v>
      </c>
      <c r="G44" s="51">
        <f t="shared" si="3"/>
        <v>2.62</v>
      </c>
      <c r="H44" s="407" t="s">
        <v>163</v>
      </c>
      <c r="AMI44" s="33"/>
    </row>
    <row r="45" spans="1:1023" customFormat="1" ht="15" customHeight="1" x14ac:dyDescent="0.2">
      <c r="A45" s="42" t="s">
        <v>219</v>
      </c>
      <c r="B45" s="44" t="s">
        <v>167</v>
      </c>
      <c r="C45" s="679">
        <v>1.6</v>
      </c>
      <c r="D45" s="405">
        <v>2.4500000000000002</v>
      </c>
      <c r="E45" s="405">
        <v>4.96</v>
      </c>
      <c r="F45" s="40">
        <f t="shared" si="2"/>
        <v>3.7050000000000001</v>
      </c>
      <c r="G45" s="51">
        <f t="shared" si="3"/>
        <v>0.49400000000000005</v>
      </c>
      <c r="H45" s="407" t="s">
        <v>204</v>
      </c>
      <c r="AMI45" s="33"/>
    </row>
    <row r="46" spans="1:1023" customFormat="1" ht="15" customHeight="1" x14ac:dyDescent="0.2">
      <c r="A46" s="42" t="s">
        <v>220</v>
      </c>
      <c r="B46" s="44" t="s">
        <v>167</v>
      </c>
      <c r="C46" s="679">
        <v>0.92</v>
      </c>
      <c r="D46" s="405">
        <v>14.49</v>
      </c>
      <c r="E46" s="405">
        <v>14.32</v>
      </c>
      <c r="F46" s="40">
        <f t="shared" si="2"/>
        <v>14.405000000000001</v>
      </c>
      <c r="G46" s="51">
        <f t="shared" si="3"/>
        <v>1.1043833333333335</v>
      </c>
      <c r="H46" s="407" t="s">
        <v>163</v>
      </c>
      <c r="AMI46" s="33"/>
    </row>
    <row r="47" spans="1:1023" customFormat="1" ht="15" customHeight="1" x14ac:dyDescent="0.2">
      <c r="A47" s="42" t="s">
        <v>221</v>
      </c>
      <c r="B47" s="44" t="s">
        <v>167</v>
      </c>
      <c r="C47" s="679">
        <v>1</v>
      </c>
      <c r="D47" s="405">
        <v>57.07</v>
      </c>
      <c r="E47" s="405">
        <v>56.66</v>
      </c>
      <c r="F47" s="40">
        <f t="shared" si="2"/>
        <v>56.864999999999995</v>
      </c>
      <c r="G47" s="51">
        <f t="shared" si="3"/>
        <v>4.7387499999999996</v>
      </c>
      <c r="H47" s="407" t="s">
        <v>207</v>
      </c>
      <c r="AMI47" s="33"/>
    </row>
    <row r="48" spans="1:1023" customFormat="1" ht="15" customHeight="1" x14ac:dyDescent="0.2">
      <c r="A48" s="42" t="s">
        <v>222</v>
      </c>
      <c r="B48" s="44" t="s">
        <v>167</v>
      </c>
      <c r="C48" s="679">
        <v>2.6</v>
      </c>
      <c r="D48" s="405">
        <v>60.51</v>
      </c>
      <c r="E48" s="405">
        <v>70.319999999999993</v>
      </c>
      <c r="F48" s="40">
        <f t="shared" si="2"/>
        <v>65.414999999999992</v>
      </c>
      <c r="G48" s="51">
        <f t="shared" si="3"/>
        <v>14.173249999999998</v>
      </c>
      <c r="H48" s="407" t="s">
        <v>207</v>
      </c>
      <c r="AMI48" s="33"/>
    </row>
    <row r="49" spans="1:1023" customFormat="1" ht="15" customHeight="1" x14ac:dyDescent="0.25">
      <c r="A49" s="403" t="s">
        <v>223</v>
      </c>
      <c r="B49" s="404" t="s">
        <v>167</v>
      </c>
      <c r="C49" s="679">
        <v>4</v>
      </c>
      <c r="D49" s="405">
        <v>17.62</v>
      </c>
      <c r="E49" s="405">
        <v>15.64</v>
      </c>
      <c r="F49" s="40">
        <f t="shared" si="2"/>
        <v>16.630000000000003</v>
      </c>
      <c r="G49" s="51">
        <f t="shared" si="3"/>
        <v>5.5433333333333339</v>
      </c>
      <c r="H49" s="408" t="s">
        <v>207</v>
      </c>
      <c r="AMI49" s="33"/>
    </row>
    <row r="50" spans="1:1023" customFormat="1" ht="15" customHeight="1" x14ac:dyDescent="0.2">
      <c r="A50" s="42" t="s">
        <v>224</v>
      </c>
      <c r="B50" s="44" t="s">
        <v>167</v>
      </c>
      <c r="C50" s="679">
        <v>1</v>
      </c>
      <c r="D50" s="405">
        <v>3.44</v>
      </c>
      <c r="E50" s="405">
        <v>5.94</v>
      </c>
      <c r="F50" s="40">
        <f t="shared" si="2"/>
        <v>4.6900000000000004</v>
      </c>
      <c r="G50" s="51">
        <f t="shared" si="3"/>
        <v>0.39083333333333337</v>
      </c>
      <c r="H50" s="407" t="s">
        <v>163</v>
      </c>
      <c r="AMI50" s="33"/>
    </row>
    <row r="51" spans="1:1023" customFormat="1" ht="15" customHeight="1" x14ac:dyDescent="0.2">
      <c r="A51" s="42" t="s">
        <v>225</v>
      </c>
      <c r="B51" s="44" t="s">
        <v>167</v>
      </c>
      <c r="C51" s="679">
        <v>1.24</v>
      </c>
      <c r="D51" s="405">
        <v>8.2799999999999994</v>
      </c>
      <c r="E51" s="405">
        <v>11.02</v>
      </c>
      <c r="F51" s="40">
        <f t="shared" si="2"/>
        <v>9.6499999999999986</v>
      </c>
      <c r="G51" s="51">
        <f t="shared" si="3"/>
        <v>0.99716666666666642</v>
      </c>
      <c r="H51" s="407" t="s">
        <v>182</v>
      </c>
      <c r="AMI51" s="33"/>
    </row>
    <row r="52" spans="1:1023" customFormat="1" ht="15" customHeight="1" x14ac:dyDescent="0.2">
      <c r="A52" s="42" t="s">
        <v>226</v>
      </c>
      <c r="B52" s="44" t="s">
        <v>167</v>
      </c>
      <c r="C52" s="679">
        <v>3.85</v>
      </c>
      <c r="D52" s="405">
        <v>9.34</v>
      </c>
      <c r="E52" s="405">
        <v>11.3</v>
      </c>
      <c r="F52" s="40">
        <f t="shared" si="2"/>
        <v>10.32</v>
      </c>
      <c r="G52" s="51">
        <f t="shared" si="3"/>
        <v>3.3109999999999999</v>
      </c>
      <c r="H52" s="407" t="s">
        <v>207</v>
      </c>
      <c r="AMI52" s="33"/>
    </row>
    <row r="53" spans="1:1023" customFormat="1" ht="15" customHeight="1" x14ac:dyDescent="0.2">
      <c r="A53" s="42" t="s">
        <v>227</v>
      </c>
      <c r="B53" s="44" t="s">
        <v>228</v>
      </c>
      <c r="C53" s="679">
        <v>0.64</v>
      </c>
      <c r="D53" s="405">
        <v>25.29</v>
      </c>
      <c r="E53" s="405">
        <v>18.899999999999999</v>
      </c>
      <c r="F53" s="40">
        <f t="shared" si="2"/>
        <v>22.094999999999999</v>
      </c>
      <c r="G53" s="51">
        <f t="shared" si="3"/>
        <v>1.1783999999999999</v>
      </c>
      <c r="H53" s="407" t="s">
        <v>163</v>
      </c>
      <c r="AMI53" s="33"/>
    </row>
    <row r="54" spans="1:1023" customFormat="1" ht="15" customHeight="1" x14ac:dyDescent="0.2">
      <c r="A54" s="42" t="s">
        <v>229</v>
      </c>
      <c r="B54" s="44" t="s">
        <v>167</v>
      </c>
      <c r="C54" s="679">
        <v>1.28</v>
      </c>
      <c r="D54" s="405">
        <v>24.28</v>
      </c>
      <c r="E54" s="405">
        <v>27.24</v>
      </c>
      <c r="F54" s="40">
        <f t="shared" si="2"/>
        <v>25.759999999999998</v>
      </c>
      <c r="G54" s="51">
        <f t="shared" si="3"/>
        <v>2.7477333333333331</v>
      </c>
      <c r="H54" s="407" t="s">
        <v>230</v>
      </c>
      <c r="AMI54" s="33"/>
    </row>
    <row r="55" spans="1:1023" customFormat="1" ht="15" customHeight="1" x14ac:dyDescent="0.2">
      <c r="A55" s="42" t="s">
        <v>231</v>
      </c>
      <c r="B55" s="44" t="s">
        <v>167</v>
      </c>
      <c r="C55" s="679">
        <v>0.99</v>
      </c>
      <c r="D55" s="405">
        <v>14.99</v>
      </c>
      <c r="E55" s="405">
        <v>18.84</v>
      </c>
      <c r="F55" s="40">
        <f t="shared" si="2"/>
        <v>16.914999999999999</v>
      </c>
      <c r="G55" s="51">
        <f t="shared" si="3"/>
        <v>1.3954874999999998</v>
      </c>
      <c r="H55" s="407" t="s">
        <v>232</v>
      </c>
      <c r="AMI55" s="33"/>
    </row>
    <row r="56" spans="1:1023" customFormat="1" ht="15" customHeight="1" x14ac:dyDescent="0.2">
      <c r="A56" s="42" t="s">
        <v>233</v>
      </c>
      <c r="B56" s="44" t="s">
        <v>167</v>
      </c>
      <c r="C56" s="679">
        <v>3.9</v>
      </c>
      <c r="D56" s="405">
        <v>7.91</v>
      </c>
      <c r="E56" s="405">
        <v>8.61</v>
      </c>
      <c r="F56" s="40">
        <f t="shared" si="2"/>
        <v>8.26</v>
      </c>
      <c r="G56" s="51">
        <f t="shared" si="3"/>
        <v>2.6844999999999999</v>
      </c>
      <c r="H56" s="407" t="s">
        <v>234</v>
      </c>
      <c r="AMI56" s="33"/>
    </row>
    <row r="57" spans="1:1023" customFormat="1" ht="15" customHeight="1" thickBot="1" x14ac:dyDescent="0.25">
      <c r="A57" s="45" t="s">
        <v>235</v>
      </c>
      <c r="B57" s="46" t="s">
        <v>167</v>
      </c>
      <c r="C57" s="679">
        <v>1.48</v>
      </c>
      <c r="D57" s="409">
        <v>16.07</v>
      </c>
      <c r="E57" s="409">
        <v>22.46</v>
      </c>
      <c r="F57" s="47">
        <f t="shared" si="2"/>
        <v>19.265000000000001</v>
      </c>
      <c r="G57" s="52">
        <f t="shared" si="3"/>
        <v>2.3760166666666667</v>
      </c>
      <c r="H57" s="688" t="s">
        <v>163</v>
      </c>
      <c r="AMG57" s="33"/>
    </row>
    <row r="58" spans="1:1023" customFormat="1" ht="20.25" customHeight="1" thickBot="1" x14ac:dyDescent="0.25">
      <c r="A58" s="911" t="s">
        <v>236</v>
      </c>
      <c r="B58" s="912"/>
      <c r="C58" s="912"/>
      <c r="D58" s="912"/>
      <c r="E58" s="912"/>
      <c r="F58" s="912"/>
      <c r="G58" s="689">
        <f>SUM(G39:G57)</f>
        <v>51.437316666666661</v>
      </c>
      <c r="H58" s="690"/>
      <c r="AMH58" s="33"/>
    </row>
    <row r="59" spans="1:1023" customFormat="1" ht="20.25" customHeight="1" thickBot="1" x14ac:dyDescent="0.25">
      <c r="A59" s="911" t="s">
        <v>237</v>
      </c>
      <c r="B59" s="912"/>
      <c r="C59" s="912"/>
      <c r="D59" s="912"/>
      <c r="E59" s="912"/>
      <c r="F59" s="912"/>
      <c r="G59" s="691">
        <f>G58+G37</f>
        <v>461.23111666666665</v>
      </c>
      <c r="H59" s="692"/>
      <c r="AMH59" s="33"/>
    </row>
    <row r="60" spans="1:1023" customFormat="1" ht="15" thickBot="1" x14ac:dyDescent="0.25">
      <c r="A60" s="54"/>
      <c r="B60" s="55"/>
      <c r="C60" s="55"/>
      <c r="D60" s="55"/>
      <c r="E60" s="55"/>
      <c r="F60" s="55"/>
      <c r="G60" s="55"/>
      <c r="H60" s="56"/>
      <c r="AMI60" s="33"/>
    </row>
    <row r="61" spans="1:1023" customFormat="1" ht="20.25" customHeight="1" thickBot="1" x14ac:dyDescent="0.25">
      <c r="A61" s="891" t="s">
        <v>238</v>
      </c>
      <c r="B61" s="892"/>
      <c r="C61" s="892"/>
      <c r="D61" s="892"/>
      <c r="E61" s="892"/>
      <c r="F61" s="892"/>
      <c r="G61" s="892"/>
      <c r="H61" s="893"/>
      <c r="AMI61" s="33"/>
    </row>
    <row r="62" spans="1:1023" customFormat="1" ht="54.75" customHeight="1" thickBot="1" x14ac:dyDescent="0.25">
      <c r="A62" s="57" t="s">
        <v>133</v>
      </c>
      <c r="B62" s="58" t="s">
        <v>134</v>
      </c>
      <c r="C62" s="58" t="s">
        <v>239</v>
      </c>
      <c r="D62" s="36" t="s">
        <v>240</v>
      </c>
      <c r="E62" s="36" t="s">
        <v>137</v>
      </c>
      <c r="F62" s="37" t="s">
        <v>138</v>
      </c>
      <c r="G62" s="678" t="s">
        <v>241</v>
      </c>
      <c r="H62" s="59" t="s">
        <v>140</v>
      </c>
      <c r="AMI62" s="33"/>
    </row>
    <row r="63" spans="1:1023" customFormat="1" ht="15" customHeight="1" x14ac:dyDescent="0.2">
      <c r="A63" s="403" t="s">
        <v>242</v>
      </c>
      <c r="B63" s="44" t="s">
        <v>143</v>
      </c>
      <c r="C63" s="60">
        <f>0.1*22</f>
        <v>2.2000000000000002</v>
      </c>
      <c r="D63" s="405">
        <v>36.18</v>
      </c>
      <c r="E63" s="405">
        <v>34.57</v>
      </c>
      <c r="F63" s="40">
        <f>(D63+E63)/2</f>
        <v>35.375</v>
      </c>
      <c r="G63" s="41">
        <f>C63*F63</f>
        <v>77.825000000000003</v>
      </c>
      <c r="H63" s="43" t="s">
        <v>243</v>
      </c>
      <c r="AMI63" s="33"/>
    </row>
    <row r="64" spans="1:1023" customFormat="1" ht="15" customHeight="1" x14ac:dyDescent="0.2">
      <c r="A64" s="402" t="s">
        <v>153</v>
      </c>
      <c r="B64" s="44" t="s">
        <v>143</v>
      </c>
      <c r="C64" s="60">
        <f>0.5*22</f>
        <v>11</v>
      </c>
      <c r="D64" s="405">
        <v>7.25</v>
      </c>
      <c r="E64" s="405">
        <v>6.84</v>
      </c>
      <c r="F64" s="40">
        <f>(D64+E64)/2</f>
        <v>7.0449999999999999</v>
      </c>
      <c r="G64" s="41">
        <f>C64*F64</f>
        <v>77.495000000000005</v>
      </c>
      <c r="H64" s="43" t="s">
        <v>151</v>
      </c>
      <c r="AMI64" s="33"/>
    </row>
    <row r="65" spans="1:1025" ht="15" customHeight="1" x14ac:dyDescent="0.2">
      <c r="A65" s="411" t="s">
        <v>172</v>
      </c>
      <c r="B65" s="46" t="s">
        <v>167</v>
      </c>
      <c r="C65" s="60">
        <v>4</v>
      </c>
      <c r="D65" s="405">
        <v>1.64</v>
      </c>
      <c r="E65" s="405">
        <v>2.9</v>
      </c>
      <c r="F65" s="40">
        <f>(D65+E65)/2</f>
        <v>2.27</v>
      </c>
      <c r="G65" s="41">
        <f>C65*F65</f>
        <v>9.08</v>
      </c>
      <c r="H65" s="49" t="s">
        <v>244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J65"/>
      <c r="AMK65"/>
    </row>
    <row r="66" spans="1:1025" ht="15" customHeight="1" thickBot="1" x14ac:dyDescent="0.25">
      <c r="A66" s="412" t="s">
        <v>245</v>
      </c>
      <c r="B66" s="44" t="s">
        <v>206</v>
      </c>
      <c r="C66" s="60">
        <f>4*2*22</f>
        <v>176</v>
      </c>
      <c r="D66" s="409">
        <v>0.44</v>
      </c>
      <c r="E66" s="409">
        <v>0.46</v>
      </c>
      <c r="F66" s="40">
        <f>(D66+E66)/2</f>
        <v>0.45</v>
      </c>
      <c r="G66" s="41">
        <f>C66*F66</f>
        <v>79.2</v>
      </c>
      <c r="H66" s="49" t="s">
        <v>246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J66"/>
      <c r="AMK66"/>
    </row>
    <row r="67" spans="1:1025" ht="47.25" customHeight="1" x14ac:dyDescent="0.2">
      <c r="A67" s="57" t="s">
        <v>133</v>
      </c>
      <c r="B67" s="58" t="s">
        <v>134</v>
      </c>
      <c r="C67" s="58" t="s">
        <v>247</v>
      </c>
      <c r="D67" s="58" t="s">
        <v>240</v>
      </c>
      <c r="E67" s="58" t="s">
        <v>137</v>
      </c>
      <c r="F67" s="61" t="s">
        <v>138</v>
      </c>
      <c r="G67" s="678" t="s">
        <v>248</v>
      </c>
      <c r="H67" s="59" t="s">
        <v>140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J67"/>
      <c r="AMK67"/>
    </row>
    <row r="68" spans="1:1025" ht="15" customHeight="1" thickBot="1" x14ac:dyDescent="0.25">
      <c r="A68" s="38" t="s">
        <v>249</v>
      </c>
      <c r="B68" s="39" t="s">
        <v>167</v>
      </c>
      <c r="C68" s="60">
        <f>2*4</f>
        <v>8</v>
      </c>
      <c r="D68" s="405">
        <v>5.0999999999999996</v>
      </c>
      <c r="E68" s="405">
        <v>5.45</v>
      </c>
      <c r="F68" s="40">
        <f>(D68+E68)/2</f>
        <v>5.2750000000000004</v>
      </c>
      <c r="G68" s="52">
        <f>C68*F68/12</f>
        <v>3.5166666666666671</v>
      </c>
      <c r="H68" s="719" t="s">
        <v>246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J68"/>
      <c r="AMK68"/>
    </row>
    <row r="69" spans="1:1025" ht="20.25" customHeight="1" thickBot="1" x14ac:dyDescent="0.25">
      <c r="A69" s="911" t="s">
        <v>250</v>
      </c>
      <c r="B69" s="912"/>
      <c r="C69" s="912"/>
      <c r="D69" s="912"/>
      <c r="E69" s="912"/>
      <c r="F69" s="913"/>
      <c r="G69" s="720">
        <f>G63+G64+G65+G66+G68</f>
        <v>247.1166666666667</v>
      </c>
      <c r="H69" s="72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J69"/>
      <c r="AMK69"/>
    </row>
    <row r="70" spans="1:1025" x14ac:dyDescent="0.2">
      <c r="A70" s="54"/>
      <c r="B70" s="55"/>
      <c r="C70" s="55"/>
      <c r="D70" s="55"/>
      <c r="E70" s="55"/>
      <c r="F70" s="55"/>
      <c r="G70" s="55"/>
      <c r="H70" s="55"/>
      <c r="I70" s="55"/>
      <c r="J70" s="55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5" x14ac:dyDescent="0.2">
      <c r="A71" s="55" t="s">
        <v>251</v>
      </c>
      <c r="B71" s="55"/>
      <c r="C71" s="55"/>
      <c r="D71" s="55"/>
      <c r="E71" s="62"/>
      <c r="F71" s="55"/>
      <c r="G71" s="55"/>
      <c r="H71" s="56"/>
      <c r="I71" s="56"/>
      <c r="J71" s="55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5" x14ac:dyDescent="0.2">
      <c r="A72" s="55"/>
      <c r="B72" s="55"/>
      <c r="C72" s="55"/>
      <c r="D72" s="55"/>
      <c r="E72" s="62"/>
      <c r="F72" s="55"/>
      <c r="G72" s="62"/>
      <c r="H72" s="56"/>
      <c r="I72" s="56"/>
      <c r="J72" s="55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5" x14ac:dyDescent="0.2">
      <c r="A73" s="55" t="s">
        <v>252</v>
      </c>
      <c r="B73" s="55"/>
      <c r="C73" s="55"/>
      <c r="D73" s="55"/>
      <c r="E73" s="55"/>
      <c r="F73" s="55"/>
      <c r="G73" s="55"/>
      <c r="H73" s="55"/>
      <c r="I73" s="55"/>
      <c r="J73" s="55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5" x14ac:dyDescent="0.2">
      <c r="A74" s="55" t="s">
        <v>253</v>
      </c>
      <c r="B74" s="55"/>
      <c r="C74" s="55"/>
      <c r="D74" s="55"/>
      <c r="E74" s="55"/>
      <c r="F74" s="55"/>
      <c r="G74" s="55"/>
      <c r="H74" s="62"/>
      <c r="I74" s="62"/>
      <c r="J74" s="55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5" x14ac:dyDescent="0.2">
      <c r="A75" s="55" t="s">
        <v>254</v>
      </c>
      <c r="B75" s="55"/>
      <c r="C75" s="55"/>
      <c r="D75" s="55"/>
      <c r="E75" s="55"/>
      <c r="F75" s="55"/>
      <c r="G75" s="55"/>
      <c r="H75" s="63"/>
      <c r="I75" s="63"/>
      <c r="J75" s="5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5" x14ac:dyDescent="0.2">
      <c r="A76" s="55" t="s">
        <v>255</v>
      </c>
      <c r="B76" s="55"/>
      <c r="C76" s="55"/>
      <c r="D76" s="55"/>
      <c r="E76" s="55"/>
      <c r="F76" s="55"/>
      <c r="G76" s="55"/>
      <c r="H76" s="62"/>
      <c r="I76" s="62"/>
      <c r="J76" s="55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5" x14ac:dyDescent="0.2">
      <c r="A77" s="55" t="s">
        <v>256</v>
      </c>
      <c r="B77" s="55"/>
      <c r="C77" s="55"/>
      <c r="D77" s="55"/>
      <c r="E77" s="55"/>
      <c r="F77" s="55"/>
      <c r="G77" s="55"/>
      <c r="H77" s="55"/>
      <c r="I77" s="55"/>
      <c r="J77" s="55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5" x14ac:dyDescent="0.2">
      <c r="A78" s="55" t="s">
        <v>257</v>
      </c>
      <c r="B78" s="55"/>
      <c r="C78" s="55"/>
      <c r="D78" s="55"/>
      <c r="E78" s="55"/>
      <c r="F78" s="55"/>
      <c r="G78" s="55"/>
      <c r="H78" s="55"/>
      <c r="I78" s="55"/>
      <c r="J78" s="55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5" x14ac:dyDescent="0.2">
      <c r="A79" s="55" t="s">
        <v>258</v>
      </c>
      <c r="B79" s="55"/>
      <c r="C79" s="55"/>
      <c r="D79" s="55"/>
      <c r="E79" s="55"/>
      <c r="F79" s="55"/>
      <c r="G79" s="55"/>
      <c r="H79" s="55"/>
      <c r="I79" s="55"/>
      <c r="J79" s="55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5" x14ac:dyDescent="0.2">
      <c r="A80" s="55" t="s">
        <v>259</v>
      </c>
      <c r="B80" s="55"/>
      <c r="C80" s="55"/>
      <c r="D80" s="55"/>
      <c r="E80" s="55"/>
      <c r="F80" s="55"/>
      <c r="G80" s="55"/>
      <c r="H80" s="55"/>
      <c r="I80" s="55"/>
      <c r="J80" s="55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1026" x14ac:dyDescent="0.2">
      <c r="A81" s="55" t="s">
        <v>260</v>
      </c>
      <c r="B81" s="55"/>
      <c r="C81" s="55"/>
      <c r="D81" s="55"/>
      <c r="E81" s="55"/>
      <c r="F81" s="55"/>
      <c r="G81" s="55"/>
      <c r="H81" s="55"/>
      <c r="I81" s="55"/>
      <c r="J81" s="55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6" x14ac:dyDescent="0.2">
      <c r="A82" s="55" t="s">
        <v>261</v>
      </c>
      <c r="B82" s="55"/>
      <c r="C82" s="55"/>
      <c r="D82" s="55"/>
      <c r="E82" s="55"/>
      <c r="F82" s="55"/>
      <c r="G82" s="55"/>
      <c r="H82" s="55"/>
      <c r="I82" s="55"/>
      <c r="J82" s="55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6" x14ac:dyDescent="0.2">
      <c r="A83" s="54"/>
      <c r="B83" s="55"/>
      <c r="C83" s="55"/>
      <c r="D83" s="55"/>
      <c r="E83" s="55"/>
      <c r="F83" s="55"/>
      <c r="G83" s="55"/>
      <c r="H83" s="55"/>
      <c r="I83" s="55"/>
      <c r="J83" s="55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6" ht="15" thickBot="1" x14ac:dyDescent="0.25">
      <c r="A84" s="54"/>
      <c r="B84" s="55"/>
      <c r="C84" s="55"/>
      <c r="D84" s="55"/>
      <c r="E84" s="55"/>
      <c r="F84" s="55"/>
      <c r="G84" s="55"/>
      <c r="H84" s="55"/>
      <c r="I84" s="55"/>
      <c r="J84" s="735"/>
      <c r="K84" s="736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1:1026" ht="20.25" customHeight="1" x14ac:dyDescent="0.2">
      <c r="A85" s="914" t="s">
        <v>262</v>
      </c>
      <c r="B85" s="915"/>
      <c r="C85" s="915"/>
      <c r="D85" s="915"/>
      <c r="E85" s="915"/>
      <c r="F85" s="915"/>
      <c r="G85" s="915"/>
      <c r="H85" s="915"/>
      <c r="I85" s="915"/>
      <c r="J85" s="916"/>
      <c r="K85" s="917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6" s="65" customFormat="1" ht="48.75" thickBot="1" x14ac:dyDescent="0.25">
      <c r="A86" s="693" t="s">
        <v>133</v>
      </c>
      <c r="B86" s="64" t="s">
        <v>134</v>
      </c>
      <c r="C86" s="64" t="s">
        <v>263</v>
      </c>
      <c r="D86" s="64" t="s">
        <v>264</v>
      </c>
      <c r="E86" s="64" t="s">
        <v>265</v>
      </c>
      <c r="F86" s="64" t="s">
        <v>240</v>
      </c>
      <c r="G86" s="694" t="s">
        <v>137</v>
      </c>
      <c r="H86" s="694" t="s">
        <v>138</v>
      </c>
      <c r="I86" s="695" t="s">
        <v>266</v>
      </c>
      <c r="J86" s="695" t="s">
        <v>267</v>
      </c>
      <c r="K86" s="722" t="s">
        <v>268</v>
      </c>
    </row>
    <row r="87" spans="1:1026" ht="15" customHeight="1" x14ac:dyDescent="0.2">
      <c r="A87" s="402" t="s">
        <v>269</v>
      </c>
      <c r="B87" s="39" t="s">
        <v>167</v>
      </c>
      <c r="C87" s="39">
        <v>19</v>
      </c>
      <c r="D87" s="723">
        <v>15</v>
      </c>
      <c r="E87" s="724">
        <v>14</v>
      </c>
      <c r="F87" s="405">
        <v>397.54</v>
      </c>
      <c r="G87" s="418">
        <v>249.3</v>
      </c>
      <c r="H87" s="40">
        <f t="shared" ref="H87:H95" si="4">(F87+G87)/2</f>
        <v>323.42</v>
      </c>
      <c r="I87" s="41">
        <f>(C87*$H$87)</f>
        <v>6144.9800000000005</v>
      </c>
      <c r="J87" s="41">
        <f>(D87*H87)</f>
        <v>4851.3</v>
      </c>
      <c r="K87" s="41">
        <f>(E87*H87)</f>
        <v>4527.88</v>
      </c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  <c r="AMK87"/>
      <c r="AML87" s="33"/>
    </row>
    <row r="88" spans="1:1026" ht="15" customHeight="1" x14ac:dyDescent="0.2">
      <c r="A88" s="402" t="s">
        <v>270</v>
      </c>
      <c r="B88" s="44" t="s">
        <v>167</v>
      </c>
      <c r="C88" s="39">
        <v>19</v>
      </c>
      <c r="D88" s="723">
        <v>15</v>
      </c>
      <c r="E88" s="724">
        <v>14</v>
      </c>
      <c r="F88" s="405">
        <v>89.63</v>
      </c>
      <c r="G88" s="418">
        <v>94.72</v>
      </c>
      <c r="H88" s="40">
        <f t="shared" si="4"/>
        <v>92.174999999999997</v>
      </c>
      <c r="I88" s="41">
        <f t="shared" ref="I88:I96" si="5">(C88*H88)</f>
        <v>1751.325</v>
      </c>
      <c r="J88" s="41">
        <f t="shared" ref="J88:J96" si="6">(D88*H88)</f>
        <v>1382.625</v>
      </c>
      <c r="K88" s="41">
        <f t="shared" ref="K88:K96" si="7">(E88*H88)</f>
        <v>1290.45</v>
      </c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  <c r="AMK88"/>
      <c r="AML88" s="33"/>
    </row>
    <row r="89" spans="1:1026" ht="15" customHeight="1" x14ac:dyDescent="0.2">
      <c r="A89" s="402" t="s">
        <v>271</v>
      </c>
      <c r="B89" s="44" t="s">
        <v>167</v>
      </c>
      <c r="C89" s="39">
        <v>19</v>
      </c>
      <c r="D89" s="723">
        <v>15</v>
      </c>
      <c r="E89" s="724">
        <v>14</v>
      </c>
      <c r="F89" s="405">
        <v>762.14</v>
      </c>
      <c r="G89" s="418">
        <v>710.18</v>
      </c>
      <c r="H89" s="40">
        <f t="shared" si="4"/>
        <v>736.16</v>
      </c>
      <c r="I89" s="41">
        <f t="shared" si="5"/>
        <v>13987.039999999999</v>
      </c>
      <c r="J89" s="41">
        <f t="shared" si="6"/>
        <v>11042.4</v>
      </c>
      <c r="K89" s="41">
        <f t="shared" si="7"/>
        <v>10306.24</v>
      </c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  <c r="AMK89"/>
      <c r="AML89" s="33"/>
    </row>
    <row r="90" spans="1:1026" ht="15" customHeight="1" x14ac:dyDescent="0.2">
      <c r="A90" s="402" t="s">
        <v>272</v>
      </c>
      <c r="B90" s="44" t="s">
        <v>167</v>
      </c>
      <c r="C90" s="39">
        <v>19</v>
      </c>
      <c r="D90" s="723">
        <v>15</v>
      </c>
      <c r="E90" s="724">
        <v>14</v>
      </c>
      <c r="F90" s="405">
        <v>1854.64</v>
      </c>
      <c r="G90" s="418">
        <v>1694.57</v>
      </c>
      <c r="H90" s="40">
        <f t="shared" si="4"/>
        <v>1774.605</v>
      </c>
      <c r="I90" s="41">
        <f t="shared" si="5"/>
        <v>33717.495000000003</v>
      </c>
      <c r="J90" s="41">
        <f t="shared" si="6"/>
        <v>26619.075000000001</v>
      </c>
      <c r="K90" s="41">
        <f t="shared" si="7"/>
        <v>24844.47</v>
      </c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  <c r="AMK90"/>
      <c r="AML90" s="33"/>
    </row>
    <row r="91" spans="1:1026" ht="15" customHeight="1" x14ac:dyDescent="0.2">
      <c r="A91" s="402" t="s">
        <v>273</v>
      </c>
      <c r="B91" s="44" t="s">
        <v>167</v>
      </c>
      <c r="C91" s="39">
        <v>19</v>
      </c>
      <c r="D91" s="723">
        <v>15</v>
      </c>
      <c r="E91" s="724">
        <v>14</v>
      </c>
      <c r="F91" s="405">
        <v>198.83</v>
      </c>
      <c r="G91" s="418">
        <v>181.11</v>
      </c>
      <c r="H91" s="40">
        <f t="shared" si="4"/>
        <v>189.97000000000003</v>
      </c>
      <c r="I91" s="41">
        <f t="shared" si="5"/>
        <v>3609.4300000000003</v>
      </c>
      <c r="J91" s="41">
        <f t="shared" si="6"/>
        <v>2849.55</v>
      </c>
      <c r="K91" s="41">
        <f t="shared" si="7"/>
        <v>2659.5800000000004</v>
      </c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  <c r="AMK91"/>
      <c r="AML91" s="33"/>
    </row>
    <row r="92" spans="1:1026" ht="15" customHeight="1" x14ac:dyDescent="0.2">
      <c r="A92" s="402" t="s">
        <v>274</v>
      </c>
      <c r="B92" s="44" t="s">
        <v>167</v>
      </c>
      <c r="C92" s="39">
        <v>19</v>
      </c>
      <c r="D92" s="723">
        <v>15</v>
      </c>
      <c r="E92" s="724">
        <v>14</v>
      </c>
      <c r="F92" s="405">
        <v>79.3</v>
      </c>
      <c r="G92" s="418">
        <v>91.34</v>
      </c>
      <c r="H92" s="40">
        <f t="shared" si="4"/>
        <v>85.32</v>
      </c>
      <c r="I92" s="41">
        <f t="shared" si="5"/>
        <v>1621.08</v>
      </c>
      <c r="J92" s="41">
        <f t="shared" si="6"/>
        <v>1279.8</v>
      </c>
      <c r="K92" s="41">
        <f t="shared" si="7"/>
        <v>1194.48</v>
      </c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  <c r="AMK92"/>
      <c r="AML92" s="33"/>
    </row>
    <row r="93" spans="1:1026" ht="15" customHeight="1" x14ac:dyDescent="0.2">
      <c r="A93" s="402" t="s">
        <v>275</v>
      </c>
      <c r="B93" s="44" t="s">
        <v>167</v>
      </c>
      <c r="C93" s="39">
        <v>19</v>
      </c>
      <c r="D93" s="723">
        <v>15</v>
      </c>
      <c r="E93" s="724">
        <v>14</v>
      </c>
      <c r="F93" s="405">
        <v>751.56</v>
      </c>
      <c r="G93" s="418">
        <v>452.92</v>
      </c>
      <c r="H93" s="40">
        <f t="shared" si="4"/>
        <v>602.24</v>
      </c>
      <c r="I93" s="41">
        <f t="shared" si="5"/>
        <v>11442.56</v>
      </c>
      <c r="J93" s="41">
        <f t="shared" si="6"/>
        <v>9033.6</v>
      </c>
      <c r="K93" s="41">
        <f t="shared" si="7"/>
        <v>8431.36</v>
      </c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  <c r="AMJ93"/>
      <c r="AMK93"/>
      <c r="AML93" s="33"/>
    </row>
    <row r="94" spans="1:1026" ht="15" customHeight="1" x14ac:dyDescent="0.2">
      <c r="A94" s="402" t="s">
        <v>276</v>
      </c>
      <c r="B94" s="44" t="s">
        <v>167</v>
      </c>
      <c r="C94" s="39">
        <v>19</v>
      </c>
      <c r="D94" s="723">
        <v>15</v>
      </c>
      <c r="E94" s="724">
        <v>14</v>
      </c>
      <c r="F94" s="405">
        <v>71.430000000000007</v>
      </c>
      <c r="G94" s="418">
        <v>69.900000000000006</v>
      </c>
      <c r="H94" s="40">
        <f t="shared" si="4"/>
        <v>70.665000000000006</v>
      </c>
      <c r="I94" s="41">
        <f t="shared" si="5"/>
        <v>1342.6350000000002</v>
      </c>
      <c r="J94" s="41">
        <f t="shared" si="6"/>
        <v>1059.9750000000001</v>
      </c>
      <c r="K94" s="41">
        <f t="shared" si="7"/>
        <v>989.31000000000006</v>
      </c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  <c r="AMK94"/>
      <c r="AML94" s="33"/>
    </row>
    <row r="95" spans="1:1026" ht="15" customHeight="1" x14ac:dyDescent="0.2">
      <c r="A95" s="402" t="s">
        <v>277</v>
      </c>
      <c r="B95" s="44" t="s">
        <v>167</v>
      </c>
      <c r="C95" s="39">
        <f>19*2</f>
        <v>38</v>
      </c>
      <c r="D95" s="725">
        <f>15*2</f>
        <v>30</v>
      </c>
      <c r="E95" s="726">
        <f>14*2</f>
        <v>28</v>
      </c>
      <c r="F95" s="405">
        <v>39.53</v>
      </c>
      <c r="G95" s="418">
        <v>40.409999999999997</v>
      </c>
      <c r="H95" s="857">
        <f t="shared" si="4"/>
        <v>39.97</v>
      </c>
      <c r="I95" s="856">
        <f>(C95*H95)</f>
        <v>1518.86</v>
      </c>
      <c r="J95" s="41">
        <f t="shared" si="6"/>
        <v>1199.0999999999999</v>
      </c>
      <c r="K95" s="41">
        <f t="shared" si="7"/>
        <v>1119.1599999999999</v>
      </c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  <c r="AMK95"/>
      <c r="AML95" s="33"/>
    </row>
    <row r="96" spans="1:1026" ht="15" customHeight="1" thickBot="1" x14ac:dyDescent="0.25">
      <c r="A96" s="696" t="s">
        <v>278</v>
      </c>
      <c r="B96" s="44" t="s">
        <v>167</v>
      </c>
      <c r="C96" s="39">
        <v>14</v>
      </c>
      <c r="D96" s="725">
        <v>11</v>
      </c>
      <c r="E96" s="726">
        <v>5</v>
      </c>
      <c r="F96" s="419">
        <v>23.07</v>
      </c>
      <c r="G96" s="697">
        <v>25.51</v>
      </c>
      <c r="H96" s="419">
        <f>(F96+G96)/2</f>
        <v>24.29</v>
      </c>
      <c r="I96" s="41">
        <f t="shared" si="5"/>
        <v>340.06</v>
      </c>
      <c r="J96" s="41">
        <f t="shared" si="6"/>
        <v>267.19</v>
      </c>
      <c r="K96" s="41">
        <f t="shared" si="7"/>
        <v>121.44999999999999</v>
      </c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  <c r="AMK96"/>
      <c r="AML96" s="33"/>
    </row>
    <row r="97" spans="1:1025" ht="20.25" customHeight="1" thickBot="1" x14ac:dyDescent="0.25">
      <c r="A97" s="904" t="s">
        <v>279</v>
      </c>
      <c r="B97" s="905"/>
      <c r="C97" s="905"/>
      <c r="D97" s="905"/>
      <c r="E97" s="905"/>
      <c r="F97" s="905"/>
      <c r="G97" s="906"/>
      <c r="H97" s="698"/>
      <c r="I97" s="698">
        <f>SUM(I87:I96)</f>
        <v>75475.464999999997</v>
      </c>
      <c r="J97" s="698">
        <f>SUM(J87:J96)</f>
        <v>59584.615000000005</v>
      </c>
      <c r="K97" s="698">
        <f>SUM(K87:K96)</f>
        <v>55484.380000000005</v>
      </c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</row>
    <row r="98" spans="1:1025" ht="20.25" customHeight="1" thickBot="1" x14ac:dyDescent="0.25">
      <c r="A98" s="907" t="s">
        <v>280</v>
      </c>
      <c r="B98" s="908"/>
      <c r="C98" s="908"/>
      <c r="D98" s="908"/>
      <c r="E98" s="908"/>
      <c r="F98" s="66">
        <v>0.1</v>
      </c>
      <c r="G98" s="67"/>
      <c r="H98" s="727"/>
      <c r="I98" s="727">
        <f>I97/120</f>
        <v>628.96220833333325</v>
      </c>
      <c r="J98" s="727">
        <f>J97/120</f>
        <v>496.53845833333338</v>
      </c>
      <c r="K98" s="727">
        <f>K97/120</f>
        <v>462.36983333333336</v>
      </c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</row>
    <row r="99" spans="1:1025" ht="20.25" customHeight="1" thickBot="1" x14ac:dyDescent="0.25">
      <c r="A99" s="909" t="s">
        <v>281</v>
      </c>
      <c r="B99" s="910"/>
      <c r="C99" s="910"/>
      <c r="D99" s="910"/>
      <c r="E99" s="910"/>
      <c r="F99" s="910"/>
      <c r="G99" s="910"/>
      <c r="H99" s="728"/>
      <c r="I99" s="728">
        <f>I98/'Prod. GEXCAS'!O24</f>
        <v>19.059460858585854</v>
      </c>
      <c r="J99" s="728">
        <f>J98/'Prod. GEXLON'!P20</f>
        <v>17.122015804597702</v>
      </c>
      <c r="K99" s="728">
        <f>K98/'Prod. GEXMRG'!O19</f>
        <v>17.12480864197531</v>
      </c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</row>
    <row r="100" spans="1:1025" x14ac:dyDescent="0.2">
      <c r="A100" s="54"/>
      <c r="B100" s="55"/>
      <c r="C100" s="55"/>
      <c r="D100" s="55"/>
      <c r="E100" s="55"/>
      <c r="F100" s="55"/>
      <c r="G100" s="62"/>
      <c r="H100" s="55"/>
      <c r="I100" s="55"/>
      <c r="J100" s="55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5" x14ac:dyDescent="0.2">
      <c r="A101" s="54"/>
      <c r="B101" s="55"/>
      <c r="C101" s="55"/>
      <c r="D101" s="55"/>
      <c r="E101" s="55"/>
      <c r="F101" s="55"/>
      <c r="G101" s="55"/>
      <c r="H101" s="55"/>
      <c r="I101" s="55"/>
      <c r="J101" s="55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</row>
    <row r="102" spans="1:1025" x14ac:dyDescent="0.2">
      <c r="A102" s="54"/>
      <c r="B102" s="55"/>
      <c r="C102" s="55"/>
      <c r="D102" s="55"/>
      <c r="E102" s="55"/>
      <c r="F102" s="55"/>
      <c r="G102" s="55"/>
      <c r="H102" s="55"/>
      <c r="I102" s="55"/>
      <c r="J102" s="55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</row>
    <row r="103" spans="1:1025" ht="20.25" customHeight="1" x14ac:dyDescent="0.2">
      <c r="A103" s="918" t="s">
        <v>282</v>
      </c>
      <c r="B103" s="919"/>
      <c r="C103" s="919"/>
      <c r="D103" s="919"/>
      <c r="E103" s="919"/>
      <c r="F103" s="919"/>
      <c r="G103" s="920"/>
      <c r="H103" s="55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J103"/>
      <c r="AMK103"/>
    </row>
    <row r="104" spans="1:1025" s="65" customFormat="1" ht="47.25" customHeight="1" x14ac:dyDescent="0.2">
      <c r="A104" s="699" t="s">
        <v>133</v>
      </c>
      <c r="B104" s="68" t="s">
        <v>134</v>
      </c>
      <c r="C104" s="68" t="s">
        <v>247</v>
      </c>
      <c r="D104" s="68" t="s">
        <v>283</v>
      </c>
      <c r="E104" s="69" t="s">
        <v>284</v>
      </c>
      <c r="F104" s="69" t="s">
        <v>285</v>
      </c>
      <c r="G104" s="737" t="s">
        <v>286</v>
      </c>
    </row>
    <row r="105" spans="1:1025" ht="20.25" customHeight="1" x14ac:dyDescent="0.2">
      <c r="A105" s="921" t="s">
        <v>287</v>
      </c>
      <c r="B105" s="922"/>
      <c r="C105" s="922"/>
      <c r="D105" s="922"/>
      <c r="E105" s="922"/>
      <c r="F105" s="923"/>
      <c r="G105" s="738">
        <f>SUM(G106:G111)</f>
        <v>27.875416666666666</v>
      </c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I105"/>
      <c r="AMJ105"/>
      <c r="AMK105"/>
    </row>
    <row r="106" spans="1:1025" ht="15" customHeight="1" x14ac:dyDescent="0.2">
      <c r="A106" s="700" t="s">
        <v>288</v>
      </c>
      <c r="B106" s="39" t="s">
        <v>167</v>
      </c>
      <c r="C106" s="39">
        <v>2</v>
      </c>
      <c r="D106" s="419">
        <v>17.809999999999999</v>
      </c>
      <c r="E106" s="422">
        <v>24.93</v>
      </c>
      <c r="F106" s="40">
        <f t="shared" ref="F106:F111" si="8">(D106+E106)/2</f>
        <v>21.369999999999997</v>
      </c>
      <c r="G106" s="739">
        <f t="shared" ref="G106:G111" si="9">(C106*F106)/12</f>
        <v>3.5616666666666661</v>
      </c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I106"/>
      <c r="AMJ106"/>
      <c r="AMK106"/>
    </row>
    <row r="107" spans="1:1025" ht="15" customHeight="1" x14ac:dyDescent="0.2">
      <c r="A107" s="701" t="s">
        <v>289</v>
      </c>
      <c r="B107" s="44" t="s">
        <v>167</v>
      </c>
      <c r="C107" s="44">
        <v>1</v>
      </c>
      <c r="D107" s="419">
        <v>38.08</v>
      </c>
      <c r="E107" s="422">
        <v>40.880000000000003</v>
      </c>
      <c r="F107" s="40">
        <f t="shared" si="8"/>
        <v>39.480000000000004</v>
      </c>
      <c r="G107" s="739">
        <f t="shared" si="9"/>
        <v>3.2900000000000005</v>
      </c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I107"/>
      <c r="AMJ107"/>
      <c r="AMK107"/>
    </row>
    <row r="108" spans="1:1025" ht="15" customHeight="1" x14ac:dyDescent="0.2">
      <c r="A108" s="701" t="s">
        <v>290</v>
      </c>
      <c r="B108" s="44" t="s">
        <v>167</v>
      </c>
      <c r="C108" s="44">
        <v>2</v>
      </c>
      <c r="D108" s="419">
        <v>48.63</v>
      </c>
      <c r="E108" s="422">
        <v>58.87</v>
      </c>
      <c r="F108" s="40">
        <f t="shared" si="8"/>
        <v>53.75</v>
      </c>
      <c r="G108" s="739">
        <f t="shared" si="9"/>
        <v>8.9583333333333339</v>
      </c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I108"/>
      <c r="AMJ108"/>
      <c r="AMK108"/>
    </row>
    <row r="109" spans="1:1025" ht="15" customHeight="1" x14ac:dyDescent="0.2">
      <c r="A109" s="701" t="s">
        <v>291</v>
      </c>
      <c r="B109" s="44" t="s">
        <v>167</v>
      </c>
      <c r="C109" s="44">
        <v>2</v>
      </c>
      <c r="D109" s="419">
        <v>19.149999999999999</v>
      </c>
      <c r="E109" s="422">
        <v>28.23</v>
      </c>
      <c r="F109" s="40">
        <f t="shared" si="8"/>
        <v>23.689999999999998</v>
      </c>
      <c r="G109" s="739">
        <f t="shared" si="9"/>
        <v>3.9483333333333328</v>
      </c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I109"/>
      <c r="AMJ109"/>
      <c r="AMK109"/>
    </row>
    <row r="110" spans="1:1025" ht="15" customHeight="1" x14ac:dyDescent="0.2">
      <c r="A110" s="702" t="s">
        <v>292</v>
      </c>
      <c r="B110" s="46" t="s">
        <v>167</v>
      </c>
      <c r="C110" s="46">
        <v>1</v>
      </c>
      <c r="D110" s="420">
        <v>9.18</v>
      </c>
      <c r="E110" s="423">
        <v>9.3699999999999992</v>
      </c>
      <c r="F110" s="40">
        <f t="shared" si="8"/>
        <v>9.2749999999999986</v>
      </c>
      <c r="G110" s="739">
        <f t="shared" si="9"/>
        <v>0.77291666666666659</v>
      </c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I110"/>
      <c r="AMJ110"/>
      <c r="AMK110"/>
    </row>
    <row r="111" spans="1:1025" ht="15" customHeight="1" x14ac:dyDescent="0.2">
      <c r="A111" s="703" t="s">
        <v>293</v>
      </c>
      <c r="B111" s="70" t="s">
        <v>187</v>
      </c>
      <c r="C111" s="70">
        <v>2</v>
      </c>
      <c r="D111" s="421">
        <v>47.88</v>
      </c>
      <c r="E111" s="424">
        <v>40.25</v>
      </c>
      <c r="F111" s="71">
        <f t="shared" si="8"/>
        <v>44.064999999999998</v>
      </c>
      <c r="G111" s="739">
        <f t="shared" si="9"/>
        <v>7.3441666666666663</v>
      </c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  <c r="AMI111"/>
      <c r="AMJ111"/>
      <c r="AMK111"/>
    </row>
    <row r="112" spans="1:1025" ht="20.25" customHeight="1" x14ac:dyDescent="0.2">
      <c r="A112" s="924" t="s">
        <v>294</v>
      </c>
      <c r="B112" s="925"/>
      <c r="C112" s="925"/>
      <c r="D112" s="925"/>
      <c r="E112" s="925"/>
      <c r="F112" s="926"/>
      <c r="G112" s="738">
        <f>SUM(G113:G116)</f>
        <v>34.030416666666667</v>
      </c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  <c r="AJP112"/>
      <c r="AJQ112"/>
      <c r="AJR112"/>
      <c r="AJS112"/>
      <c r="AJT112"/>
      <c r="AJU112"/>
      <c r="AJV112"/>
      <c r="AJW112"/>
      <c r="AJX112"/>
      <c r="AJY112"/>
      <c r="AJZ112"/>
      <c r="AKA112"/>
      <c r="AKB112"/>
      <c r="AKC112"/>
      <c r="AKD112"/>
      <c r="AKE112"/>
      <c r="AKF112"/>
      <c r="AKG112"/>
      <c r="AKH112"/>
      <c r="AKI112"/>
      <c r="AKJ112"/>
      <c r="AKK112"/>
      <c r="AKL112"/>
      <c r="AKM112"/>
      <c r="AKN112"/>
      <c r="AKO112"/>
      <c r="AKP112"/>
      <c r="AKQ112"/>
      <c r="AKR112"/>
      <c r="AKS112"/>
      <c r="AKT112"/>
      <c r="AKU112"/>
      <c r="AKV112"/>
      <c r="AKW112"/>
      <c r="AKX112"/>
      <c r="AKY112"/>
      <c r="AKZ112"/>
      <c r="ALA112"/>
      <c r="ALB112"/>
      <c r="ALC112"/>
      <c r="ALD112"/>
      <c r="ALE112"/>
      <c r="ALF112"/>
      <c r="ALG112"/>
      <c r="ALH112"/>
      <c r="ALI112"/>
      <c r="ALJ112"/>
      <c r="ALK112"/>
      <c r="ALL112"/>
      <c r="ALM112"/>
      <c r="ALN112"/>
      <c r="ALO112"/>
      <c r="ALP112"/>
      <c r="ALQ112"/>
      <c r="ALR112"/>
      <c r="ALS112"/>
      <c r="ALT112"/>
      <c r="ALU112"/>
      <c r="ALV112"/>
      <c r="ALW112"/>
      <c r="ALX112"/>
      <c r="ALY112"/>
      <c r="ALZ112"/>
      <c r="AMA112"/>
      <c r="AMB112"/>
      <c r="AMC112"/>
      <c r="AMD112"/>
      <c r="AME112"/>
      <c r="AMF112"/>
      <c r="AMG112"/>
      <c r="AMI112"/>
      <c r="AMJ112"/>
      <c r="AMK112"/>
    </row>
    <row r="113" spans="1:1025" ht="15" customHeight="1" x14ac:dyDescent="0.2">
      <c r="A113" s="402" t="s">
        <v>295</v>
      </c>
      <c r="B113" s="39" t="s">
        <v>167</v>
      </c>
      <c r="C113" s="39">
        <v>2</v>
      </c>
      <c r="D113" s="419">
        <v>52.12</v>
      </c>
      <c r="E113" s="422">
        <v>57.27</v>
      </c>
      <c r="F113" s="40">
        <f>(D113+E113)/2</f>
        <v>54.695</v>
      </c>
      <c r="G113" s="739">
        <f>(C113*F113)/12</f>
        <v>9.1158333333333328</v>
      </c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  <c r="AJP113"/>
      <c r="AJQ113"/>
      <c r="AJR113"/>
      <c r="AJS113"/>
      <c r="AJT113"/>
      <c r="AJU113"/>
      <c r="AJV113"/>
      <c r="AJW113"/>
      <c r="AJX113"/>
      <c r="AJY113"/>
      <c r="AJZ113"/>
      <c r="AKA113"/>
      <c r="AKB113"/>
      <c r="AKC113"/>
      <c r="AKD113"/>
      <c r="AKE113"/>
      <c r="AKF113"/>
      <c r="AKG113"/>
      <c r="AKH113"/>
      <c r="AKI113"/>
      <c r="AKJ113"/>
      <c r="AKK113"/>
      <c r="AKL113"/>
      <c r="AKM113"/>
      <c r="AKN113"/>
      <c r="AKO113"/>
      <c r="AKP113"/>
      <c r="AKQ113"/>
      <c r="AKR113"/>
      <c r="AKS113"/>
      <c r="AKT113"/>
      <c r="AKU113"/>
      <c r="AKV113"/>
      <c r="AKW113"/>
      <c r="AKX113"/>
      <c r="AKY113"/>
      <c r="AKZ113"/>
      <c r="ALA113"/>
      <c r="ALB113"/>
      <c r="ALC113"/>
      <c r="ALD113"/>
      <c r="ALE113"/>
      <c r="ALF113"/>
      <c r="ALG113"/>
      <c r="ALH113"/>
      <c r="ALI113"/>
      <c r="ALJ113"/>
      <c r="ALK113"/>
      <c r="ALL113"/>
      <c r="ALM113"/>
      <c r="ALN113"/>
      <c r="ALO113"/>
      <c r="ALP113"/>
      <c r="ALQ113"/>
      <c r="ALR113"/>
      <c r="ALS113"/>
      <c r="ALT113"/>
      <c r="ALU113"/>
      <c r="ALV113"/>
      <c r="ALW113"/>
      <c r="ALX113"/>
      <c r="ALY113"/>
      <c r="ALZ113"/>
      <c r="AMA113"/>
      <c r="AMB113"/>
      <c r="AMC113"/>
      <c r="AMD113"/>
      <c r="AME113"/>
      <c r="AMF113"/>
      <c r="AMG113"/>
      <c r="AMI113"/>
      <c r="AMJ113"/>
      <c r="AMK113"/>
    </row>
    <row r="114" spans="1:1025" ht="15" customHeight="1" x14ac:dyDescent="0.2">
      <c r="A114" s="402" t="s">
        <v>296</v>
      </c>
      <c r="B114" s="44" t="s">
        <v>167</v>
      </c>
      <c r="C114" s="44">
        <v>2</v>
      </c>
      <c r="D114" s="419">
        <v>58.38</v>
      </c>
      <c r="E114" s="422">
        <v>63.97</v>
      </c>
      <c r="F114" s="40">
        <f>(D114+E114)/2</f>
        <v>61.174999999999997</v>
      </c>
      <c r="G114" s="739">
        <f>(C114*F114)/12</f>
        <v>10.195833333333333</v>
      </c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  <c r="AJP114"/>
      <c r="AJQ114"/>
      <c r="AJR114"/>
      <c r="AJS114"/>
      <c r="AJT114"/>
      <c r="AJU114"/>
      <c r="AJV114"/>
      <c r="AJW114"/>
      <c r="AJX114"/>
      <c r="AJY114"/>
      <c r="AJZ114"/>
      <c r="AKA114"/>
      <c r="AKB114"/>
      <c r="AKC114"/>
      <c r="AKD114"/>
      <c r="AKE114"/>
      <c r="AKF114"/>
      <c r="AKG114"/>
      <c r="AKH114"/>
      <c r="AKI114"/>
      <c r="AKJ114"/>
      <c r="AKK114"/>
      <c r="AKL114"/>
      <c r="AKM114"/>
      <c r="AKN114"/>
      <c r="AKO114"/>
      <c r="AKP114"/>
      <c r="AKQ114"/>
      <c r="AKR114"/>
      <c r="AKS114"/>
      <c r="AKT114"/>
      <c r="AKU114"/>
      <c r="AKV114"/>
      <c r="AKW114"/>
      <c r="AKX114"/>
      <c r="AKY114"/>
      <c r="AKZ114"/>
      <c r="ALA114"/>
      <c r="ALB114"/>
      <c r="ALC114"/>
      <c r="ALD114"/>
      <c r="ALE114"/>
      <c r="ALF114"/>
      <c r="ALG114"/>
      <c r="ALH114"/>
      <c r="ALI114"/>
      <c r="ALJ114"/>
      <c r="ALK114"/>
      <c r="ALL114"/>
      <c r="ALM114"/>
      <c r="ALN114"/>
      <c r="ALO114"/>
      <c r="ALP114"/>
      <c r="ALQ114"/>
      <c r="ALR114"/>
      <c r="ALS114"/>
      <c r="ALT114"/>
      <c r="ALU114"/>
      <c r="ALV114"/>
      <c r="ALW114"/>
      <c r="ALX114"/>
      <c r="ALY114"/>
      <c r="ALZ114"/>
      <c r="AMA114"/>
      <c r="AMB114"/>
      <c r="AMC114"/>
      <c r="AMD114"/>
      <c r="AME114"/>
      <c r="AMF114"/>
      <c r="AMG114"/>
      <c r="AMI114"/>
      <c r="AMJ114"/>
      <c r="AMK114"/>
    </row>
    <row r="115" spans="1:1025" ht="15" customHeight="1" x14ac:dyDescent="0.2">
      <c r="A115" s="402" t="s">
        <v>297</v>
      </c>
      <c r="B115" s="44" t="s">
        <v>167</v>
      </c>
      <c r="C115" s="44">
        <v>1</v>
      </c>
      <c r="D115" s="419">
        <v>9.18</v>
      </c>
      <c r="E115" s="422">
        <v>9.3699999999999992</v>
      </c>
      <c r="F115" s="40">
        <f>(D115+E115)/2</f>
        <v>9.2749999999999986</v>
      </c>
      <c r="G115" s="739">
        <f>(C115*F115)/12</f>
        <v>0.77291666666666659</v>
      </c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  <c r="AMG115"/>
      <c r="AMI115"/>
      <c r="AMJ115"/>
      <c r="AMK115"/>
    </row>
    <row r="116" spans="1:1025" ht="15" customHeight="1" x14ac:dyDescent="0.2">
      <c r="A116" s="411" t="s">
        <v>298</v>
      </c>
      <c r="B116" s="46" t="s">
        <v>187</v>
      </c>
      <c r="C116" s="46">
        <v>2</v>
      </c>
      <c r="D116" s="420">
        <v>82.38</v>
      </c>
      <c r="E116" s="423">
        <v>84.97</v>
      </c>
      <c r="F116" s="40">
        <f>(D116+E116)/2</f>
        <v>83.674999999999997</v>
      </c>
      <c r="G116" s="739">
        <f>(C116*F116)/12</f>
        <v>13.945833333333333</v>
      </c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  <c r="ABW116"/>
      <c r="ABX116"/>
      <c r="ABY116"/>
      <c r="ABZ116"/>
      <c r="ACA116"/>
      <c r="ACB116"/>
      <c r="ACC116"/>
      <c r="ACD116"/>
      <c r="ACE116"/>
      <c r="ACF116"/>
      <c r="ACG116"/>
      <c r="ACH116"/>
      <c r="ACI116"/>
      <c r="ACJ116"/>
      <c r="ACK116"/>
      <c r="ACL116"/>
      <c r="ACM116"/>
      <c r="ACN116"/>
      <c r="ACO116"/>
      <c r="ACP116"/>
      <c r="ACQ116"/>
      <c r="ACR116"/>
      <c r="ACS116"/>
      <c r="ACT116"/>
      <c r="ACU116"/>
      <c r="ACV116"/>
      <c r="ACW116"/>
      <c r="ACX116"/>
      <c r="ACY116"/>
      <c r="ACZ116"/>
      <c r="ADA116"/>
      <c r="ADB116"/>
      <c r="ADC116"/>
      <c r="ADD116"/>
      <c r="ADE116"/>
      <c r="ADF116"/>
      <c r="ADG116"/>
      <c r="ADH116"/>
      <c r="ADI116"/>
      <c r="ADJ116"/>
      <c r="ADK116"/>
      <c r="ADL116"/>
      <c r="ADM116"/>
      <c r="ADN116"/>
      <c r="ADO116"/>
      <c r="ADP116"/>
      <c r="ADQ116"/>
      <c r="ADR116"/>
      <c r="ADS116"/>
      <c r="ADT116"/>
      <c r="ADU116"/>
      <c r="ADV116"/>
      <c r="ADW116"/>
      <c r="ADX116"/>
      <c r="ADY116"/>
      <c r="ADZ116"/>
      <c r="AEA116"/>
      <c r="AEB116"/>
      <c r="AEC116"/>
      <c r="AED116"/>
      <c r="AEE116"/>
      <c r="AEF116"/>
      <c r="AEG116"/>
      <c r="AEH116"/>
      <c r="AEI116"/>
      <c r="AEJ116"/>
      <c r="AEK116"/>
      <c r="AEL116"/>
      <c r="AEM116"/>
      <c r="AEN116"/>
      <c r="AEO116"/>
      <c r="AEP116"/>
      <c r="AEQ116"/>
      <c r="AER116"/>
      <c r="AES116"/>
      <c r="AET116"/>
      <c r="AEU116"/>
      <c r="AEV116"/>
      <c r="AEW116"/>
      <c r="AEX116"/>
      <c r="AEY116"/>
      <c r="AEZ116"/>
      <c r="AFA116"/>
      <c r="AFB116"/>
      <c r="AFC116"/>
      <c r="AFD116"/>
      <c r="AFE116"/>
      <c r="AFF116"/>
      <c r="AFG116"/>
      <c r="AFH116"/>
      <c r="AFI116"/>
      <c r="AFJ116"/>
      <c r="AFK116"/>
      <c r="AFL116"/>
      <c r="AFM116"/>
      <c r="AFN116"/>
      <c r="AFO116"/>
      <c r="AFP116"/>
      <c r="AFQ116"/>
      <c r="AFR116"/>
      <c r="AFS116"/>
      <c r="AFT116"/>
      <c r="AFU116"/>
      <c r="AFV116"/>
      <c r="AFW116"/>
      <c r="AFX116"/>
      <c r="AFY116"/>
      <c r="AFZ116"/>
      <c r="AGA116"/>
      <c r="AGB116"/>
      <c r="AGC116"/>
      <c r="AGD116"/>
      <c r="AGE116"/>
      <c r="AGF116"/>
      <c r="AGG116"/>
      <c r="AGH116"/>
      <c r="AGI116"/>
      <c r="AGJ116"/>
      <c r="AGK116"/>
      <c r="AGL116"/>
      <c r="AGM116"/>
      <c r="AGN116"/>
      <c r="AGO116"/>
      <c r="AGP116"/>
      <c r="AGQ116"/>
      <c r="AGR116"/>
      <c r="AGS116"/>
      <c r="AGT116"/>
      <c r="AGU116"/>
      <c r="AGV116"/>
      <c r="AGW116"/>
      <c r="AGX116"/>
      <c r="AGY116"/>
      <c r="AGZ116"/>
      <c r="AHA116"/>
      <c r="AHB116"/>
      <c r="AHC116"/>
      <c r="AHD116"/>
      <c r="AHE116"/>
      <c r="AHF116"/>
      <c r="AHG116"/>
      <c r="AHH116"/>
      <c r="AHI116"/>
      <c r="AHJ116"/>
      <c r="AHK116"/>
      <c r="AHL116"/>
      <c r="AHM116"/>
      <c r="AHN116"/>
      <c r="AHO116"/>
      <c r="AHP116"/>
      <c r="AHQ116"/>
      <c r="AHR116"/>
      <c r="AHS116"/>
      <c r="AHT116"/>
      <c r="AHU116"/>
      <c r="AHV116"/>
      <c r="AHW116"/>
      <c r="AHX116"/>
      <c r="AHY116"/>
      <c r="AHZ116"/>
      <c r="AIA116"/>
      <c r="AIB116"/>
      <c r="AIC116"/>
      <c r="AID116"/>
      <c r="AIE116"/>
      <c r="AIF116"/>
      <c r="AIG116"/>
      <c r="AIH116"/>
      <c r="AII116"/>
      <c r="AIJ116"/>
      <c r="AIK116"/>
      <c r="AIL116"/>
      <c r="AIM116"/>
      <c r="AIN116"/>
      <c r="AIO116"/>
      <c r="AIP116"/>
      <c r="AIQ116"/>
      <c r="AIR116"/>
      <c r="AIS116"/>
      <c r="AIT116"/>
      <c r="AIU116"/>
      <c r="AIV116"/>
      <c r="AIW116"/>
      <c r="AIX116"/>
      <c r="AIY116"/>
      <c r="AIZ116"/>
      <c r="AJA116"/>
      <c r="AJB116"/>
      <c r="AJC116"/>
      <c r="AJD116"/>
      <c r="AJE116"/>
      <c r="AJF116"/>
      <c r="AJG116"/>
      <c r="AJH116"/>
      <c r="AJI116"/>
      <c r="AJJ116"/>
      <c r="AJK116"/>
      <c r="AJL116"/>
      <c r="AJM116"/>
      <c r="AJN116"/>
      <c r="AJO116"/>
      <c r="AJP116"/>
      <c r="AJQ116"/>
      <c r="AJR116"/>
      <c r="AJS116"/>
      <c r="AJT116"/>
      <c r="AJU116"/>
      <c r="AJV116"/>
      <c r="AJW116"/>
      <c r="AJX116"/>
      <c r="AJY116"/>
      <c r="AJZ116"/>
      <c r="AKA116"/>
      <c r="AKB116"/>
      <c r="AKC116"/>
      <c r="AKD116"/>
      <c r="AKE116"/>
      <c r="AKF116"/>
      <c r="AKG116"/>
      <c r="AKH116"/>
      <c r="AKI116"/>
      <c r="AKJ116"/>
      <c r="AKK116"/>
      <c r="AKL116"/>
      <c r="AKM116"/>
      <c r="AKN116"/>
      <c r="AKO116"/>
      <c r="AKP116"/>
      <c r="AKQ116"/>
      <c r="AKR116"/>
      <c r="AKS116"/>
      <c r="AKT116"/>
      <c r="AKU116"/>
      <c r="AKV116"/>
      <c r="AKW116"/>
      <c r="AKX116"/>
      <c r="AKY116"/>
      <c r="AKZ116"/>
      <c r="ALA116"/>
      <c r="ALB116"/>
      <c r="ALC116"/>
      <c r="ALD116"/>
      <c r="ALE116"/>
      <c r="ALF116"/>
      <c r="ALG116"/>
      <c r="ALH116"/>
      <c r="ALI116"/>
      <c r="ALJ116"/>
      <c r="ALK116"/>
      <c r="ALL116"/>
      <c r="ALM116"/>
      <c r="ALN116"/>
      <c r="ALO116"/>
      <c r="ALP116"/>
      <c r="ALQ116"/>
      <c r="ALR116"/>
      <c r="ALS116"/>
      <c r="ALT116"/>
      <c r="ALU116"/>
      <c r="ALV116"/>
      <c r="ALW116"/>
      <c r="ALX116"/>
      <c r="ALY116"/>
      <c r="ALZ116"/>
      <c r="AMA116"/>
      <c r="AMB116"/>
      <c r="AMC116"/>
      <c r="AMD116"/>
      <c r="AME116"/>
      <c r="AMF116"/>
      <c r="AMG116"/>
      <c r="AMI116"/>
      <c r="AMJ116"/>
      <c r="AMK116"/>
    </row>
    <row r="117" spans="1:1025" ht="20.25" customHeight="1" x14ac:dyDescent="0.2">
      <c r="A117" s="927" t="s">
        <v>299</v>
      </c>
      <c r="B117" s="928"/>
      <c r="C117" s="928"/>
      <c r="D117" s="928"/>
      <c r="E117" s="928"/>
      <c r="F117" s="929"/>
      <c r="G117" s="740">
        <f>G105</f>
        <v>27.875416666666666</v>
      </c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  <c r="WH117"/>
      <c r="WI117"/>
      <c r="WJ117"/>
      <c r="WK117"/>
      <c r="WL117"/>
      <c r="WM117"/>
      <c r="WN117"/>
      <c r="WO117"/>
      <c r="WP117"/>
      <c r="WQ117"/>
      <c r="WR117"/>
      <c r="WS117"/>
      <c r="WT117"/>
      <c r="WU117"/>
      <c r="WV117"/>
      <c r="WW117"/>
      <c r="WX117"/>
      <c r="WY117"/>
      <c r="WZ117"/>
      <c r="XA117"/>
      <c r="XB117"/>
      <c r="XC117"/>
      <c r="XD117"/>
      <c r="XE117"/>
      <c r="XF117"/>
      <c r="XG117"/>
      <c r="XH117"/>
      <c r="XI117"/>
      <c r="XJ117"/>
      <c r="XK117"/>
      <c r="XL117"/>
      <c r="XM117"/>
      <c r="XN117"/>
      <c r="XO117"/>
      <c r="XP117"/>
      <c r="XQ117"/>
      <c r="XR117"/>
      <c r="XS117"/>
      <c r="XT117"/>
      <c r="XU117"/>
      <c r="XV117"/>
      <c r="XW117"/>
      <c r="XX117"/>
      <c r="XY117"/>
      <c r="XZ117"/>
      <c r="YA117"/>
      <c r="YB117"/>
      <c r="YC117"/>
      <c r="YD117"/>
      <c r="YE117"/>
      <c r="YF117"/>
      <c r="YG117"/>
      <c r="YH117"/>
      <c r="YI117"/>
      <c r="YJ117"/>
      <c r="YK117"/>
      <c r="YL117"/>
      <c r="YM117"/>
      <c r="YN117"/>
      <c r="YO117"/>
      <c r="YP117"/>
      <c r="YQ117"/>
      <c r="YR117"/>
      <c r="YS117"/>
      <c r="YT117"/>
      <c r="YU117"/>
      <c r="YV117"/>
      <c r="YW117"/>
      <c r="YX117"/>
      <c r="YY117"/>
      <c r="YZ117"/>
      <c r="ZA117"/>
      <c r="ZB117"/>
      <c r="ZC117"/>
      <c r="ZD117"/>
      <c r="ZE117"/>
      <c r="ZF117"/>
      <c r="ZG117"/>
      <c r="ZH117"/>
      <c r="ZI117"/>
      <c r="ZJ117"/>
      <c r="ZK117"/>
      <c r="ZL117"/>
      <c r="ZM117"/>
      <c r="ZN117"/>
      <c r="ZO117"/>
      <c r="ZP117"/>
      <c r="ZQ117"/>
      <c r="ZR117"/>
      <c r="ZS117"/>
      <c r="ZT117"/>
      <c r="ZU117"/>
      <c r="ZV117"/>
      <c r="ZW117"/>
      <c r="ZX117"/>
      <c r="ZY117"/>
      <c r="ZZ117"/>
      <c r="AAA117"/>
      <c r="AAB117"/>
      <c r="AAC117"/>
      <c r="AAD117"/>
      <c r="AAE117"/>
      <c r="AAF117"/>
      <c r="AAG117"/>
      <c r="AAH117"/>
      <c r="AAI117"/>
      <c r="AAJ117"/>
      <c r="AAK117"/>
      <c r="AAL117"/>
      <c r="AAM117"/>
      <c r="AAN117"/>
      <c r="AAO117"/>
      <c r="AAP117"/>
      <c r="AAQ117"/>
      <c r="AAR117"/>
      <c r="AAS117"/>
      <c r="AAT117"/>
      <c r="AAU117"/>
      <c r="AAV117"/>
      <c r="AAW117"/>
      <c r="AAX117"/>
      <c r="AAY117"/>
      <c r="AAZ117"/>
      <c r="ABA117"/>
      <c r="ABB117"/>
      <c r="ABC117"/>
      <c r="ABD117"/>
      <c r="ABE117"/>
      <c r="ABF117"/>
      <c r="ABG117"/>
      <c r="ABH117"/>
      <c r="ABI117"/>
      <c r="ABJ117"/>
      <c r="ABK117"/>
      <c r="ABL117"/>
      <c r="ABM117"/>
      <c r="ABN117"/>
      <c r="ABO117"/>
      <c r="ABP117"/>
      <c r="ABQ117"/>
      <c r="ABR117"/>
      <c r="ABS117"/>
      <c r="ABT117"/>
      <c r="ABU117"/>
      <c r="ABV117"/>
      <c r="ABW117"/>
      <c r="ABX117"/>
      <c r="ABY117"/>
      <c r="ABZ117"/>
      <c r="ACA117"/>
      <c r="ACB117"/>
      <c r="ACC117"/>
      <c r="ACD117"/>
      <c r="ACE117"/>
      <c r="ACF117"/>
      <c r="ACG117"/>
      <c r="ACH117"/>
      <c r="ACI117"/>
      <c r="ACJ117"/>
      <c r="ACK117"/>
      <c r="ACL117"/>
      <c r="ACM117"/>
      <c r="ACN117"/>
      <c r="ACO117"/>
      <c r="ACP117"/>
      <c r="ACQ117"/>
      <c r="ACR117"/>
      <c r="ACS117"/>
      <c r="ACT117"/>
      <c r="ACU117"/>
      <c r="ACV117"/>
      <c r="ACW117"/>
      <c r="ACX117"/>
      <c r="ACY117"/>
      <c r="ACZ117"/>
      <c r="ADA117"/>
      <c r="ADB117"/>
      <c r="ADC117"/>
      <c r="ADD117"/>
      <c r="ADE117"/>
      <c r="ADF117"/>
      <c r="ADG117"/>
      <c r="ADH117"/>
      <c r="ADI117"/>
      <c r="ADJ117"/>
      <c r="ADK117"/>
      <c r="ADL117"/>
      <c r="ADM117"/>
      <c r="ADN117"/>
      <c r="ADO117"/>
      <c r="ADP117"/>
      <c r="ADQ117"/>
      <c r="ADR117"/>
      <c r="ADS117"/>
      <c r="ADT117"/>
      <c r="ADU117"/>
      <c r="ADV117"/>
      <c r="ADW117"/>
      <c r="ADX117"/>
      <c r="ADY117"/>
      <c r="ADZ117"/>
      <c r="AEA117"/>
      <c r="AEB117"/>
      <c r="AEC117"/>
      <c r="AED117"/>
      <c r="AEE117"/>
      <c r="AEF117"/>
      <c r="AEG117"/>
      <c r="AEH117"/>
      <c r="AEI117"/>
      <c r="AEJ117"/>
      <c r="AEK117"/>
      <c r="AEL117"/>
      <c r="AEM117"/>
      <c r="AEN117"/>
      <c r="AEO117"/>
      <c r="AEP117"/>
      <c r="AEQ117"/>
      <c r="AER117"/>
      <c r="AES117"/>
      <c r="AET117"/>
      <c r="AEU117"/>
      <c r="AEV117"/>
      <c r="AEW117"/>
      <c r="AEX117"/>
      <c r="AEY117"/>
      <c r="AEZ117"/>
      <c r="AFA117"/>
      <c r="AFB117"/>
      <c r="AFC117"/>
      <c r="AFD117"/>
      <c r="AFE117"/>
      <c r="AFF117"/>
      <c r="AFG117"/>
      <c r="AFH117"/>
      <c r="AFI117"/>
      <c r="AFJ117"/>
      <c r="AFK117"/>
      <c r="AFL117"/>
      <c r="AFM117"/>
      <c r="AFN117"/>
      <c r="AFO117"/>
      <c r="AFP117"/>
      <c r="AFQ117"/>
      <c r="AFR117"/>
      <c r="AFS117"/>
      <c r="AFT117"/>
      <c r="AFU117"/>
      <c r="AFV117"/>
      <c r="AFW117"/>
      <c r="AFX117"/>
      <c r="AFY117"/>
      <c r="AFZ117"/>
      <c r="AGA117"/>
      <c r="AGB117"/>
      <c r="AGC117"/>
      <c r="AGD117"/>
      <c r="AGE117"/>
      <c r="AGF117"/>
      <c r="AGG117"/>
      <c r="AGH117"/>
      <c r="AGI117"/>
      <c r="AGJ117"/>
      <c r="AGK117"/>
      <c r="AGL117"/>
      <c r="AGM117"/>
      <c r="AGN117"/>
      <c r="AGO117"/>
      <c r="AGP117"/>
      <c r="AGQ117"/>
      <c r="AGR117"/>
      <c r="AGS117"/>
      <c r="AGT117"/>
      <c r="AGU117"/>
      <c r="AGV117"/>
      <c r="AGW117"/>
      <c r="AGX117"/>
      <c r="AGY117"/>
      <c r="AGZ117"/>
      <c r="AHA117"/>
      <c r="AHB117"/>
      <c r="AHC117"/>
      <c r="AHD117"/>
      <c r="AHE117"/>
      <c r="AHF117"/>
      <c r="AHG117"/>
      <c r="AHH117"/>
      <c r="AHI117"/>
      <c r="AHJ117"/>
      <c r="AHK117"/>
      <c r="AHL117"/>
      <c r="AHM117"/>
      <c r="AHN117"/>
      <c r="AHO117"/>
      <c r="AHP117"/>
      <c r="AHQ117"/>
      <c r="AHR117"/>
      <c r="AHS117"/>
      <c r="AHT117"/>
      <c r="AHU117"/>
      <c r="AHV117"/>
      <c r="AHW117"/>
      <c r="AHX117"/>
      <c r="AHY117"/>
      <c r="AHZ117"/>
      <c r="AIA117"/>
      <c r="AIB117"/>
      <c r="AIC117"/>
      <c r="AID117"/>
      <c r="AIE117"/>
      <c r="AIF117"/>
      <c r="AIG117"/>
      <c r="AIH117"/>
      <c r="AII117"/>
      <c r="AIJ117"/>
      <c r="AIK117"/>
      <c r="AIL117"/>
      <c r="AIM117"/>
      <c r="AIN117"/>
      <c r="AIO117"/>
      <c r="AIP117"/>
      <c r="AIQ117"/>
      <c r="AIR117"/>
      <c r="AIS117"/>
      <c r="AIT117"/>
      <c r="AIU117"/>
      <c r="AIV117"/>
      <c r="AIW117"/>
      <c r="AIX117"/>
      <c r="AIY117"/>
      <c r="AIZ117"/>
      <c r="AJA117"/>
      <c r="AJB117"/>
      <c r="AJC117"/>
      <c r="AJD117"/>
      <c r="AJE117"/>
      <c r="AJF117"/>
      <c r="AJG117"/>
      <c r="AJH117"/>
      <c r="AJI117"/>
      <c r="AJJ117"/>
      <c r="AJK117"/>
      <c r="AJL117"/>
      <c r="AJM117"/>
      <c r="AJN117"/>
      <c r="AJO117"/>
      <c r="AJP117"/>
      <c r="AJQ117"/>
      <c r="AJR117"/>
      <c r="AJS117"/>
      <c r="AJT117"/>
      <c r="AJU117"/>
      <c r="AJV117"/>
      <c r="AJW117"/>
      <c r="AJX117"/>
      <c r="AJY117"/>
      <c r="AJZ117"/>
      <c r="AKA117"/>
      <c r="AKB117"/>
      <c r="AKC117"/>
      <c r="AKD117"/>
      <c r="AKE117"/>
      <c r="AKF117"/>
      <c r="AKG117"/>
      <c r="AKH117"/>
      <c r="AKI117"/>
      <c r="AKJ117"/>
      <c r="AKK117"/>
      <c r="AKL117"/>
      <c r="AKM117"/>
      <c r="AKN117"/>
      <c r="AKO117"/>
      <c r="AKP117"/>
      <c r="AKQ117"/>
      <c r="AKR117"/>
      <c r="AKS117"/>
      <c r="AKT117"/>
      <c r="AKU117"/>
      <c r="AKV117"/>
      <c r="AKW117"/>
      <c r="AKX117"/>
      <c r="AKY117"/>
      <c r="AKZ117"/>
      <c r="ALA117"/>
      <c r="ALB117"/>
      <c r="ALC117"/>
      <c r="ALD117"/>
      <c r="ALE117"/>
      <c r="ALF117"/>
      <c r="ALG117"/>
      <c r="ALH117"/>
      <c r="ALI117"/>
      <c r="ALJ117"/>
      <c r="ALK117"/>
      <c r="ALL117"/>
      <c r="ALM117"/>
      <c r="ALN117"/>
      <c r="ALO117"/>
      <c r="ALP117"/>
      <c r="ALQ117"/>
      <c r="ALR117"/>
      <c r="ALS117"/>
      <c r="ALT117"/>
      <c r="ALU117"/>
      <c r="ALV117"/>
      <c r="ALW117"/>
      <c r="ALX117"/>
      <c r="ALY117"/>
      <c r="ALZ117"/>
      <c r="AMA117"/>
      <c r="AMB117"/>
      <c r="AMC117"/>
      <c r="AMD117"/>
      <c r="AME117"/>
      <c r="AMF117"/>
      <c r="AMG117"/>
      <c r="AMI117"/>
      <c r="AMJ117"/>
      <c r="AMK117"/>
    </row>
    <row r="118" spans="1:1025" ht="20.25" customHeight="1" x14ac:dyDescent="0.2">
      <c r="A118" s="930" t="s">
        <v>300</v>
      </c>
      <c r="B118" s="931"/>
      <c r="C118" s="931"/>
      <c r="D118" s="931"/>
      <c r="E118" s="931"/>
      <c r="F118" s="932"/>
      <c r="G118" s="741">
        <f>G112</f>
        <v>34.030416666666667</v>
      </c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  <c r="TU118"/>
      <c r="TV118"/>
      <c r="TW118"/>
      <c r="TX118"/>
      <c r="TY118"/>
      <c r="TZ118"/>
      <c r="UA118"/>
      <c r="UB118"/>
      <c r="UC118"/>
      <c r="UD118"/>
      <c r="UE118"/>
      <c r="UF118"/>
      <c r="UG118"/>
      <c r="UH118"/>
      <c r="UI118"/>
      <c r="UJ118"/>
      <c r="UK118"/>
      <c r="UL118"/>
      <c r="UM118"/>
      <c r="UN118"/>
      <c r="UO118"/>
      <c r="UP118"/>
      <c r="UQ118"/>
      <c r="UR118"/>
      <c r="US118"/>
      <c r="UT118"/>
      <c r="UU118"/>
      <c r="UV118"/>
      <c r="UW118"/>
      <c r="UX118"/>
      <c r="UY118"/>
      <c r="UZ118"/>
      <c r="VA118"/>
      <c r="VB118"/>
      <c r="VC118"/>
      <c r="VD118"/>
      <c r="VE118"/>
      <c r="VF118"/>
      <c r="VG118"/>
      <c r="VH118"/>
      <c r="VI118"/>
      <c r="VJ118"/>
      <c r="VK118"/>
      <c r="VL118"/>
      <c r="VM118"/>
      <c r="VN118"/>
      <c r="VO118"/>
      <c r="VP118"/>
      <c r="VQ118"/>
      <c r="VR118"/>
      <c r="VS118"/>
      <c r="VT118"/>
      <c r="VU118"/>
      <c r="VV118"/>
      <c r="VW118"/>
      <c r="VX118"/>
      <c r="VY118"/>
      <c r="VZ118"/>
      <c r="WA118"/>
      <c r="WB118"/>
      <c r="WC118"/>
      <c r="WD118"/>
      <c r="WE118"/>
      <c r="WF118"/>
      <c r="WG118"/>
      <c r="WH118"/>
      <c r="WI118"/>
      <c r="WJ118"/>
      <c r="WK118"/>
      <c r="WL118"/>
      <c r="WM118"/>
      <c r="WN118"/>
      <c r="WO118"/>
      <c r="WP118"/>
      <c r="WQ118"/>
      <c r="WR118"/>
      <c r="WS118"/>
      <c r="WT118"/>
      <c r="WU118"/>
      <c r="WV118"/>
      <c r="WW118"/>
      <c r="WX118"/>
      <c r="WY118"/>
      <c r="WZ118"/>
      <c r="XA118"/>
      <c r="XB118"/>
      <c r="XC118"/>
      <c r="XD118"/>
      <c r="XE118"/>
      <c r="XF118"/>
      <c r="XG118"/>
      <c r="XH118"/>
      <c r="XI118"/>
      <c r="XJ118"/>
      <c r="XK118"/>
      <c r="XL118"/>
      <c r="XM118"/>
      <c r="XN118"/>
      <c r="XO118"/>
      <c r="XP118"/>
      <c r="XQ118"/>
      <c r="XR118"/>
      <c r="XS118"/>
      <c r="XT118"/>
      <c r="XU118"/>
      <c r="XV118"/>
      <c r="XW118"/>
      <c r="XX118"/>
      <c r="XY118"/>
      <c r="XZ118"/>
      <c r="YA118"/>
      <c r="YB118"/>
      <c r="YC118"/>
      <c r="YD118"/>
      <c r="YE118"/>
      <c r="YF118"/>
      <c r="YG118"/>
      <c r="YH118"/>
      <c r="YI118"/>
      <c r="YJ118"/>
      <c r="YK118"/>
      <c r="YL118"/>
      <c r="YM118"/>
      <c r="YN118"/>
      <c r="YO118"/>
      <c r="YP118"/>
      <c r="YQ118"/>
      <c r="YR118"/>
      <c r="YS118"/>
      <c r="YT118"/>
      <c r="YU118"/>
      <c r="YV118"/>
      <c r="YW118"/>
      <c r="YX118"/>
      <c r="YY118"/>
      <c r="YZ118"/>
      <c r="ZA118"/>
      <c r="ZB118"/>
      <c r="ZC118"/>
      <c r="ZD118"/>
      <c r="ZE118"/>
      <c r="ZF118"/>
      <c r="ZG118"/>
      <c r="ZH118"/>
      <c r="ZI118"/>
      <c r="ZJ118"/>
      <c r="ZK118"/>
      <c r="ZL118"/>
      <c r="ZM118"/>
      <c r="ZN118"/>
      <c r="ZO118"/>
      <c r="ZP118"/>
      <c r="ZQ118"/>
      <c r="ZR118"/>
      <c r="ZS118"/>
      <c r="ZT118"/>
      <c r="ZU118"/>
      <c r="ZV118"/>
      <c r="ZW118"/>
      <c r="ZX118"/>
      <c r="ZY118"/>
      <c r="ZZ118"/>
      <c r="AAA118"/>
      <c r="AAB118"/>
      <c r="AAC118"/>
      <c r="AAD118"/>
      <c r="AAE118"/>
      <c r="AAF118"/>
      <c r="AAG118"/>
      <c r="AAH118"/>
      <c r="AAI118"/>
      <c r="AAJ118"/>
      <c r="AAK118"/>
      <c r="AAL118"/>
      <c r="AAM118"/>
      <c r="AAN118"/>
      <c r="AAO118"/>
      <c r="AAP118"/>
      <c r="AAQ118"/>
      <c r="AAR118"/>
      <c r="AAS118"/>
      <c r="AAT118"/>
      <c r="AAU118"/>
      <c r="AAV118"/>
      <c r="AAW118"/>
      <c r="AAX118"/>
      <c r="AAY118"/>
      <c r="AAZ118"/>
      <c r="ABA118"/>
      <c r="ABB118"/>
      <c r="ABC118"/>
      <c r="ABD118"/>
      <c r="ABE118"/>
      <c r="ABF118"/>
      <c r="ABG118"/>
      <c r="ABH118"/>
      <c r="ABI118"/>
      <c r="ABJ118"/>
      <c r="ABK118"/>
      <c r="ABL118"/>
      <c r="ABM118"/>
      <c r="ABN118"/>
      <c r="ABO118"/>
      <c r="ABP118"/>
      <c r="ABQ118"/>
      <c r="ABR118"/>
      <c r="ABS118"/>
      <c r="ABT118"/>
      <c r="ABU118"/>
      <c r="ABV118"/>
      <c r="ABW118"/>
      <c r="ABX118"/>
      <c r="ABY118"/>
      <c r="ABZ118"/>
      <c r="ACA118"/>
      <c r="ACB118"/>
      <c r="ACC118"/>
      <c r="ACD118"/>
      <c r="ACE118"/>
      <c r="ACF118"/>
      <c r="ACG118"/>
      <c r="ACH118"/>
      <c r="ACI118"/>
      <c r="ACJ118"/>
      <c r="ACK118"/>
      <c r="ACL118"/>
      <c r="ACM118"/>
      <c r="ACN118"/>
      <c r="ACO118"/>
      <c r="ACP118"/>
      <c r="ACQ118"/>
      <c r="ACR118"/>
      <c r="ACS118"/>
      <c r="ACT118"/>
      <c r="ACU118"/>
      <c r="ACV118"/>
      <c r="ACW118"/>
      <c r="ACX118"/>
      <c r="ACY118"/>
      <c r="ACZ118"/>
      <c r="ADA118"/>
      <c r="ADB118"/>
      <c r="ADC118"/>
      <c r="ADD118"/>
      <c r="ADE118"/>
      <c r="ADF118"/>
      <c r="ADG118"/>
      <c r="ADH118"/>
      <c r="ADI118"/>
      <c r="ADJ118"/>
      <c r="ADK118"/>
      <c r="ADL118"/>
      <c r="ADM118"/>
      <c r="ADN118"/>
      <c r="ADO118"/>
      <c r="ADP118"/>
      <c r="ADQ118"/>
      <c r="ADR118"/>
      <c r="ADS118"/>
      <c r="ADT118"/>
      <c r="ADU118"/>
      <c r="ADV118"/>
      <c r="ADW118"/>
      <c r="ADX118"/>
      <c r="ADY118"/>
      <c r="ADZ118"/>
      <c r="AEA118"/>
      <c r="AEB118"/>
      <c r="AEC118"/>
      <c r="AED118"/>
      <c r="AEE118"/>
      <c r="AEF118"/>
      <c r="AEG118"/>
      <c r="AEH118"/>
      <c r="AEI118"/>
      <c r="AEJ118"/>
      <c r="AEK118"/>
      <c r="AEL118"/>
      <c r="AEM118"/>
      <c r="AEN118"/>
      <c r="AEO118"/>
      <c r="AEP118"/>
      <c r="AEQ118"/>
      <c r="AER118"/>
      <c r="AES118"/>
      <c r="AET118"/>
      <c r="AEU118"/>
      <c r="AEV118"/>
      <c r="AEW118"/>
      <c r="AEX118"/>
      <c r="AEY118"/>
      <c r="AEZ118"/>
      <c r="AFA118"/>
      <c r="AFB118"/>
      <c r="AFC118"/>
      <c r="AFD118"/>
      <c r="AFE118"/>
      <c r="AFF118"/>
      <c r="AFG118"/>
      <c r="AFH118"/>
      <c r="AFI118"/>
      <c r="AFJ118"/>
      <c r="AFK118"/>
      <c r="AFL118"/>
      <c r="AFM118"/>
      <c r="AFN118"/>
      <c r="AFO118"/>
      <c r="AFP118"/>
      <c r="AFQ118"/>
      <c r="AFR118"/>
      <c r="AFS118"/>
      <c r="AFT118"/>
      <c r="AFU118"/>
      <c r="AFV118"/>
      <c r="AFW118"/>
      <c r="AFX118"/>
      <c r="AFY118"/>
      <c r="AFZ118"/>
      <c r="AGA118"/>
      <c r="AGB118"/>
      <c r="AGC118"/>
      <c r="AGD118"/>
      <c r="AGE118"/>
      <c r="AGF118"/>
      <c r="AGG118"/>
      <c r="AGH118"/>
      <c r="AGI118"/>
      <c r="AGJ118"/>
      <c r="AGK118"/>
      <c r="AGL118"/>
      <c r="AGM118"/>
      <c r="AGN118"/>
      <c r="AGO118"/>
      <c r="AGP118"/>
      <c r="AGQ118"/>
      <c r="AGR118"/>
      <c r="AGS118"/>
      <c r="AGT118"/>
      <c r="AGU118"/>
      <c r="AGV118"/>
      <c r="AGW118"/>
      <c r="AGX118"/>
      <c r="AGY118"/>
      <c r="AGZ118"/>
      <c r="AHA118"/>
      <c r="AHB118"/>
      <c r="AHC118"/>
      <c r="AHD118"/>
      <c r="AHE118"/>
      <c r="AHF118"/>
      <c r="AHG118"/>
      <c r="AHH118"/>
      <c r="AHI118"/>
      <c r="AHJ118"/>
      <c r="AHK118"/>
      <c r="AHL118"/>
      <c r="AHM118"/>
      <c r="AHN118"/>
      <c r="AHO118"/>
      <c r="AHP118"/>
      <c r="AHQ118"/>
      <c r="AHR118"/>
      <c r="AHS118"/>
      <c r="AHT118"/>
      <c r="AHU118"/>
      <c r="AHV118"/>
      <c r="AHW118"/>
      <c r="AHX118"/>
      <c r="AHY118"/>
      <c r="AHZ118"/>
      <c r="AIA118"/>
      <c r="AIB118"/>
      <c r="AIC118"/>
      <c r="AID118"/>
      <c r="AIE118"/>
      <c r="AIF118"/>
      <c r="AIG118"/>
      <c r="AIH118"/>
      <c r="AII118"/>
      <c r="AIJ118"/>
      <c r="AIK118"/>
      <c r="AIL118"/>
      <c r="AIM118"/>
      <c r="AIN118"/>
      <c r="AIO118"/>
      <c r="AIP118"/>
      <c r="AIQ118"/>
      <c r="AIR118"/>
      <c r="AIS118"/>
      <c r="AIT118"/>
      <c r="AIU118"/>
      <c r="AIV118"/>
      <c r="AIW118"/>
      <c r="AIX118"/>
      <c r="AIY118"/>
      <c r="AIZ118"/>
      <c r="AJA118"/>
      <c r="AJB118"/>
      <c r="AJC118"/>
      <c r="AJD118"/>
      <c r="AJE118"/>
      <c r="AJF118"/>
      <c r="AJG118"/>
      <c r="AJH118"/>
      <c r="AJI118"/>
      <c r="AJJ118"/>
      <c r="AJK118"/>
      <c r="AJL118"/>
      <c r="AJM118"/>
      <c r="AJN118"/>
      <c r="AJO118"/>
      <c r="AJP118"/>
      <c r="AJQ118"/>
      <c r="AJR118"/>
      <c r="AJS118"/>
      <c r="AJT118"/>
      <c r="AJU118"/>
      <c r="AJV118"/>
      <c r="AJW118"/>
      <c r="AJX118"/>
      <c r="AJY118"/>
      <c r="AJZ118"/>
      <c r="AKA118"/>
      <c r="AKB118"/>
      <c r="AKC118"/>
      <c r="AKD118"/>
      <c r="AKE118"/>
      <c r="AKF118"/>
      <c r="AKG118"/>
      <c r="AKH118"/>
      <c r="AKI118"/>
      <c r="AKJ118"/>
      <c r="AKK118"/>
      <c r="AKL118"/>
      <c r="AKM118"/>
      <c r="AKN118"/>
      <c r="AKO118"/>
      <c r="AKP118"/>
      <c r="AKQ118"/>
      <c r="AKR118"/>
      <c r="AKS118"/>
      <c r="AKT118"/>
      <c r="AKU118"/>
      <c r="AKV118"/>
      <c r="AKW118"/>
      <c r="AKX118"/>
      <c r="AKY118"/>
      <c r="AKZ118"/>
      <c r="ALA118"/>
      <c r="ALB118"/>
      <c r="ALC118"/>
      <c r="ALD118"/>
      <c r="ALE118"/>
      <c r="ALF118"/>
      <c r="ALG118"/>
      <c r="ALH118"/>
      <c r="ALI118"/>
      <c r="ALJ118"/>
      <c r="ALK118"/>
      <c r="ALL118"/>
      <c r="ALM118"/>
      <c r="ALN118"/>
      <c r="ALO118"/>
      <c r="ALP118"/>
      <c r="ALQ118"/>
      <c r="ALR118"/>
      <c r="ALS118"/>
      <c r="ALT118"/>
      <c r="ALU118"/>
      <c r="ALV118"/>
      <c r="ALW118"/>
      <c r="ALX118"/>
      <c r="ALY118"/>
      <c r="ALZ118"/>
      <c r="AMA118"/>
      <c r="AMB118"/>
      <c r="AMC118"/>
      <c r="AMD118"/>
      <c r="AME118"/>
      <c r="AMF118"/>
      <c r="AMG118"/>
      <c r="AMI118"/>
      <c r="AMJ118"/>
      <c r="AMK118"/>
    </row>
    <row r="119" spans="1:1025" x14ac:dyDescent="0.2">
      <c r="A119" s="54"/>
      <c r="B119" s="55"/>
      <c r="C119" s="55"/>
      <c r="D119" s="55"/>
      <c r="E119" s="55"/>
      <c r="F119" s="55"/>
      <c r="G119" s="55"/>
      <c r="H119" s="55"/>
      <c r="I119" s="55"/>
      <c r="J119" s="55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  <c r="TF119"/>
      <c r="TG119"/>
      <c r="TH119"/>
      <c r="TI119"/>
      <c r="TJ119"/>
      <c r="TK119"/>
      <c r="TL119"/>
      <c r="TM119"/>
      <c r="TN119"/>
      <c r="TO119"/>
      <c r="TP119"/>
      <c r="TQ119"/>
      <c r="TR119"/>
      <c r="TS119"/>
      <c r="TT119"/>
      <c r="TU119"/>
      <c r="TV119"/>
      <c r="TW119"/>
      <c r="TX119"/>
      <c r="TY119"/>
      <c r="TZ119"/>
      <c r="UA119"/>
      <c r="UB119"/>
      <c r="UC119"/>
      <c r="UD119"/>
      <c r="UE119"/>
      <c r="UF119"/>
      <c r="UG119"/>
      <c r="UH119"/>
      <c r="UI119"/>
      <c r="UJ119"/>
      <c r="UK119"/>
      <c r="UL119"/>
      <c r="UM119"/>
      <c r="UN119"/>
      <c r="UO119"/>
      <c r="UP119"/>
      <c r="UQ119"/>
      <c r="UR119"/>
      <c r="US119"/>
      <c r="UT119"/>
      <c r="UU119"/>
      <c r="UV119"/>
      <c r="UW119"/>
      <c r="UX119"/>
      <c r="UY119"/>
      <c r="UZ119"/>
      <c r="VA119"/>
      <c r="VB119"/>
      <c r="VC119"/>
      <c r="VD119"/>
      <c r="VE119"/>
      <c r="VF119"/>
      <c r="VG119"/>
      <c r="VH119"/>
      <c r="VI119"/>
      <c r="VJ119"/>
      <c r="VK119"/>
      <c r="VL119"/>
      <c r="VM119"/>
      <c r="VN119"/>
      <c r="VO119"/>
      <c r="VP119"/>
      <c r="VQ119"/>
      <c r="VR119"/>
      <c r="VS119"/>
      <c r="VT119"/>
      <c r="VU119"/>
      <c r="VV119"/>
      <c r="VW119"/>
      <c r="VX119"/>
      <c r="VY119"/>
      <c r="VZ119"/>
      <c r="WA119"/>
      <c r="WB119"/>
      <c r="WC119"/>
      <c r="WD119"/>
      <c r="WE119"/>
      <c r="WF119"/>
      <c r="WG119"/>
      <c r="WH119"/>
      <c r="WI119"/>
      <c r="WJ119"/>
      <c r="WK119"/>
      <c r="WL119"/>
      <c r="WM119"/>
      <c r="WN119"/>
      <c r="WO119"/>
      <c r="WP119"/>
      <c r="WQ119"/>
      <c r="WR119"/>
      <c r="WS119"/>
      <c r="WT119"/>
      <c r="WU119"/>
      <c r="WV119"/>
      <c r="WW119"/>
      <c r="WX119"/>
      <c r="WY119"/>
      <c r="WZ119"/>
      <c r="XA119"/>
      <c r="XB119"/>
      <c r="XC119"/>
      <c r="XD119"/>
      <c r="XE119"/>
      <c r="XF119"/>
      <c r="XG119"/>
      <c r="XH119"/>
      <c r="XI119"/>
      <c r="XJ119"/>
      <c r="XK119"/>
      <c r="XL119"/>
      <c r="XM119"/>
      <c r="XN119"/>
      <c r="XO119"/>
      <c r="XP119"/>
      <c r="XQ119"/>
      <c r="XR119"/>
      <c r="XS119"/>
      <c r="XT119"/>
      <c r="XU119"/>
      <c r="XV119"/>
      <c r="XW119"/>
      <c r="XX119"/>
      <c r="XY119"/>
      <c r="XZ119"/>
      <c r="YA119"/>
      <c r="YB119"/>
      <c r="YC119"/>
      <c r="YD119"/>
      <c r="YE119"/>
      <c r="YF119"/>
      <c r="YG119"/>
      <c r="YH119"/>
      <c r="YI119"/>
      <c r="YJ119"/>
      <c r="YK119"/>
      <c r="YL119"/>
      <c r="YM119"/>
      <c r="YN119"/>
      <c r="YO119"/>
      <c r="YP119"/>
      <c r="YQ119"/>
      <c r="YR119"/>
      <c r="YS119"/>
      <c r="YT119"/>
      <c r="YU119"/>
      <c r="YV119"/>
      <c r="YW119"/>
      <c r="YX119"/>
      <c r="YY119"/>
      <c r="YZ119"/>
      <c r="ZA119"/>
      <c r="ZB119"/>
      <c r="ZC119"/>
      <c r="ZD119"/>
      <c r="ZE119"/>
      <c r="ZF119"/>
      <c r="ZG119"/>
      <c r="ZH119"/>
      <c r="ZI119"/>
      <c r="ZJ119"/>
      <c r="ZK119"/>
      <c r="ZL119"/>
      <c r="ZM119"/>
      <c r="ZN119"/>
      <c r="ZO119"/>
      <c r="ZP119"/>
      <c r="ZQ119"/>
      <c r="ZR119"/>
      <c r="ZS119"/>
      <c r="ZT119"/>
      <c r="ZU119"/>
      <c r="ZV119"/>
      <c r="ZW119"/>
      <c r="ZX119"/>
      <c r="ZY119"/>
      <c r="ZZ119"/>
      <c r="AAA119"/>
      <c r="AAB119"/>
      <c r="AAC119"/>
      <c r="AAD119"/>
      <c r="AAE119"/>
      <c r="AAF119"/>
      <c r="AAG119"/>
      <c r="AAH119"/>
      <c r="AAI119"/>
      <c r="AAJ119"/>
      <c r="AAK119"/>
      <c r="AAL119"/>
      <c r="AAM119"/>
      <c r="AAN119"/>
      <c r="AAO119"/>
      <c r="AAP119"/>
      <c r="AAQ119"/>
      <c r="AAR119"/>
      <c r="AAS119"/>
      <c r="AAT119"/>
      <c r="AAU119"/>
      <c r="AAV119"/>
      <c r="AAW119"/>
      <c r="AAX119"/>
      <c r="AAY119"/>
      <c r="AAZ119"/>
      <c r="ABA119"/>
      <c r="ABB119"/>
      <c r="ABC119"/>
      <c r="ABD119"/>
      <c r="ABE119"/>
      <c r="ABF119"/>
      <c r="ABG119"/>
      <c r="ABH119"/>
      <c r="ABI119"/>
      <c r="ABJ119"/>
      <c r="ABK119"/>
      <c r="ABL119"/>
      <c r="ABM119"/>
      <c r="ABN119"/>
      <c r="ABO119"/>
      <c r="ABP119"/>
      <c r="ABQ119"/>
      <c r="ABR119"/>
      <c r="ABS119"/>
      <c r="ABT119"/>
      <c r="ABU119"/>
      <c r="ABV119"/>
      <c r="ABW119"/>
      <c r="ABX119"/>
      <c r="ABY119"/>
      <c r="ABZ119"/>
      <c r="ACA119"/>
      <c r="ACB119"/>
      <c r="ACC119"/>
      <c r="ACD119"/>
      <c r="ACE119"/>
      <c r="ACF119"/>
      <c r="ACG119"/>
      <c r="ACH119"/>
      <c r="ACI119"/>
      <c r="ACJ119"/>
      <c r="ACK119"/>
      <c r="ACL119"/>
      <c r="ACM119"/>
      <c r="ACN119"/>
      <c r="ACO119"/>
      <c r="ACP119"/>
      <c r="ACQ119"/>
      <c r="ACR119"/>
      <c r="ACS119"/>
      <c r="ACT119"/>
      <c r="ACU119"/>
      <c r="ACV119"/>
      <c r="ACW119"/>
      <c r="ACX119"/>
      <c r="ACY119"/>
      <c r="ACZ119"/>
      <c r="ADA119"/>
      <c r="ADB119"/>
      <c r="ADC119"/>
      <c r="ADD119"/>
      <c r="ADE119"/>
      <c r="ADF119"/>
      <c r="ADG119"/>
      <c r="ADH119"/>
      <c r="ADI119"/>
      <c r="ADJ119"/>
      <c r="ADK119"/>
      <c r="ADL119"/>
      <c r="ADM119"/>
      <c r="ADN119"/>
      <c r="ADO119"/>
      <c r="ADP119"/>
      <c r="ADQ119"/>
      <c r="ADR119"/>
      <c r="ADS119"/>
      <c r="ADT119"/>
      <c r="ADU119"/>
      <c r="ADV119"/>
      <c r="ADW119"/>
      <c r="ADX119"/>
      <c r="ADY119"/>
      <c r="ADZ119"/>
      <c r="AEA119"/>
      <c r="AEB119"/>
      <c r="AEC119"/>
      <c r="AED119"/>
      <c r="AEE119"/>
      <c r="AEF119"/>
      <c r="AEG119"/>
      <c r="AEH119"/>
      <c r="AEI119"/>
      <c r="AEJ119"/>
      <c r="AEK119"/>
      <c r="AEL119"/>
      <c r="AEM119"/>
      <c r="AEN119"/>
      <c r="AEO119"/>
      <c r="AEP119"/>
      <c r="AEQ119"/>
      <c r="AER119"/>
      <c r="AES119"/>
      <c r="AET119"/>
      <c r="AEU119"/>
      <c r="AEV119"/>
      <c r="AEW119"/>
      <c r="AEX119"/>
      <c r="AEY119"/>
      <c r="AEZ119"/>
      <c r="AFA119"/>
      <c r="AFB119"/>
      <c r="AFC119"/>
      <c r="AFD119"/>
      <c r="AFE119"/>
      <c r="AFF119"/>
      <c r="AFG119"/>
      <c r="AFH119"/>
      <c r="AFI119"/>
      <c r="AFJ119"/>
      <c r="AFK119"/>
      <c r="AFL119"/>
      <c r="AFM119"/>
      <c r="AFN119"/>
      <c r="AFO119"/>
      <c r="AFP119"/>
      <c r="AFQ119"/>
      <c r="AFR119"/>
      <c r="AFS119"/>
      <c r="AFT119"/>
      <c r="AFU119"/>
      <c r="AFV119"/>
      <c r="AFW119"/>
      <c r="AFX119"/>
      <c r="AFY119"/>
      <c r="AFZ119"/>
      <c r="AGA119"/>
      <c r="AGB119"/>
      <c r="AGC119"/>
      <c r="AGD119"/>
      <c r="AGE119"/>
      <c r="AGF119"/>
      <c r="AGG119"/>
      <c r="AGH119"/>
      <c r="AGI119"/>
      <c r="AGJ119"/>
      <c r="AGK119"/>
      <c r="AGL119"/>
      <c r="AGM119"/>
      <c r="AGN119"/>
      <c r="AGO119"/>
      <c r="AGP119"/>
      <c r="AGQ119"/>
      <c r="AGR119"/>
      <c r="AGS119"/>
      <c r="AGT119"/>
      <c r="AGU119"/>
      <c r="AGV119"/>
      <c r="AGW119"/>
      <c r="AGX119"/>
      <c r="AGY119"/>
      <c r="AGZ119"/>
      <c r="AHA119"/>
      <c r="AHB119"/>
      <c r="AHC119"/>
      <c r="AHD119"/>
      <c r="AHE119"/>
      <c r="AHF119"/>
      <c r="AHG119"/>
      <c r="AHH119"/>
      <c r="AHI119"/>
      <c r="AHJ119"/>
      <c r="AHK119"/>
      <c r="AHL119"/>
      <c r="AHM119"/>
      <c r="AHN119"/>
      <c r="AHO119"/>
      <c r="AHP119"/>
      <c r="AHQ119"/>
      <c r="AHR119"/>
      <c r="AHS119"/>
      <c r="AHT119"/>
      <c r="AHU119"/>
      <c r="AHV119"/>
      <c r="AHW119"/>
      <c r="AHX119"/>
      <c r="AHY119"/>
      <c r="AHZ119"/>
      <c r="AIA119"/>
      <c r="AIB119"/>
      <c r="AIC119"/>
      <c r="AID119"/>
      <c r="AIE119"/>
      <c r="AIF119"/>
      <c r="AIG119"/>
      <c r="AIH119"/>
      <c r="AII119"/>
      <c r="AIJ119"/>
      <c r="AIK119"/>
      <c r="AIL119"/>
      <c r="AIM119"/>
      <c r="AIN119"/>
      <c r="AIO119"/>
      <c r="AIP119"/>
      <c r="AIQ119"/>
      <c r="AIR119"/>
      <c r="AIS119"/>
      <c r="AIT119"/>
      <c r="AIU119"/>
      <c r="AIV119"/>
      <c r="AIW119"/>
      <c r="AIX119"/>
      <c r="AIY119"/>
      <c r="AIZ119"/>
      <c r="AJA119"/>
      <c r="AJB119"/>
      <c r="AJC119"/>
      <c r="AJD119"/>
      <c r="AJE119"/>
      <c r="AJF119"/>
      <c r="AJG119"/>
      <c r="AJH119"/>
      <c r="AJI119"/>
      <c r="AJJ119"/>
      <c r="AJK119"/>
      <c r="AJL119"/>
      <c r="AJM119"/>
      <c r="AJN119"/>
      <c r="AJO119"/>
      <c r="AJP119"/>
      <c r="AJQ119"/>
      <c r="AJR119"/>
      <c r="AJS119"/>
      <c r="AJT119"/>
      <c r="AJU119"/>
      <c r="AJV119"/>
      <c r="AJW119"/>
      <c r="AJX119"/>
      <c r="AJY119"/>
      <c r="AJZ119"/>
      <c r="AKA119"/>
      <c r="AKB119"/>
      <c r="AKC119"/>
      <c r="AKD119"/>
      <c r="AKE119"/>
      <c r="AKF119"/>
      <c r="AKG119"/>
      <c r="AKH119"/>
      <c r="AKI119"/>
      <c r="AKJ119"/>
      <c r="AKK119"/>
      <c r="AKL119"/>
      <c r="AKM119"/>
      <c r="AKN119"/>
      <c r="AKO119"/>
      <c r="AKP119"/>
      <c r="AKQ119"/>
      <c r="AKR119"/>
      <c r="AKS119"/>
      <c r="AKT119"/>
      <c r="AKU119"/>
      <c r="AKV119"/>
      <c r="AKW119"/>
      <c r="AKX119"/>
      <c r="AKY119"/>
      <c r="AKZ119"/>
      <c r="ALA119"/>
      <c r="ALB119"/>
      <c r="ALC119"/>
      <c r="ALD119"/>
      <c r="ALE119"/>
      <c r="ALF119"/>
      <c r="ALG119"/>
      <c r="ALH119"/>
      <c r="ALI119"/>
      <c r="ALJ119"/>
      <c r="ALK119"/>
      <c r="ALL119"/>
      <c r="ALM119"/>
      <c r="ALN119"/>
      <c r="ALO119"/>
      <c r="ALP119"/>
      <c r="ALQ119"/>
      <c r="ALR119"/>
      <c r="ALS119"/>
      <c r="ALT119"/>
      <c r="ALU119"/>
      <c r="ALV119"/>
      <c r="ALW119"/>
      <c r="ALX119"/>
      <c r="ALY119"/>
      <c r="ALZ119"/>
      <c r="AMA119"/>
      <c r="AMB119"/>
      <c r="AMC119"/>
      <c r="AMD119"/>
      <c r="AME119"/>
      <c r="AMF119"/>
      <c r="AMG119"/>
      <c r="AMH119"/>
      <c r="AMI119"/>
      <c r="AMJ119"/>
    </row>
    <row r="120" spans="1:1025" ht="20.25" customHeight="1" x14ac:dyDescent="0.2">
      <c r="A120" s="894" t="s">
        <v>301</v>
      </c>
      <c r="B120" s="895"/>
      <c r="C120" s="895"/>
      <c r="D120" s="895"/>
      <c r="E120" s="895"/>
      <c r="F120" s="895"/>
      <c r="G120" s="895"/>
      <c r="H120" s="895"/>
      <c r="I120" s="896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  <c r="ABW120"/>
      <c r="ABX120"/>
      <c r="ABY120"/>
      <c r="ABZ120"/>
      <c r="ACA120"/>
      <c r="ACB120"/>
      <c r="ACC120"/>
      <c r="ACD120"/>
      <c r="ACE120"/>
      <c r="ACF120"/>
      <c r="ACG120"/>
      <c r="ACH120"/>
      <c r="ACI120"/>
      <c r="ACJ120"/>
      <c r="ACK120"/>
      <c r="ACL120"/>
      <c r="ACM120"/>
      <c r="ACN120"/>
      <c r="ACO120"/>
      <c r="ACP120"/>
      <c r="ACQ120"/>
      <c r="ACR120"/>
      <c r="ACS120"/>
      <c r="ACT120"/>
      <c r="ACU120"/>
      <c r="ACV120"/>
      <c r="ACW120"/>
      <c r="ACX120"/>
      <c r="ACY120"/>
      <c r="ACZ120"/>
      <c r="ADA120"/>
      <c r="ADB120"/>
      <c r="ADC120"/>
      <c r="ADD120"/>
      <c r="ADE120"/>
      <c r="ADF120"/>
      <c r="ADG120"/>
      <c r="ADH120"/>
      <c r="ADI120"/>
      <c r="ADJ120"/>
      <c r="ADK120"/>
      <c r="ADL120"/>
      <c r="ADM120"/>
      <c r="ADN120"/>
      <c r="ADO120"/>
      <c r="ADP120"/>
      <c r="ADQ120"/>
      <c r="ADR120"/>
      <c r="ADS120"/>
      <c r="ADT120"/>
      <c r="ADU120"/>
      <c r="ADV120"/>
      <c r="ADW120"/>
      <c r="ADX120"/>
      <c r="ADY120"/>
      <c r="ADZ120"/>
      <c r="AEA120"/>
      <c r="AEB120"/>
      <c r="AEC120"/>
      <c r="AED120"/>
      <c r="AEE120"/>
      <c r="AEF120"/>
      <c r="AEG120"/>
      <c r="AEH120"/>
      <c r="AEI120"/>
      <c r="AEJ120"/>
      <c r="AEK120"/>
      <c r="AEL120"/>
      <c r="AEM120"/>
      <c r="AEN120"/>
      <c r="AEO120"/>
      <c r="AEP120"/>
      <c r="AEQ120"/>
      <c r="AER120"/>
      <c r="AES120"/>
      <c r="AET120"/>
      <c r="AEU120"/>
      <c r="AEV120"/>
      <c r="AEW120"/>
      <c r="AEX120"/>
      <c r="AEY120"/>
      <c r="AEZ120"/>
      <c r="AFA120"/>
      <c r="AFB120"/>
      <c r="AFC120"/>
      <c r="AFD120"/>
      <c r="AFE120"/>
      <c r="AFF120"/>
      <c r="AFG120"/>
      <c r="AFH120"/>
      <c r="AFI120"/>
      <c r="AFJ120"/>
      <c r="AFK120"/>
      <c r="AFL120"/>
      <c r="AFM120"/>
      <c r="AFN120"/>
      <c r="AFO120"/>
      <c r="AFP120"/>
      <c r="AFQ120"/>
      <c r="AFR120"/>
      <c r="AFS120"/>
      <c r="AFT120"/>
      <c r="AFU120"/>
      <c r="AFV120"/>
      <c r="AFW120"/>
      <c r="AFX120"/>
      <c r="AFY120"/>
      <c r="AFZ120"/>
      <c r="AGA120"/>
      <c r="AGB120"/>
      <c r="AGC120"/>
      <c r="AGD120"/>
      <c r="AGE120"/>
      <c r="AGF120"/>
      <c r="AGG120"/>
      <c r="AGH120"/>
      <c r="AGI120"/>
      <c r="AGJ120"/>
      <c r="AGK120"/>
      <c r="AGL120"/>
      <c r="AGM120"/>
      <c r="AGN120"/>
      <c r="AGO120"/>
      <c r="AGP120"/>
      <c r="AGQ120"/>
      <c r="AGR120"/>
      <c r="AGS120"/>
      <c r="AGT120"/>
      <c r="AGU120"/>
      <c r="AGV120"/>
      <c r="AGW120"/>
      <c r="AGX120"/>
      <c r="AGY120"/>
      <c r="AGZ120"/>
      <c r="AHA120"/>
      <c r="AHB120"/>
      <c r="AHC120"/>
      <c r="AHD120"/>
      <c r="AHE120"/>
      <c r="AHF120"/>
      <c r="AHG120"/>
      <c r="AHH120"/>
      <c r="AHI120"/>
      <c r="AHJ120"/>
      <c r="AHK120"/>
      <c r="AHL120"/>
      <c r="AHM120"/>
      <c r="AHN120"/>
      <c r="AHO120"/>
      <c r="AHP120"/>
      <c r="AHQ120"/>
      <c r="AHR120"/>
      <c r="AHS120"/>
      <c r="AHT120"/>
      <c r="AHU120"/>
      <c r="AHV120"/>
      <c r="AHW120"/>
      <c r="AHX120"/>
      <c r="AHY120"/>
      <c r="AHZ120"/>
      <c r="AIA120"/>
      <c r="AIB120"/>
      <c r="AIC120"/>
      <c r="AID120"/>
      <c r="AIE120"/>
      <c r="AIF120"/>
      <c r="AIG120"/>
      <c r="AIH120"/>
      <c r="AII120"/>
      <c r="AIJ120"/>
      <c r="AIK120"/>
      <c r="AIL120"/>
      <c r="AIM120"/>
      <c r="AIN120"/>
      <c r="AIO120"/>
      <c r="AIP120"/>
      <c r="AIQ120"/>
      <c r="AIR120"/>
      <c r="AIS120"/>
      <c r="AIT120"/>
      <c r="AIU120"/>
      <c r="AIV120"/>
      <c r="AIW120"/>
      <c r="AIX120"/>
      <c r="AIY120"/>
      <c r="AIZ120"/>
      <c r="AJA120"/>
      <c r="AJB120"/>
      <c r="AJC120"/>
      <c r="AJD120"/>
      <c r="AJE120"/>
      <c r="AJF120"/>
      <c r="AJG120"/>
      <c r="AJH120"/>
      <c r="AJI120"/>
      <c r="AJJ120"/>
      <c r="AJK120"/>
      <c r="AJL120"/>
      <c r="AJM120"/>
      <c r="AJN120"/>
      <c r="AJO120"/>
      <c r="AJP120"/>
      <c r="AJQ120"/>
      <c r="AJR120"/>
      <c r="AJS120"/>
      <c r="AJT120"/>
      <c r="AJU120"/>
      <c r="AJV120"/>
      <c r="AJW120"/>
      <c r="AJX120"/>
      <c r="AJY120"/>
      <c r="AJZ120"/>
      <c r="AKA120"/>
      <c r="AKB120"/>
      <c r="AKC120"/>
      <c r="AKD120"/>
      <c r="AKE120"/>
      <c r="AKF120"/>
      <c r="AKG120"/>
      <c r="AKH120"/>
      <c r="AKI120"/>
      <c r="AKJ120"/>
      <c r="AKK120"/>
      <c r="AKL120"/>
      <c r="AKM120"/>
      <c r="AKN120"/>
      <c r="AKO120"/>
      <c r="AKP120"/>
      <c r="AKQ120"/>
      <c r="AKR120"/>
      <c r="AKS120"/>
      <c r="AKT120"/>
      <c r="AKU120"/>
      <c r="AKV120"/>
      <c r="AKW120"/>
      <c r="AKX120"/>
      <c r="AKY120"/>
      <c r="AKZ120"/>
      <c r="ALA120"/>
      <c r="ALB120"/>
      <c r="ALC120"/>
      <c r="ALD120"/>
      <c r="ALE120"/>
      <c r="ALF120"/>
      <c r="ALG120"/>
      <c r="ALH120"/>
      <c r="ALI120"/>
      <c r="ALJ120"/>
      <c r="ALK120"/>
      <c r="ALL120"/>
      <c r="ALM120"/>
      <c r="ALN120"/>
      <c r="ALO120"/>
      <c r="ALP120"/>
      <c r="ALQ120"/>
      <c r="ALR120"/>
      <c r="ALS120"/>
      <c r="ALT120"/>
      <c r="ALU120"/>
      <c r="ALV120"/>
      <c r="ALW120"/>
      <c r="ALX120"/>
      <c r="ALY120"/>
      <c r="ALZ120"/>
      <c r="AMA120"/>
      <c r="AMB120"/>
      <c r="AMC120"/>
      <c r="AMD120"/>
      <c r="AME120"/>
      <c r="AMF120"/>
      <c r="AMG120"/>
      <c r="AMH120"/>
      <c r="AMJ120"/>
      <c r="AMK120"/>
    </row>
    <row r="121" spans="1:1025" s="65" customFormat="1" ht="59.25" customHeight="1" thickBot="1" x14ac:dyDescent="0.25">
      <c r="A121" s="704" t="s">
        <v>133</v>
      </c>
      <c r="B121" s="72" t="s">
        <v>134</v>
      </c>
      <c r="C121" s="72" t="s">
        <v>302</v>
      </c>
      <c r="D121" s="72" t="s">
        <v>303</v>
      </c>
      <c r="E121" s="72" t="s">
        <v>240</v>
      </c>
      <c r="F121" s="73" t="s">
        <v>304</v>
      </c>
      <c r="G121" s="73" t="s">
        <v>285</v>
      </c>
      <c r="H121" s="705" t="s">
        <v>305</v>
      </c>
      <c r="I121" s="706" t="s">
        <v>306</v>
      </c>
    </row>
    <row r="122" spans="1:1025" ht="20.25" customHeight="1" thickBot="1" x14ac:dyDescent="0.25">
      <c r="A122" s="897" t="s">
        <v>307</v>
      </c>
      <c r="B122" s="898"/>
      <c r="C122" s="898"/>
      <c r="D122" s="898"/>
      <c r="E122" s="898"/>
      <c r="F122" s="898"/>
      <c r="G122" s="899"/>
      <c r="H122" s="707">
        <f>SUM(H123:H127)</f>
        <v>122.52333333333333</v>
      </c>
      <c r="I122" s="707">
        <f>SUM(I123:I127)</f>
        <v>142.21333333333334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  <c r="LX122"/>
      <c r="LY122"/>
      <c r="LZ122"/>
      <c r="MA122"/>
      <c r="MB122"/>
      <c r="MC122"/>
      <c r="MD122"/>
      <c r="ME122"/>
      <c r="MF122"/>
      <c r="MG122"/>
      <c r="MH122"/>
      <c r="MI122"/>
      <c r="MJ122"/>
      <c r="MK122"/>
      <c r="ML122"/>
      <c r="MM122"/>
      <c r="MN122"/>
      <c r="MO122"/>
      <c r="MP122"/>
      <c r="MQ122"/>
      <c r="MR122"/>
      <c r="MS122"/>
      <c r="MT122"/>
      <c r="MU122"/>
      <c r="MV122"/>
      <c r="MW122"/>
      <c r="MX122"/>
      <c r="MY122"/>
      <c r="MZ122"/>
      <c r="NA122"/>
      <c r="NB122"/>
      <c r="NC122"/>
      <c r="ND122"/>
      <c r="NE122"/>
      <c r="NF122"/>
      <c r="NG122"/>
      <c r="NH122"/>
      <c r="NI122"/>
      <c r="NJ122"/>
      <c r="NK122"/>
      <c r="NL122"/>
      <c r="NM122"/>
      <c r="NN122"/>
      <c r="NO122"/>
      <c r="NP122"/>
      <c r="NQ122"/>
      <c r="NR122"/>
      <c r="NS122"/>
      <c r="NT122"/>
      <c r="NU122"/>
      <c r="NV122"/>
      <c r="NW122"/>
      <c r="NX122"/>
      <c r="NY122"/>
      <c r="NZ122"/>
      <c r="OA122"/>
      <c r="OB122"/>
      <c r="OC122"/>
      <c r="OD122"/>
      <c r="OE122"/>
      <c r="OF122"/>
      <c r="OG122"/>
      <c r="OH122"/>
      <c r="OI122"/>
      <c r="OJ122"/>
      <c r="OK122"/>
      <c r="OL122"/>
      <c r="OM122"/>
      <c r="ON122"/>
      <c r="OO122"/>
      <c r="OP122"/>
      <c r="OQ122"/>
      <c r="OR122"/>
      <c r="OS122"/>
      <c r="OT122"/>
      <c r="OU122"/>
      <c r="OV122"/>
      <c r="OW122"/>
      <c r="OX122"/>
      <c r="OY122"/>
      <c r="OZ122"/>
      <c r="PA122"/>
      <c r="PB122"/>
      <c r="PC122"/>
      <c r="PD122"/>
      <c r="PE122"/>
      <c r="PF122"/>
      <c r="PG122"/>
      <c r="PH122"/>
      <c r="PI122"/>
      <c r="PJ122"/>
      <c r="PK122"/>
      <c r="PL122"/>
      <c r="PM122"/>
      <c r="PN122"/>
      <c r="PO122"/>
      <c r="PP122"/>
      <c r="PQ122"/>
      <c r="PR122"/>
      <c r="PS122"/>
      <c r="PT122"/>
      <c r="PU122"/>
      <c r="PV122"/>
      <c r="PW122"/>
      <c r="PX122"/>
      <c r="PY122"/>
      <c r="PZ122"/>
      <c r="QA122"/>
      <c r="QB122"/>
      <c r="QC122"/>
      <c r="QD122"/>
      <c r="QE122"/>
      <c r="QF122"/>
      <c r="QG122"/>
      <c r="QH122"/>
      <c r="QI122"/>
      <c r="QJ122"/>
      <c r="QK122"/>
      <c r="QL122"/>
      <c r="QM122"/>
      <c r="QN122"/>
      <c r="QO122"/>
      <c r="QP122"/>
      <c r="QQ122"/>
      <c r="QR122"/>
      <c r="QS122"/>
      <c r="QT122"/>
      <c r="QU122"/>
      <c r="QV122"/>
      <c r="QW122"/>
      <c r="QX122"/>
      <c r="QY122"/>
      <c r="QZ122"/>
      <c r="RA122"/>
      <c r="RB122"/>
      <c r="RC122"/>
      <c r="RD122"/>
      <c r="RE122"/>
      <c r="RF122"/>
      <c r="RG122"/>
      <c r="RH122"/>
      <c r="RI122"/>
      <c r="RJ122"/>
      <c r="RK122"/>
      <c r="RL122"/>
      <c r="RM122"/>
      <c r="RN122"/>
      <c r="RO122"/>
      <c r="RP122"/>
      <c r="RQ122"/>
      <c r="RR122"/>
      <c r="RS122"/>
      <c r="RT122"/>
      <c r="RU122"/>
      <c r="RV122"/>
      <c r="RW122"/>
      <c r="RX122"/>
      <c r="RY122"/>
      <c r="RZ122"/>
      <c r="SA122"/>
      <c r="SB122"/>
      <c r="SC122"/>
      <c r="SD122"/>
      <c r="SE122"/>
      <c r="SF122"/>
      <c r="SG122"/>
      <c r="SH122"/>
      <c r="SI122"/>
      <c r="SJ122"/>
      <c r="SK122"/>
      <c r="SL122"/>
      <c r="SM122"/>
      <c r="SN122"/>
      <c r="SO122"/>
      <c r="SP122"/>
      <c r="SQ122"/>
      <c r="SR122"/>
      <c r="SS122"/>
      <c r="ST122"/>
      <c r="SU122"/>
      <c r="SV122"/>
      <c r="SW122"/>
      <c r="SX122"/>
      <c r="SY122"/>
      <c r="SZ122"/>
      <c r="TA122"/>
      <c r="TB122"/>
      <c r="TC122"/>
      <c r="TD122"/>
      <c r="TE122"/>
      <c r="TF122"/>
      <c r="TG122"/>
      <c r="TH122"/>
      <c r="TI122"/>
      <c r="TJ122"/>
      <c r="TK122"/>
      <c r="TL122"/>
      <c r="TM122"/>
      <c r="TN122"/>
      <c r="TO122"/>
      <c r="TP122"/>
      <c r="TQ122"/>
      <c r="TR122"/>
      <c r="TS122"/>
      <c r="TT122"/>
      <c r="TU122"/>
      <c r="TV122"/>
      <c r="TW122"/>
      <c r="TX122"/>
      <c r="TY122"/>
      <c r="TZ122"/>
      <c r="UA122"/>
      <c r="UB122"/>
      <c r="UC122"/>
      <c r="UD122"/>
      <c r="UE122"/>
      <c r="UF122"/>
      <c r="UG122"/>
      <c r="UH122"/>
      <c r="UI122"/>
      <c r="UJ122"/>
      <c r="UK122"/>
      <c r="UL122"/>
      <c r="UM122"/>
      <c r="UN122"/>
      <c r="UO122"/>
      <c r="UP122"/>
      <c r="UQ122"/>
      <c r="UR122"/>
      <c r="US122"/>
      <c r="UT122"/>
      <c r="UU122"/>
      <c r="UV122"/>
      <c r="UW122"/>
      <c r="UX122"/>
      <c r="UY122"/>
      <c r="UZ122"/>
      <c r="VA122"/>
      <c r="VB122"/>
      <c r="VC122"/>
      <c r="VD122"/>
      <c r="VE122"/>
      <c r="VF122"/>
      <c r="VG122"/>
      <c r="VH122"/>
      <c r="VI122"/>
      <c r="VJ122"/>
      <c r="VK122"/>
      <c r="VL122"/>
      <c r="VM122"/>
      <c r="VN122"/>
      <c r="VO122"/>
      <c r="VP122"/>
      <c r="VQ122"/>
      <c r="VR122"/>
      <c r="VS122"/>
      <c r="VT122"/>
      <c r="VU122"/>
      <c r="VV122"/>
      <c r="VW122"/>
      <c r="VX122"/>
      <c r="VY122"/>
      <c r="VZ122"/>
      <c r="WA122"/>
      <c r="WB122"/>
      <c r="WC122"/>
      <c r="WD122"/>
      <c r="WE122"/>
      <c r="WF122"/>
      <c r="WG122"/>
      <c r="WH122"/>
      <c r="WI122"/>
      <c r="WJ122"/>
      <c r="WK122"/>
      <c r="WL122"/>
      <c r="WM122"/>
      <c r="WN122"/>
      <c r="WO122"/>
      <c r="WP122"/>
      <c r="WQ122"/>
      <c r="WR122"/>
      <c r="WS122"/>
      <c r="WT122"/>
      <c r="WU122"/>
      <c r="WV122"/>
      <c r="WW122"/>
      <c r="WX122"/>
      <c r="WY122"/>
      <c r="WZ122"/>
      <c r="XA122"/>
      <c r="XB122"/>
      <c r="XC122"/>
      <c r="XD122"/>
      <c r="XE122"/>
      <c r="XF122"/>
      <c r="XG122"/>
      <c r="XH122"/>
      <c r="XI122"/>
      <c r="XJ122"/>
      <c r="XK122"/>
      <c r="XL122"/>
      <c r="XM122"/>
      <c r="XN122"/>
      <c r="XO122"/>
      <c r="XP122"/>
      <c r="XQ122"/>
      <c r="XR122"/>
      <c r="XS122"/>
      <c r="XT122"/>
      <c r="XU122"/>
      <c r="XV122"/>
      <c r="XW122"/>
      <c r="XX122"/>
      <c r="XY122"/>
      <c r="XZ122"/>
      <c r="YA122"/>
      <c r="YB122"/>
      <c r="YC122"/>
      <c r="YD122"/>
      <c r="YE122"/>
      <c r="YF122"/>
      <c r="YG122"/>
      <c r="YH122"/>
      <c r="YI122"/>
      <c r="YJ122"/>
      <c r="YK122"/>
      <c r="YL122"/>
      <c r="YM122"/>
      <c r="YN122"/>
      <c r="YO122"/>
      <c r="YP122"/>
      <c r="YQ122"/>
      <c r="YR122"/>
      <c r="YS122"/>
      <c r="YT122"/>
      <c r="YU122"/>
      <c r="YV122"/>
      <c r="YW122"/>
      <c r="YX122"/>
      <c r="YY122"/>
      <c r="YZ122"/>
      <c r="ZA122"/>
      <c r="ZB122"/>
      <c r="ZC122"/>
      <c r="ZD122"/>
      <c r="ZE122"/>
      <c r="ZF122"/>
      <c r="ZG122"/>
      <c r="ZH122"/>
      <c r="ZI122"/>
      <c r="ZJ122"/>
      <c r="ZK122"/>
      <c r="ZL122"/>
      <c r="ZM122"/>
      <c r="ZN122"/>
      <c r="ZO122"/>
      <c r="ZP122"/>
      <c r="ZQ122"/>
      <c r="ZR122"/>
      <c r="ZS122"/>
      <c r="ZT122"/>
      <c r="ZU122"/>
      <c r="ZV122"/>
      <c r="ZW122"/>
      <c r="ZX122"/>
      <c r="ZY122"/>
      <c r="ZZ122"/>
      <c r="AAA122"/>
      <c r="AAB122"/>
      <c r="AAC122"/>
      <c r="AAD122"/>
      <c r="AAE122"/>
      <c r="AAF122"/>
      <c r="AAG122"/>
      <c r="AAH122"/>
      <c r="AAI122"/>
      <c r="AAJ122"/>
      <c r="AAK122"/>
      <c r="AAL122"/>
      <c r="AAM122"/>
      <c r="AAN122"/>
      <c r="AAO122"/>
      <c r="AAP122"/>
      <c r="AAQ122"/>
      <c r="AAR122"/>
      <c r="AAS122"/>
      <c r="AAT122"/>
      <c r="AAU122"/>
      <c r="AAV122"/>
      <c r="AAW122"/>
      <c r="AAX122"/>
      <c r="AAY122"/>
      <c r="AAZ122"/>
      <c r="ABA122"/>
      <c r="ABB122"/>
      <c r="ABC122"/>
      <c r="ABD122"/>
      <c r="ABE122"/>
      <c r="ABF122"/>
      <c r="ABG122"/>
      <c r="ABH122"/>
      <c r="ABI122"/>
      <c r="ABJ122"/>
      <c r="ABK122"/>
      <c r="ABL122"/>
      <c r="ABM122"/>
      <c r="ABN122"/>
      <c r="ABO122"/>
      <c r="ABP122"/>
      <c r="ABQ122"/>
      <c r="ABR122"/>
      <c r="ABS122"/>
      <c r="ABT122"/>
      <c r="ABU122"/>
      <c r="ABV122"/>
      <c r="ABW122"/>
      <c r="ABX122"/>
      <c r="ABY122"/>
      <c r="ABZ122"/>
      <c r="ACA122"/>
      <c r="ACB122"/>
      <c r="ACC122"/>
      <c r="ACD122"/>
      <c r="ACE122"/>
      <c r="ACF122"/>
      <c r="ACG122"/>
      <c r="ACH122"/>
      <c r="ACI122"/>
      <c r="ACJ122"/>
      <c r="ACK122"/>
      <c r="ACL122"/>
      <c r="ACM122"/>
      <c r="ACN122"/>
      <c r="ACO122"/>
      <c r="ACP122"/>
      <c r="ACQ122"/>
      <c r="ACR122"/>
      <c r="ACS122"/>
      <c r="ACT122"/>
      <c r="ACU122"/>
      <c r="ACV122"/>
      <c r="ACW122"/>
      <c r="ACX122"/>
      <c r="ACY122"/>
      <c r="ACZ122"/>
      <c r="ADA122"/>
      <c r="ADB122"/>
      <c r="ADC122"/>
      <c r="ADD122"/>
      <c r="ADE122"/>
      <c r="ADF122"/>
      <c r="ADG122"/>
      <c r="ADH122"/>
      <c r="ADI122"/>
      <c r="ADJ122"/>
      <c r="ADK122"/>
      <c r="ADL122"/>
      <c r="ADM122"/>
      <c r="ADN122"/>
      <c r="ADO122"/>
      <c r="ADP122"/>
      <c r="ADQ122"/>
      <c r="ADR122"/>
      <c r="ADS122"/>
      <c r="ADT122"/>
      <c r="ADU122"/>
      <c r="ADV122"/>
      <c r="ADW122"/>
      <c r="ADX122"/>
      <c r="ADY122"/>
      <c r="ADZ122"/>
      <c r="AEA122"/>
      <c r="AEB122"/>
      <c r="AEC122"/>
      <c r="AED122"/>
      <c r="AEE122"/>
      <c r="AEF122"/>
      <c r="AEG122"/>
      <c r="AEH122"/>
      <c r="AEI122"/>
      <c r="AEJ122"/>
      <c r="AEK122"/>
      <c r="AEL122"/>
      <c r="AEM122"/>
      <c r="AEN122"/>
      <c r="AEO122"/>
      <c r="AEP122"/>
      <c r="AEQ122"/>
      <c r="AER122"/>
      <c r="AES122"/>
      <c r="AET122"/>
      <c r="AEU122"/>
      <c r="AEV122"/>
      <c r="AEW122"/>
      <c r="AEX122"/>
      <c r="AEY122"/>
      <c r="AEZ122"/>
      <c r="AFA122"/>
      <c r="AFB122"/>
      <c r="AFC122"/>
      <c r="AFD122"/>
      <c r="AFE122"/>
      <c r="AFF122"/>
      <c r="AFG122"/>
      <c r="AFH122"/>
      <c r="AFI122"/>
      <c r="AFJ122"/>
      <c r="AFK122"/>
      <c r="AFL122"/>
      <c r="AFM122"/>
      <c r="AFN122"/>
      <c r="AFO122"/>
      <c r="AFP122"/>
      <c r="AFQ122"/>
      <c r="AFR122"/>
      <c r="AFS122"/>
      <c r="AFT122"/>
      <c r="AFU122"/>
      <c r="AFV122"/>
      <c r="AFW122"/>
      <c r="AFX122"/>
      <c r="AFY122"/>
      <c r="AFZ122"/>
      <c r="AGA122"/>
      <c r="AGB122"/>
      <c r="AGC122"/>
      <c r="AGD122"/>
      <c r="AGE122"/>
      <c r="AGF122"/>
      <c r="AGG122"/>
      <c r="AGH122"/>
      <c r="AGI122"/>
      <c r="AGJ122"/>
      <c r="AGK122"/>
      <c r="AGL122"/>
      <c r="AGM122"/>
      <c r="AGN122"/>
      <c r="AGO122"/>
      <c r="AGP122"/>
      <c r="AGQ122"/>
      <c r="AGR122"/>
      <c r="AGS122"/>
      <c r="AGT122"/>
      <c r="AGU122"/>
      <c r="AGV122"/>
      <c r="AGW122"/>
      <c r="AGX122"/>
      <c r="AGY122"/>
      <c r="AGZ122"/>
      <c r="AHA122"/>
      <c r="AHB122"/>
      <c r="AHC122"/>
      <c r="AHD122"/>
      <c r="AHE122"/>
      <c r="AHF122"/>
      <c r="AHG122"/>
      <c r="AHH122"/>
      <c r="AHI122"/>
      <c r="AHJ122"/>
      <c r="AHK122"/>
      <c r="AHL122"/>
      <c r="AHM122"/>
      <c r="AHN122"/>
      <c r="AHO122"/>
      <c r="AHP122"/>
      <c r="AHQ122"/>
      <c r="AHR122"/>
      <c r="AHS122"/>
      <c r="AHT122"/>
      <c r="AHU122"/>
      <c r="AHV122"/>
      <c r="AHW122"/>
      <c r="AHX122"/>
      <c r="AHY122"/>
      <c r="AHZ122"/>
      <c r="AIA122"/>
      <c r="AIB122"/>
      <c r="AIC122"/>
      <c r="AID122"/>
      <c r="AIE122"/>
      <c r="AIF122"/>
      <c r="AIG122"/>
      <c r="AIH122"/>
      <c r="AII122"/>
      <c r="AIJ122"/>
      <c r="AIK122"/>
      <c r="AIL122"/>
      <c r="AIM122"/>
      <c r="AIN122"/>
      <c r="AIO122"/>
      <c r="AIP122"/>
      <c r="AIQ122"/>
      <c r="AIR122"/>
      <c r="AIS122"/>
      <c r="AIT122"/>
      <c r="AIU122"/>
      <c r="AIV122"/>
      <c r="AIW122"/>
      <c r="AIX122"/>
      <c r="AIY122"/>
      <c r="AIZ122"/>
      <c r="AJA122"/>
      <c r="AJB122"/>
      <c r="AJC122"/>
      <c r="AJD122"/>
      <c r="AJE122"/>
      <c r="AJF122"/>
      <c r="AJG122"/>
      <c r="AJH122"/>
      <c r="AJI122"/>
      <c r="AJJ122"/>
      <c r="AJK122"/>
      <c r="AJL122"/>
      <c r="AJM122"/>
      <c r="AJN122"/>
      <c r="AJO122"/>
      <c r="AJP122"/>
      <c r="AJQ122"/>
      <c r="AJR122"/>
      <c r="AJS122"/>
      <c r="AJT122"/>
      <c r="AJU122"/>
      <c r="AJV122"/>
      <c r="AJW122"/>
      <c r="AJX122"/>
      <c r="AJY122"/>
      <c r="AJZ122"/>
      <c r="AKA122"/>
      <c r="AKB122"/>
      <c r="AKC122"/>
      <c r="AKD122"/>
      <c r="AKE122"/>
      <c r="AKF122"/>
      <c r="AKG122"/>
      <c r="AKH122"/>
      <c r="AKI122"/>
      <c r="AKJ122"/>
      <c r="AKK122"/>
      <c r="AKL122"/>
      <c r="AKM122"/>
      <c r="AKN122"/>
      <c r="AKO122"/>
      <c r="AKP122"/>
      <c r="AKQ122"/>
      <c r="AKR122"/>
      <c r="AKS122"/>
      <c r="AKT122"/>
      <c r="AKU122"/>
      <c r="AKV122"/>
      <c r="AKW122"/>
      <c r="AKX122"/>
      <c r="AKY122"/>
      <c r="AKZ122"/>
      <c r="ALA122"/>
      <c r="ALB122"/>
      <c r="ALC122"/>
      <c r="ALD122"/>
      <c r="ALE122"/>
      <c r="ALF122"/>
      <c r="ALG122"/>
      <c r="ALH122"/>
      <c r="ALI122"/>
      <c r="ALJ122"/>
      <c r="ALK122"/>
      <c r="ALL122"/>
      <c r="ALM122"/>
      <c r="ALN122"/>
      <c r="ALO122"/>
      <c r="ALP122"/>
      <c r="ALQ122"/>
      <c r="ALR122"/>
      <c r="ALS122"/>
      <c r="ALT122"/>
      <c r="ALU122"/>
      <c r="ALV122"/>
      <c r="ALW122"/>
      <c r="ALX122"/>
      <c r="ALY122"/>
      <c r="ALZ122"/>
      <c r="AMA122"/>
      <c r="AMB122"/>
      <c r="AMC122"/>
      <c r="AMD122"/>
      <c r="AME122"/>
      <c r="AMF122"/>
      <c r="AMG122"/>
      <c r="AMI122"/>
      <c r="AMJ122"/>
      <c r="AMK122"/>
    </row>
    <row r="123" spans="1:1025" ht="15" customHeight="1" thickBot="1" x14ac:dyDescent="0.25">
      <c r="A123" s="402" t="s">
        <v>308</v>
      </c>
      <c r="B123" s="336" t="s">
        <v>167</v>
      </c>
      <c r="C123" s="708">
        <f>22</f>
        <v>22</v>
      </c>
      <c r="D123" s="708">
        <f>22</f>
        <v>22</v>
      </c>
      <c r="E123" s="419">
        <v>2.83</v>
      </c>
      <c r="F123" s="405">
        <v>4.34</v>
      </c>
      <c r="G123" s="40">
        <f>(E123+F123)/2</f>
        <v>3.585</v>
      </c>
      <c r="H123" s="81">
        <f>C123*G123</f>
        <v>78.87</v>
      </c>
      <c r="I123" s="81">
        <f>D123*G123</f>
        <v>78.87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  <c r="ABW123"/>
      <c r="ABX123"/>
      <c r="ABY123"/>
      <c r="ABZ123"/>
      <c r="ACA123"/>
      <c r="ACB123"/>
      <c r="ACC123"/>
      <c r="ACD123"/>
      <c r="ACE123"/>
      <c r="ACF123"/>
      <c r="ACG123"/>
      <c r="ACH123"/>
      <c r="ACI123"/>
      <c r="ACJ123"/>
      <c r="ACK123"/>
      <c r="ACL123"/>
      <c r="ACM123"/>
      <c r="ACN123"/>
      <c r="ACO123"/>
      <c r="ACP123"/>
      <c r="ACQ123"/>
      <c r="ACR123"/>
      <c r="ACS123"/>
      <c r="ACT123"/>
      <c r="ACU123"/>
      <c r="ACV123"/>
      <c r="ACW123"/>
      <c r="ACX123"/>
      <c r="ACY123"/>
      <c r="ACZ123"/>
      <c r="ADA123"/>
      <c r="ADB123"/>
      <c r="ADC123"/>
      <c r="ADD123"/>
      <c r="ADE123"/>
      <c r="ADF123"/>
      <c r="ADG123"/>
      <c r="ADH123"/>
      <c r="ADI123"/>
      <c r="ADJ123"/>
      <c r="ADK123"/>
      <c r="ADL123"/>
      <c r="ADM123"/>
      <c r="ADN123"/>
      <c r="ADO123"/>
      <c r="ADP123"/>
      <c r="ADQ123"/>
      <c r="ADR123"/>
      <c r="ADS123"/>
      <c r="ADT123"/>
      <c r="ADU123"/>
      <c r="ADV123"/>
      <c r="ADW123"/>
      <c r="ADX123"/>
      <c r="ADY123"/>
      <c r="ADZ123"/>
      <c r="AEA123"/>
      <c r="AEB123"/>
      <c r="AEC123"/>
      <c r="AED123"/>
      <c r="AEE123"/>
      <c r="AEF123"/>
      <c r="AEG123"/>
      <c r="AEH123"/>
      <c r="AEI123"/>
      <c r="AEJ123"/>
      <c r="AEK123"/>
      <c r="AEL123"/>
      <c r="AEM123"/>
      <c r="AEN123"/>
      <c r="AEO123"/>
      <c r="AEP123"/>
      <c r="AEQ123"/>
      <c r="AER123"/>
      <c r="AES123"/>
      <c r="AET123"/>
      <c r="AEU123"/>
      <c r="AEV123"/>
      <c r="AEW123"/>
      <c r="AEX123"/>
      <c r="AEY123"/>
      <c r="AEZ123"/>
      <c r="AFA123"/>
      <c r="AFB123"/>
      <c r="AFC123"/>
      <c r="AFD123"/>
      <c r="AFE123"/>
      <c r="AFF123"/>
      <c r="AFG123"/>
      <c r="AFH123"/>
      <c r="AFI123"/>
      <c r="AFJ123"/>
      <c r="AFK123"/>
      <c r="AFL123"/>
      <c r="AFM123"/>
      <c r="AFN123"/>
      <c r="AFO123"/>
      <c r="AFP123"/>
      <c r="AFQ123"/>
      <c r="AFR123"/>
      <c r="AFS123"/>
      <c r="AFT123"/>
      <c r="AFU123"/>
      <c r="AFV123"/>
      <c r="AFW123"/>
      <c r="AFX123"/>
      <c r="AFY123"/>
      <c r="AFZ123"/>
      <c r="AGA123"/>
      <c r="AGB123"/>
      <c r="AGC123"/>
      <c r="AGD123"/>
      <c r="AGE123"/>
      <c r="AGF123"/>
      <c r="AGG123"/>
      <c r="AGH123"/>
      <c r="AGI123"/>
      <c r="AGJ123"/>
      <c r="AGK123"/>
      <c r="AGL123"/>
      <c r="AGM123"/>
      <c r="AGN123"/>
      <c r="AGO123"/>
      <c r="AGP123"/>
      <c r="AGQ123"/>
      <c r="AGR123"/>
      <c r="AGS123"/>
      <c r="AGT123"/>
      <c r="AGU123"/>
      <c r="AGV123"/>
      <c r="AGW123"/>
      <c r="AGX123"/>
      <c r="AGY123"/>
      <c r="AGZ123"/>
      <c r="AHA123"/>
      <c r="AHB123"/>
      <c r="AHC123"/>
      <c r="AHD123"/>
      <c r="AHE123"/>
      <c r="AHF123"/>
      <c r="AHG123"/>
      <c r="AHH123"/>
      <c r="AHI123"/>
      <c r="AHJ123"/>
      <c r="AHK123"/>
      <c r="AHL123"/>
      <c r="AHM123"/>
      <c r="AHN123"/>
      <c r="AHO123"/>
      <c r="AHP123"/>
      <c r="AHQ123"/>
      <c r="AHR123"/>
      <c r="AHS123"/>
      <c r="AHT123"/>
      <c r="AHU123"/>
      <c r="AHV123"/>
      <c r="AHW123"/>
      <c r="AHX123"/>
      <c r="AHY123"/>
      <c r="AHZ123"/>
      <c r="AIA123"/>
      <c r="AIB123"/>
      <c r="AIC123"/>
      <c r="AID123"/>
      <c r="AIE123"/>
      <c r="AIF123"/>
      <c r="AIG123"/>
      <c r="AIH123"/>
      <c r="AII123"/>
      <c r="AIJ123"/>
      <c r="AIK123"/>
      <c r="AIL123"/>
      <c r="AIM123"/>
      <c r="AIN123"/>
      <c r="AIO123"/>
      <c r="AIP123"/>
      <c r="AIQ123"/>
      <c r="AIR123"/>
      <c r="AIS123"/>
      <c r="AIT123"/>
      <c r="AIU123"/>
      <c r="AIV123"/>
      <c r="AIW123"/>
      <c r="AIX123"/>
      <c r="AIY123"/>
      <c r="AIZ123"/>
      <c r="AJA123"/>
      <c r="AJB123"/>
      <c r="AJC123"/>
      <c r="AJD123"/>
      <c r="AJE123"/>
      <c r="AJF123"/>
      <c r="AJG123"/>
      <c r="AJH123"/>
      <c r="AJI123"/>
      <c r="AJJ123"/>
      <c r="AJK123"/>
      <c r="AJL123"/>
      <c r="AJM123"/>
      <c r="AJN123"/>
      <c r="AJO123"/>
      <c r="AJP123"/>
      <c r="AJQ123"/>
      <c r="AJR123"/>
      <c r="AJS123"/>
      <c r="AJT123"/>
      <c r="AJU123"/>
      <c r="AJV123"/>
      <c r="AJW123"/>
      <c r="AJX123"/>
      <c r="AJY123"/>
      <c r="AJZ123"/>
      <c r="AKA123"/>
      <c r="AKB123"/>
      <c r="AKC123"/>
      <c r="AKD123"/>
      <c r="AKE123"/>
      <c r="AKF123"/>
      <c r="AKG123"/>
      <c r="AKH123"/>
      <c r="AKI123"/>
      <c r="AKJ123"/>
      <c r="AKK123"/>
      <c r="AKL123"/>
      <c r="AKM123"/>
      <c r="AKN123"/>
      <c r="AKO123"/>
      <c r="AKP123"/>
      <c r="AKQ123"/>
      <c r="AKR123"/>
      <c r="AKS123"/>
      <c r="AKT123"/>
      <c r="AKU123"/>
      <c r="AKV123"/>
      <c r="AKW123"/>
      <c r="AKX123"/>
      <c r="AKY123"/>
      <c r="AKZ123"/>
      <c r="ALA123"/>
      <c r="ALB123"/>
      <c r="ALC123"/>
      <c r="ALD123"/>
      <c r="ALE123"/>
      <c r="ALF123"/>
      <c r="ALG123"/>
      <c r="ALH123"/>
      <c r="ALI123"/>
      <c r="ALJ123"/>
      <c r="ALK123"/>
      <c r="ALL123"/>
      <c r="ALM123"/>
      <c r="ALN123"/>
      <c r="ALO123"/>
      <c r="ALP123"/>
      <c r="ALQ123"/>
      <c r="ALR123"/>
      <c r="ALS123"/>
      <c r="ALT123"/>
      <c r="ALU123"/>
      <c r="ALV123"/>
      <c r="ALW123"/>
      <c r="ALX123"/>
      <c r="ALY123"/>
      <c r="ALZ123"/>
      <c r="AMA123"/>
      <c r="AMB123"/>
      <c r="AMC123"/>
      <c r="AMD123"/>
      <c r="AME123"/>
      <c r="AMF123"/>
      <c r="AMH123"/>
      <c r="AMI123"/>
      <c r="AMJ123"/>
      <c r="AMK123"/>
    </row>
    <row r="124" spans="1:1025" ht="15" customHeight="1" thickBot="1" x14ac:dyDescent="0.25">
      <c r="A124" s="402" t="s">
        <v>309</v>
      </c>
      <c r="B124" s="83" t="s">
        <v>167</v>
      </c>
      <c r="C124" s="334">
        <f>1/6</f>
        <v>0.16666666666666666</v>
      </c>
      <c r="D124" s="647">
        <f>1/6</f>
        <v>0.16666666666666666</v>
      </c>
      <c r="E124" s="419">
        <v>9.4499999999999993</v>
      </c>
      <c r="F124" s="405">
        <v>7.51</v>
      </c>
      <c r="G124" s="76">
        <f>(E124+F124)/2</f>
        <v>8.48</v>
      </c>
      <c r="H124" s="77">
        <f>C124*G124</f>
        <v>1.4133333333333333</v>
      </c>
      <c r="I124" s="74">
        <f t="shared" ref="I124:I127" si="10">D124*G124</f>
        <v>1.4133333333333333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  <c r="ABW124"/>
      <c r="ABX124"/>
      <c r="ABY124"/>
      <c r="ABZ124"/>
      <c r="ACA124"/>
      <c r="ACB124"/>
      <c r="ACC124"/>
      <c r="ACD124"/>
      <c r="ACE124"/>
      <c r="ACF124"/>
      <c r="ACG124"/>
      <c r="ACH124"/>
      <c r="ACI124"/>
      <c r="ACJ124"/>
      <c r="ACK124"/>
      <c r="ACL124"/>
      <c r="ACM124"/>
      <c r="ACN124"/>
      <c r="ACO124"/>
      <c r="ACP124"/>
      <c r="ACQ124"/>
      <c r="ACR124"/>
      <c r="ACS124"/>
      <c r="ACT124"/>
      <c r="ACU124"/>
      <c r="ACV124"/>
      <c r="ACW124"/>
      <c r="ACX124"/>
      <c r="ACY124"/>
      <c r="ACZ124"/>
      <c r="ADA124"/>
      <c r="ADB124"/>
      <c r="ADC124"/>
      <c r="ADD124"/>
      <c r="ADE124"/>
      <c r="ADF124"/>
      <c r="ADG124"/>
      <c r="ADH124"/>
      <c r="ADI124"/>
      <c r="ADJ124"/>
      <c r="ADK124"/>
      <c r="ADL124"/>
      <c r="ADM124"/>
      <c r="ADN124"/>
      <c r="ADO124"/>
      <c r="ADP124"/>
      <c r="ADQ124"/>
      <c r="ADR124"/>
      <c r="ADS124"/>
      <c r="ADT124"/>
      <c r="ADU124"/>
      <c r="ADV124"/>
      <c r="ADW124"/>
      <c r="ADX124"/>
      <c r="ADY124"/>
      <c r="ADZ124"/>
      <c r="AEA124"/>
      <c r="AEB124"/>
      <c r="AEC124"/>
      <c r="AED124"/>
      <c r="AEE124"/>
      <c r="AEF124"/>
      <c r="AEG124"/>
      <c r="AEH124"/>
      <c r="AEI124"/>
      <c r="AEJ124"/>
      <c r="AEK124"/>
      <c r="AEL124"/>
      <c r="AEM124"/>
      <c r="AEN124"/>
      <c r="AEO124"/>
      <c r="AEP124"/>
      <c r="AEQ124"/>
      <c r="AER124"/>
      <c r="AES124"/>
      <c r="AET124"/>
      <c r="AEU124"/>
      <c r="AEV124"/>
      <c r="AEW124"/>
      <c r="AEX124"/>
      <c r="AEY124"/>
      <c r="AEZ124"/>
      <c r="AFA124"/>
      <c r="AFB124"/>
      <c r="AFC124"/>
      <c r="AFD124"/>
      <c r="AFE124"/>
      <c r="AFF124"/>
      <c r="AFG124"/>
      <c r="AFH124"/>
      <c r="AFI124"/>
      <c r="AFJ124"/>
      <c r="AFK124"/>
      <c r="AFL124"/>
      <c r="AFM124"/>
      <c r="AFN124"/>
      <c r="AFO124"/>
      <c r="AFP124"/>
      <c r="AFQ124"/>
      <c r="AFR124"/>
      <c r="AFS124"/>
      <c r="AFT124"/>
      <c r="AFU124"/>
      <c r="AFV124"/>
      <c r="AFW124"/>
      <c r="AFX124"/>
      <c r="AFY124"/>
      <c r="AFZ124"/>
      <c r="AGA124"/>
      <c r="AGB124"/>
      <c r="AGC124"/>
      <c r="AGD124"/>
      <c r="AGE124"/>
      <c r="AGF124"/>
      <c r="AGG124"/>
      <c r="AGH124"/>
      <c r="AGI124"/>
      <c r="AGJ124"/>
      <c r="AGK124"/>
      <c r="AGL124"/>
      <c r="AGM124"/>
      <c r="AGN124"/>
      <c r="AGO124"/>
      <c r="AGP124"/>
      <c r="AGQ124"/>
      <c r="AGR124"/>
      <c r="AGS124"/>
      <c r="AGT124"/>
      <c r="AGU124"/>
      <c r="AGV124"/>
      <c r="AGW124"/>
      <c r="AGX124"/>
      <c r="AGY124"/>
      <c r="AGZ124"/>
      <c r="AHA124"/>
      <c r="AHB124"/>
      <c r="AHC124"/>
      <c r="AHD124"/>
      <c r="AHE124"/>
      <c r="AHF124"/>
      <c r="AHG124"/>
      <c r="AHH124"/>
      <c r="AHI124"/>
      <c r="AHJ124"/>
      <c r="AHK124"/>
      <c r="AHL124"/>
      <c r="AHM124"/>
      <c r="AHN124"/>
      <c r="AHO124"/>
      <c r="AHP124"/>
      <c r="AHQ124"/>
      <c r="AHR124"/>
      <c r="AHS124"/>
      <c r="AHT124"/>
      <c r="AHU124"/>
      <c r="AHV124"/>
      <c r="AHW124"/>
      <c r="AHX124"/>
      <c r="AHY124"/>
      <c r="AHZ124"/>
      <c r="AIA124"/>
      <c r="AIB124"/>
      <c r="AIC124"/>
      <c r="AID124"/>
      <c r="AIE124"/>
      <c r="AIF124"/>
      <c r="AIG124"/>
      <c r="AIH124"/>
      <c r="AII124"/>
      <c r="AIJ124"/>
      <c r="AIK124"/>
      <c r="AIL124"/>
      <c r="AIM124"/>
      <c r="AIN124"/>
      <c r="AIO124"/>
      <c r="AIP124"/>
      <c r="AIQ124"/>
      <c r="AIR124"/>
      <c r="AIS124"/>
      <c r="AIT124"/>
      <c r="AIU124"/>
      <c r="AIV124"/>
      <c r="AIW124"/>
      <c r="AIX124"/>
      <c r="AIY124"/>
      <c r="AIZ124"/>
      <c r="AJA124"/>
      <c r="AJB124"/>
      <c r="AJC124"/>
      <c r="AJD124"/>
      <c r="AJE124"/>
      <c r="AJF124"/>
      <c r="AJG124"/>
      <c r="AJH124"/>
      <c r="AJI124"/>
      <c r="AJJ124"/>
      <c r="AJK124"/>
      <c r="AJL124"/>
      <c r="AJM124"/>
      <c r="AJN124"/>
      <c r="AJO124"/>
      <c r="AJP124"/>
      <c r="AJQ124"/>
      <c r="AJR124"/>
      <c r="AJS124"/>
      <c r="AJT124"/>
      <c r="AJU124"/>
      <c r="AJV124"/>
      <c r="AJW124"/>
      <c r="AJX124"/>
      <c r="AJY124"/>
      <c r="AJZ124"/>
      <c r="AKA124"/>
      <c r="AKB124"/>
      <c r="AKC124"/>
      <c r="AKD124"/>
      <c r="AKE124"/>
      <c r="AKF124"/>
      <c r="AKG124"/>
      <c r="AKH124"/>
      <c r="AKI124"/>
      <c r="AKJ124"/>
      <c r="AKK124"/>
      <c r="AKL124"/>
      <c r="AKM124"/>
      <c r="AKN124"/>
      <c r="AKO124"/>
      <c r="AKP124"/>
      <c r="AKQ124"/>
      <c r="AKR124"/>
      <c r="AKS124"/>
      <c r="AKT124"/>
      <c r="AKU124"/>
      <c r="AKV124"/>
      <c r="AKW124"/>
      <c r="AKX124"/>
      <c r="AKY124"/>
      <c r="AKZ124"/>
      <c r="ALA124"/>
      <c r="ALB124"/>
      <c r="ALC124"/>
      <c r="ALD124"/>
      <c r="ALE124"/>
      <c r="ALF124"/>
      <c r="ALG124"/>
      <c r="ALH124"/>
      <c r="ALI124"/>
      <c r="ALJ124"/>
      <c r="ALK124"/>
      <c r="ALL124"/>
      <c r="ALM124"/>
      <c r="ALN124"/>
      <c r="ALO124"/>
      <c r="ALP124"/>
      <c r="ALQ124"/>
      <c r="ALR124"/>
      <c r="ALS124"/>
      <c r="ALT124"/>
      <c r="ALU124"/>
      <c r="ALV124"/>
      <c r="ALW124"/>
      <c r="ALX124"/>
      <c r="ALY124"/>
      <c r="ALZ124"/>
      <c r="AMA124"/>
      <c r="AMB124"/>
      <c r="AMC124"/>
      <c r="AMD124"/>
      <c r="AME124"/>
      <c r="AMF124"/>
      <c r="AMH124"/>
      <c r="AMI124"/>
      <c r="AMJ124"/>
      <c r="AMK124"/>
    </row>
    <row r="125" spans="1:1025" ht="15" customHeight="1" thickBot="1" x14ac:dyDescent="0.25">
      <c r="A125" s="402" t="s">
        <v>310</v>
      </c>
      <c r="B125" s="83" t="s">
        <v>187</v>
      </c>
      <c r="C125" s="709">
        <f>2*22</f>
        <v>44</v>
      </c>
      <c r="D125" s="708">
        <f>3*22</f>
        <v>66</v>
      </c>
      <c r="E125" s="419">
        <v>0.61</v>
      </c>
      <c r="F125" s="405">
        <v>0.54</v>
      </c>
      <c r="G125" s="76">
        <f>(E125+F125)/2</f>
        <v>0.57499999999999996</v>
      </c>
      <c r="H125" s="77">
        <f>C125*G125</f>
        <v>25.299999999999997</v>
      </c>
      <c r="I125" s="74">
        <f t="shared" si="10"/>
        <v>37.949999999999996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  <c r="WH125"/>
      <c r="WI125"/>
      <c r="WJ125"/>
      <c r="WK125"/>
      <c r="WL125"/>
      <c r="WM125"/>
      <c r="WN125"/>
      <c r="WO125"/>
      <c r="WP125"/>
      <c r="WQ125"/>
      <c r="WR125"/>
      <c r="WS125"/>
      <c r="WT125"/>
      <c r="WU125"/>
      <c r="WV125"/>
      <c r="WW125"/>
      <c r="WX125"/>
      <c r="WY125"/>
      <c r="WZ125"/>
      <c r="XA125"/>
      <c r="XB125"/>
      <c r="XC125"/>
      <c r="XD125"/>
      <c r="XE125"/>
      <c r="XF125"/>
      <c r="XG125"/>
      <c r="XH125"/>
      <c r="XI125"/>
      <c r="XJ125"/>
      <c r="XK125"/>
      <c r="XL125"/>
      <c r="XM125"/>
      <c r="XN125"/>
      <c r="XO125"/>
      <c r="XP125"/>
      <c r="XQ125"/>
      <c r="XR125"/>
      <c r="XS125"/>
      <c r="XT125"/>
      <c r="XU125"/>
      <c r="XV125"/>
      <c r="XW125"/>
      <c r="XX125"/>
      <c r="XY125"/>
      <c r="XZ125"/>
      <c r="YA125"/>
      <c r="YB125"/>
      <c r="YC125"/>
      <c r="YD125"/>
      <c r="YE125"/>
      <c r="YF125"/>
      <c r="YG125"/>
      <c r="YH125"/>
      <c r="YI125"/>
      <c r="YJ125"/>
      <c r="YK125"/>
      <c r="YL125"/>
      <c r="YM125"/>
      <c r="YN125"/>
      <c r="YO125"/>
      <c r="YP125"/>
      <c r="YQ125"/>
      <c r="YR125"/>
      <c r="YS125"/>
      <c r="YT125"/>
      <c r="YU125"/>
      <c r="YV125"/>
      <c r="YW125"/>
      <c r="YX125"/>
      <c r="YY125"/>
      <c r="YZ125"/>
      <c r="ZA125"/>
      <c r="ZB125"/>
      <c r="ZC125"/>
      <c r="ZD125"/>
      <c r="ZE125"/>
      <c r="ZF125"/>
      <c r="ZG125"/>
      <c r="ZH125"/>
      <c r="ZI125"/>
      <c r="ZJ125"/>
      <c r="ZK125"/>
      <c r="ZL125"/>
      <c r="ZM125"/>
      <c r="ZN125"/>
      <c r="ZO125"/>
      <c r="ZP125"/>
      <c r="ZQ125"/>
      <c r="ZR125"/>
      <c r="ZS125"/>
      <c r="ZT125"/>
      <c r="ZU125"/>
      <c r="ZV125"/>
      <c r="ZW125"/>
      <c r="ZX125"/>
      <c r="ZY125"/>
      <c r="ZZ125"/>
      <c r="AAA125"/>
      <c r="AAB125"/>
      <c r="AAC125"/>
      <c r="AAD125"/>
      <c r="AAE125"/>
      <c r="AAF125"/>
      <c r="AAG125"/>
      <c r="AAH125"/>
      <c r="AAI125"/>
      <c r="AAJ125"/>
      <c r="AAK125"/>
      <c r="AAL125"/>
      <c r="AAM125"/>
      <c r="AAN125"/>
      <c r="AAO125"/>
      <c r="AAP125"/>
      <c r="AAQ125"/>
      <c r="AAR125"/>
      <c r="AAS125"/>
      <c r="AAT125"/>
      <c r="AAU125"/>
      <c r="AAV125"/>
      <c r="AAW125"/>
      <c r="AAX125"/>
      <c r="AAY125"/>
      <c r="AAZ125"/>
      <c r="ABA125"/>
      <c r="ABB125"/>
      <c r="ABC125"/>
      <c r="ABD125"/>
      <c r="ABE125"/>
      <c r="ABF125"/>
      <c r="ABG125"/>
      <c r="ABH125"/>
      <c r="ABI125"/>
      <c r="ABJ125"/>
      <c r="ABK125"/>
      <c r="ABL125"/>
      <c r="ABM125"/>
      <c r="ABN125"/>
      <c r="ABO125"/>
      <c r="ABP125"/>
      <c r="ABQ125"/>
      <c r="ABR125"/>
      <c r="ABS125"/>
      <c r="ABT125"/>
      <c r="ABU125"/>
      <c r="ABV125"/>
      <c r="ABW125"/>
      <c r="ABX125"/>
      <c r="ABY125"/>
      <c r="ABZ125"/>
      <c r="ACA125"/>
      <c r="ACB125"/>
      <c r="ACC125"/>
      <c r="ACD125"/>
      <c r="ACE125"/>
      <c r="ACF125"/>
      <c r="ACG125"/>
      <c r="ACH125"/>
      <c r="ACI125"/>
      <c r="ACJ125"/>
      <c r="ACK125"/>
      <c r="ACL125"/>
      <c r="ACM125"/>
      <c r="ACN125"/>
      <c r="ACO125"/>
      <c r="ACP125"/>
      <c r="ACQ125"/>
      <c r="ACR125"/>
      <c r="ACS125"/>
      <c r="ACT125"/>
      <c r="ACU125"/>
      <c r="ACV125"/>
      <c r="ACW125"/>
      <c r="ACX125"/>
      <c r="ACY125"/>
      <c r="ACZ125"/>
      <c r="ADA125"/>
      <c r="ADB125"/>
      <c r="ADC125"/>
      <c r="ADD125"/>
      <c r="ADE125"/>
      <c r="ADF125"/>
      <c r="ADG125"/>
      <c r="ADH125"/>
      <c r="ADI125"/>
      <c r="ADJ125"/>
      <c r="ADK125"/>
      <c r="ADL125"/>
      <c r="ADM125"/>
      <c r="ADN125"/>
      <c r="ADO125"/>
      <c r="ADP125"/>
      <c r="ADQ125"/>
      <c r="ADR125"/>
      <c r="ADS125"/>
      <c r="ADT125"/>
      <c r="ADU125"/>
      <c r="ADV125"/>
      <c r="ADW125"/>
      <c r="ADX125"/>
      <c r="ADY125"/>
      <c r="ADZ125"/>
      <c r="AEA125"/>
      <c r="AEB125"/>
      <c r="AEC125"/>
      <c r="AED125"/>
      <c r="AEE125"/>
      <c r="AEF125"/>
      <c r="AEG125"/>
      <c r="AEH125"/>
      <c r="AEI125"/>
      <c r="AEJ125"/>
      <c r="AEK125"/>
      <c r="AEL125"/>
      <c r="AEM125"/>
      <c r="AEN125"/>
      <c r="AEO125"/>
      <c r="AEP125"/>
      <c r="AEQ125"/>
      <c r="AER125"/>
      <c r="AES125"/>
      <c r="AET125"/>
      <c r="AEU125"/>
      <c r="AEV125"/>
      <c r="AEW125"/>
      <c r="AEX125"/>
      <c r="AEY125"/>
      <c r="AEZ125"/>
      <c r="AFA125"/>
      <c r="AFB125"/>
      <c r="AFC125"/>
      <c r="AFD125"/>
      <c r="AFE125"/>
      <c r="AFF125"/>
      <c r="AFG125"/>
      <c r="AFH125"/>
      <c r="AFI125"/>
      <c r="AFJ125"/>
      <c r="AFK125"/>
      <c r="AFL125"/>
      <c r="AFM125"/>
      <c r="AFN125"/>
      <c r="AFO125"/>
      <c r="AFP125"/>
      <c r="AFQ125"/>
      <c r="AFR125"/>
      <c r="AFS125"/>
      <c r="AFT125"/>
      <c r="AFU125"/>
      <c r="AFV125"/>
      <c r="AFW125"/>
      <c r="AFX125"/>
      <c r="AFY125"/>
      <c r="AFZ125"/>
      <c r="AGA125"/>
      <c r="AGB125"/>
      <c r="AGC125"/>
      <c r="AGD125"/>
      <c r="AGE125"/>
      <c r="AGF125"/>
      <c r="AGG125"/>
      <c r="AGH125"/>
      <c r="AGI125"/>
      <c r="AGJ125"/>
      <c r="AGK125"/>
      <c r="AGL125"/>
      <c r="AGM125"/>
      <c r="AGN125"/>
      <c r="AGO125"/>
      <c r="AGP125"/>
      <c r="AGQ125"/>
      <c r="AGR125"/>
      <c r="AGS125"/>
      <c r="AGT125"/>
      <c r="AGU125"/>
      <c r="AGV125"/>
      <c r="AGW125"/>
      <c r="AGX125"/>
      <c r="AGY125"/>
      <c r="AGZ125"/>
      <c r="AHA125"/>
      <c r="AHB125"/>
      <c r="AHC125"/>
      <c r="AHD125"/>
      <c r="AHE125"/>
      <c r="AHF125"/>
      <c r="AHG125"/>
      <c r="AHH125"/>
      <c r="AHI125"/>
      <c r="AHJ125"/>
      <c r="AHK125"/>
      <c r="AHL125"/>
      <c r="AHM125"/>
      <c r="AHN125"/>
      <c r="AHO125"/>
      <c r="AHP125"/>
      <c r="AHQ125"/>
      <c r="AHR125"/>
      <c r="AHS125"/>
      <c r="AHT125"/>
      <c r="AHU125"/>
      <c r="AHV125"/>
      <c r="AHW125"/>
      <c r="AHX125"/>
      <c r="AHY125"/>
      <c r="AHZ125"/>
      <c r="AIA125"/>
      <c r="AIB125"/>
      <c r="AIC125"/>
      <c r="AID125"/>
      <c r="AIE125"/>
      <c r="AIF125"/>
      <c r="AIG125"/>
      <c r="AIH125"/>
      <c r="AII125"/>
      <c r="AIJ125"/>
      <c r="AIK125"/>
      <c r="AIL125"/>
      <c r="AIM125"/>
      <c r="AIN125"/>
      <c r="AIO125"/>
      <c r="AIP125"/>
      <c r="AIQ125"/>
      <c r="AIR125"/>
      <c r="AIS125"/>
      <c r="AIT125"/>
      <c r="AIU125"/>
      <c r="AIV125"/>
      <c r="AIW125"/>
      <c r="AIX125"/>
      <c r="AIY125"/>
      <c r="AIZ125"/>
      <c r="AJA125"/>
      <c r="AJB125"/>
      <c r="AJC125"/>
      <c r="AJD125"/>
      <c r="AJE125"/>
      <c r="AJF125"/>
      <c r="AJG125"/>
      <c r="AJH125"/>
      <c r="AJI125"/>
      <c r="AJJ125"/>
      <c r="AJK125"/>
      <c r="AJL125"/>
      <c r="AJM125"/>
      <c r="AJN125"/>
      <c r="AJO125"/>
      <c r="AJP125"/>
      <c r="AJQ125"/>
      <c r="AJR125"/>
      <c r="AJS125"/>
      <c r="AJT125"/>
      <c r="AJU125"/>
      <c r="AJV125"/>
      <c r="AJW125"/>
      <c r="AJX125"/>
      <c r="AJY125"/>
      <c r="AJZ125"/>
      <c r="AKA125"/>
      <c r="AKB125"/>
      <c r="AKC125"/>
      <c r="AKD125"/>
      <c r="AKE125"/>
      <c r="AKF125"/>
      <c r="AKG125"/>
      <c r="AKH125"/>
      <c r="AKI125"/>
      <c r="AKJ125"/>
      <c r="AKK125"/>
      <c r="AKL125"/>
      <c r="AKM125"/>
      <c r="AKN125"/>
      <c r="AKO125"/>
      <c r="AKP125"/>
      <c r="AKQ125"/>
      <c r="AKR125"/>
      <c r="AKS125"/>
      <c r="AKT125"/>
      <c r="AKU125"/>
      <c r="AKV125"/>
      <c r="AKW125"/>
      <c r="AKX125"/>
      <c r="AKY125"/>
      <c r="AKZ125"/>
      <c r="ALA125"/>
      <c r="ALB125"/>
      <c r="ALC125"/>
      <c r="ALD125"/>
      <c r="ALE125"/>
      <c r="ALF125"/>
      <c r="ALG125"/>
      <c r="ALH125"/>
      <c r="ALI125"/>
      <c r="ALJ125"/>
      <c r="ALK125"/>
      <c r="ALL125"/>
      <c r="ALM125"/>
      <c r="ALN125"/>
      <c r="ALO125"/>
      <c r="ALP125"/>
      <c r="ALQ125"/>
      <c r="ALR125"/>
      <c r="ALS125"/>
      <c r="ALT125"/>
      <c r="ALU125"/>
      <c r="ALV125"/>
      <c r="ALW125"/>
      <c r="ALX125"/>
      <c r="ALY125"/>
      <c r="ALZ125"/>
      <c r="AMA125"/>
      <c r="AMB125"/>
      <c r="AMC125"/>
      <c r="AMD125"/>
      <c r="AME125"/>
      <c r="AMF125"/>
      <c r="AMH125"/>
      <c r="AMI125"/>
      <c r="AMJ125"/>
      <c r="AMK125"/>
    </row>
    <row r="126" spans="1:1025" ht="15" customHeight="1" thickBot="1" x14ac:dyDescent="0.25">
      <c r="A126" s="402" t="s">
        <v>311</v>
      </c>
      <c r="B126" s="83" t="s">
        <v>167</v>
      </c>
      <c r="C126" s="710">
        <f>2*22</f>
        <v>44</v>
      </c>
      <c r="D126" s="711">
        <f>3*22</f>
        <v>66</v>
      </c>
      <c r="E126" s="420">
        <v>0.23</v>
      </c>
      <c r="F126" s="405">
        <v>0.41</v>
      </c>
      <c r="G126" s="76">
        <f>(E126+F126)/2</f>
        <v>0.32</v>
      </c>
      <c r="H126" s="77">
        <f>C126*G126</f>
        <v>14.08</v>
      </c>
      <c r="I126" s="74">
        <f t="shared" si="10"/>
        <v>21.12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  <c r="XY126"/>
      <c r="XZ126"/>
      <c r="YA126"/>
      <c r="YB126"/>
      <c r="YC126"/>
      <c r="YD126"/>
      <c r="YE126"/>
      <c r="YF126"/>
      <c r="YG126"/>
      <c r="YH126"/>
      <c r="YI126"/>
      <c r="YJ126"/>
      <c r="YK126"/>
      <c r="YL126"/>
      <c r="YM126"/>
      <c r="YN126"/>
      <c r="YO126"/>
      <c r="YP126"/>
      <c r="YQ126"/>
      <c r="YR126"/>
      <c r="YS126"/>
      <c r="YT126"/>
      <c r="YU126"/>
      <c r="YV126"/>
      <c r="YW126"/>
      <c r="YX126"/>
      <c r="YY126"/>
      <c r="YZ126"/>
      <c r="ZA126"/>
      <c r="ZB126"/>
      <c r="ZC126"/>
      <c r="ZD126"/>
      <c r="ZE126"/>
      <c r="ZF126"/>
      <c r="ZG126"/>
      <c r="ZH126"/>
      <c r="ZI126"/>
      <c r="ZJ126"/>
      <c r="ZK126"/>
      <c r="ZL126"/>
      <c r="ZM126"/>
      <c r="ZN126"/>
      <c r="ZO126"/>
      <c r="ZP126"/>
      <c r="ZQ126"/>
      <c r="ZR126"/>
      <c r="ZS126"/>
      <c r="ZT126"/>
      <c r="ZU126"/>
      <c r="ZV126"/>
      <c r="ZW126"/>
      <c r="ZX126"/>
      <c r="ZY126"/>
      <c r="ZZ126"/>
      <c r="AAA126"/>
      <c r="AAB126"/>
      <c r="AAC126"/>
      <c r="AAD126"/>
      <c r="AAE126"/>
      <c r="AAF126"/>
      <c r="AAG126"/>
      <c r="AAH126"/>
      <c r="AAI126"/>
      <c r="AAJ126"/>
      <c r="AAK126"/>
      <c r="AAL126"/>
      <c r="AAM126"/>
      <c r="AAN126"/>
      <c r="AAO126"/>
      <c r="AAP126"/>
      <c r="AAQ126"/>
      <c r="AAR126"/>
      <c r="AAS126"/>
      <c r="AAT126"/>
      <c r="AAU126"/>
      <c r="AAV126"/>
      <c r="AAW126"/>
      <c r="AAX126"/>
      <c r="AAY126"/>
      <c r="AAZ126"/>
      <c r="ABA126"/>
      <c r="ABB126"/>
      <c r="ABC126"/>
      <c r="ABD126"/>
      <c r="ABE126"/>
      <c r="ABF126"/>
      <c r="ABG126"/>
      <c r="ABH126"/>
      <c r="ABI126"/>
      <c r="ABJ126"/>
      <c r="ABK126"/>
      <c r="ABL126"/>
      <c r="ABM126"/>
      <c r="ABN126"/>
      <c r="ABO126"/>
      <c r="ABP126"/>
      <c r="ABQ126"/>
      <c r="ABR126"/>
      <c r="ABS126"/>
      <c r="ABT126"/>
      <c r="ABU126"/>
      <c r="ABV126"/>
      <c r="ABW126"/>
      <c r="ABX126"/>
      <c r="ABY126"/>
      <c r="ABZ126"/>
      <c r="ACA126"/>
      <c r="ACB126"/>
      <c r="ACC126"/>
      <c r="ACD126"/>
      <c r="ACE126"/>
      <c r="ACF126"/>
      <c r="ACG126"/>
      <c r="ACH126"/>
      <c r="ACI126"/>
      <c r="ACJ126"/>
      <c r="ACK126"/>
      <c r="ACL126"/>
      <c r="ACM126"/>
      <c r="ACN126"/>
      <c r="ACO126"/>
      <c r="ACP126"/>
      <c r="ACQ126"/>
      <c r="ACR126"/>
      <c r="ACS126"/>
      <c r="ACT126"/>
      <c r="ACU126"/>
      <c r="ACV126"/>
      <c r="ACW126"/>
      <c r="ACX126"/>
      <c r="ACY126"/>
      <c r="ACZ126"/>
      <c r="ADA126"/>
      <c r="ADB126"/>
      <c r="ADC126"/>
      <c r="ADD126"/>
      <c r="ADE126"/>
      <c r="ADF126"/>
      <c r="ADG126"/>
      <c r="ADH126"/>
      <c r="ADI126"/>
      <c r="ADJ126"/>
      <c r="ADK126"/>
      <c r="ADL126"/>
      <c r="ADM126"/>
      <c r="ADN126"/>
      <c r="ADO126"/>
      <c r="ADP126"/>
      <c r="ADQ126"/>
      <c r="ADR126"/>
      <c r="ADS126"/>
      <c r="ADT126"/>
      <c r="ADU126"/>
      <c r="ADV126"/>
      <c r="ADW126"/>
      <c r="ADX126"/>
      <c r="ADY126"/>
      <c r="ADZ126"/>
      <c r="AEA126"/>
      <c r="AEB126"/>
      <c r="AEC126"/>
      <c r="AED126"/>
      <c r="AEE126"/>
      <c r="AEF126"/>
      <c r="AEG126"/>
      <c r="AEH126"/>
      <c r="AEI126"/>
      <c r="AEJ126"/>
      <c r="AEK126"/>
      <c r="AEL126"/>
      <c r="AEM126"/>
      <c r="AEN126"/>
      <c r="AEO126"/>
      <c r="AEP126"/>
      <c r="AEQ126"/>
      <c r="AER126"/>
      <c r="AES126"/>
      <c r="AET126"/>
      <c r="AEU126"/>
      <c r="AEV126"/>
      <c r="AEW126"/>
      <c r="AEX126"/>
      <c r="AEY126"/>
      <c r="AEZ126"/>
      <c r="AFA126"/>
      <c r="AFB126"/>
      <c r="AFC126"/>
      <c r="AFD126"/>
      <c r="AFE126"/>
      <c r="AFF126"/>
      <c r="AFG126"/>
      <c r="AFH126"/>
      <c r="AFI126"/>
      <c r="AFJ126"/>
      <c r="AFK126"/>
      <c r="AFL126"/>
      <c r="AFM126"/>
      <c r="AFN126"/>
      <c r="AFO126"/>
      <c r="AFP126"/>
      <c r="AFQ126"/>
      <c r="AFR126"/>
      <c r="AFS126"/>
      <c r="AFT126"/>
      <c r="AFU126"/>
      <c r="AFV126"/>
      <c r="AFW126"/>
      <c r="AFX126"/>
      <c r="AFY126"/>
      <c r="AFZ126"/>
      <c r="AGA126"/>
      <c r="AGB126"/>
      <c r="AGC126"/>
      <c r="AGD126"/>
      <c r="AGE126"/>
      <c r="AGF126"/>
      <c r="AGG126"/>
      <c r="AGH126"/>
      <c r="AGI126"/>
      <c r="AGJ126"/>
      <c r="AGK126"/>
      <c r="AGL126"/>
      <c r="AGM126"/>
      <c r="AGN126"/>
      <c r="AGO126"/>
      <c r="AGP126"/>
      <c r="AGQ126"/>
      <c r="AGR126"/>
      <c r="AGS126"/>
      <c r="AGT126"/>
      <c r="AGU126"/>
      <c r="AGV126"/>
      <c r="AGW126"/>
      <c r="AGX126"/>
      <c r="AGY126"/>
      <c r="AGZ126"/>
      <c r="AHA126"/>
      <c r="AHB126"/>
      <c r="AHC126"/>
      <c r="AHD126"/>
      <c r="AHE126"/>
      <c r="AHF126"/>
      <c r="AHG126"/>
      <c r="AHH126"/>
      <c r="AHI126"/>
      <c r="AHJ126"/>
      <c r="AHK126"/>
      <c r="AHL126"/>
      <c r="AHM126"/>
      <c r="AHN126"/>
      <c r="AHO126"/>
      <c r="AHP126"/>
      <c r="AHQ126"/>
      <c r="AHR126"/>
      <c r="AHS126"/>
      <c r="AHT126"/>
      <c r="AHU126"/>
      <c r="AHV126"/>
      <c r="AHW126"/>
      <c r="AHX126"/>
      <c r="AHY126"/>
      <c r="AHZ126"/>
      <c r="AIA126"/>
      <c r="AIB126"/>
      <c r="AIC126"/>
      <c r="AID126"/>
      <c r="AIE126"/>
      <c r="AIF126"/>
      <c r="AIG126"/>
      <c r="AIH126"/>
      <c r="AII126"/>
      <c r="AIJ126"/>
      <c r="AIK126"/>
      <c r="AIL126"/>
      <c r="AIM126"/>
      <c r="AIN126"/>
      <c r="AIO126"/>
      <c r="AIP126"/>
      <c r="AIQ126"/>
      <c r="AIR126"/>
      <c r="AIS126"/>
      <c r="AIT126"/>
      <c r="AIU126"/>
      <c r="AIV126"/>
      <c r="AIW126"/>
      <c r="AIX126"/>
      <c r="AIY126"/>
      <c r="AIZ126"/>
      <c r="AJA126"/>
      <c r="AJB126"/>
      <c r="AJC126"/>
      <c r="AJD126"/>
      <c r="AJE126"/>
      <c r="AJF126"/>
      <c r="AJG126"/>
      <c r="AJH126"/>
      <c r="AJI126"/>
      <c r="AJJ126"/>
      <c r="AJK126"/>
      <c r="AJL126"/>
      <c r="AJM126"/>
      <c r="AJN126"/>
      <c r="AJO126"/>
      <c r="AJP126"/>
      <c r="AJQ126"/>
      <c r="AJR126"/>
      <c r="AJS126"/>
      <c r="AJT126"/>
      <c r="AJU126"/>
      <c r="AJV126"/>
      <c r="AJW126"/>
      <c r="AJX126"/>
      <c r="AJY126"/>
      <c r="AJZ126"/>
      <c r="AKA126"/>
      <c r="AKB126"/>
      <c r="AKC126"/>
      <c r="AKD126"/>
      <c r="AKE126"/>
      <c r="AKF126"/>
      <c r="AKG126"/>
      <c r="AKH126"/>
      <c r="AKI126"/>
      <c r="AKJ126"/>
      <c r="AKK126"/>
      <c r="AKL126"/>
      <c r="AKM126"/>
      <c r="AKN126"/>
      <c r="AKO126"/>
      <c r="AKP126"/>
      <c r="AKQ126"/>
      <c r="AKR126"/>
      <c r="AKS126"/>
      <c r="AKT126"/>
      <c r="AKU126"/>
      <c r="AKV126"/>
      <c r="AKW126"/>
      <c r="AKX126"/>
      <c r="AKY126"/>
      <c r="AKZ126"/>
      <c r="ALA126"/>
      <c r="ALB126"/>
      <c r="ALC126"/>
      <c r="ALD126"/>
      <c r="ALE126"/>
      <c r="ALF126"/>
      <c r="ALG126"/>
      <c r="ALH126"/>
      <c r="ALI126"/>
      <c r="ALJ126"/>
      <c r="ALK126"/>
      <c r="ALL126"/>
      <c r="ALM126"/>
      <c r="ALN126"/>
      <c r="ALO126"/>
      <c r="ALP126"/>
      <c r="ALQ126"/>
      <c r="ALR126"/>
      <c r="ALS126"/>
      <c r="ALT126"/>
      <c r="ALU126"/>
      <c r="ALV126"/>
      <c r="ALW126"/>
      <c r="ALX126"/>
      <c r="ALY126"/>
      <c r="ALZ126"/>
      <c r="AMA126"/>
      <c r="AMB126"/>
      <c r="AMC126"/>
      <c r="AMD126"/>
      <c r="AME126"/>
      <c r="AMF126"/>
      <c r="AMH126"/>
      <c r="AMI126"/>
      <c r="AMJ126"/>
      <c r="AMK126"/>
    </row>
    <row r="127" spans="1:1025" ht="15" customHeight="1" thickBot="1" x14ac:dyDescent="0.25">
      <c r="A127" s="411" t="s">
        <v>312</v>
      </c>
      <c r="B127" s="335" t="s">
        <v>167</v>
      </c>
      <c r="C127" s="710">
        <f>22</f>
        <v>22</v>
      </c>
      <c r="D127" s="710">
        <f>22</f>
        <v>22</v>
      </c>
      <c r="E127" s="712">
        <v>0.13</v>
      </c>
      <c r="F127" s="409">
        <v>0.13</v>
      </c>
      <c r="G127" s="78">
        <f>(E127+F127)/2</f>
        <v>0.13</v>
      </c>
      <c r="H127" s="79">
        <f>C127*G127</f>
        <v>2.8600000000000003</v>
      </c>
      <c r="I127" s="713">
        <f t="shared" si="10"/>
        <v>2.8600000000000003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  <c r="WH127"/>
      <c r="WI127"/>
      <c r="WJ127"/>
      <c r="WK127"/>
      <c r="WL127"/>
      <c r="WM127"/>
      <c r="WN127"/>
      <c r="WO127"/>
      <c r="WP127"/>
      <c r="WQ127"/>
      <c r="WR127"/>
      <c r="WS127"/>
      <c r="WT127"/>
      <c r="WU127"/>
      <c r="WV127"/>
      <c r="WW127"/>
      <c r="WX127"/>
      <c r="WY127"/>
      <c r="WZ127"/>
      <c r="XA127"/>
      <c r="XB127"/>
      <c r="XC127"/>
      <c r="XD127"/>
      <c r="XE127"/>
      <c r="XF127"/>
      <c r="XG127"/>
      <c r="XH127"/>
      <c r="XI127"/>
      <c r="XJ127"/>
      <c r="XK127"/>
      <c r="XL127"/>
      <c r="XM127"/>
      <c r="XN127"/>
      <c r="XO127"/>
      <c r="XP127"/>
      <c r="XQ127"/>
      <c r="XR127"/>
      <c r="XS127"/>
      <c r="XT127"/>
      <c r="XU127"/>
      <c r="XV127"/>
      <c r="XW127"/>
      <c r="XX127"/>
      <c r="XY127"/>
      <c r="XZ127"/>
      <c r="YA127"/>
      <c r="YB127"/>
      <c r="YC127"/>
      <c r="YD127"/>
      <c r="YE127"/>
      <c r="YF127"/>
      <c r="YG127"/>
      <c r="YH127"/>
      <c r="YI127"/>
      <c r="YJ127"/>
      <c r="YK127"/>
      <c r="YL127"/>
      <c r="YM127"/>
      <c r="YN127"/>
      <c r="YO127"/>
      <c r="YP127"/>
      <c r="YQ127"/>
      <c r="YR127"/>
      <c r="YS127"/>
      <c r="YT127"/>
      <c r="YU127"/>
      <c r="YV127"/>
      <c r="YW127"/>
      <c r="YX127"/>
      <c r="YY127"/>
      <c r="YZ127"/>
      <c r="ZA127"/>
      <c r="ZB127"/>
      <c r="ZC127"/>
      <c r="ZD127"/>
      <c r="ZE127"/>
      <c r="ZF127"/>
      <c r="ZG127"/>
      <c r="ZH127"/>
      <c r="ZI127"/>
      <c r="ZJ127"/>
      <c r="ZK127"/>
      <c r="ZL127"/>
      <c r="ZM127"/>
      <c r="ZN127"/>
      <c r="ZO127"/>
      <c r="ZP127"/>
      <c r="ZQ127"/>
      <c r="ZR127"/>
      <c r="ZS127"/>
      <c r="ZT127"/>
      <c r="ZU127"/>
      <c r="ZV127"/>
      <c r="ZW127"/>
      <c r="ZX127"/>
      <c r="ZY127"/>
      <c r="ZZ127"/>
      <c r="AAA127"/>
      <c r="AAB127"/>
      <c r="AAC127"/>
      <c r="AAD127"/>
      <c r="AAE127"/>
      <c r="AAF127"/>
      <c r="AAG127"/>
      <c r="AAH127"/>
      <c r="AAI127"/>
      <c r="AAJ127"/>
      <c r="AAK127"/>
      <c r="AAL127"/>
      <c r="AAM127"/>
      <c r="AAN127"/>
      <c r="AAO127"/>
      <c r="AAP127"/>
      <c r="AAQ127"/>
      <c r="AAR127"/>
      <c r="AAS127"/>
      <c r="AAT127"/>
      <c r="AAU127"/>
      <c r="AAV127"/>
      <c r="AAW127"/>
      <c r="AAX127"/>
      <c r="AAY127"/>
      <c r="AAZ127"/>
      <c r="ABA127"/>
      <c r="ABB127"/>
      <c r="ABC127"/>
      <c r="ABD127"/>
      <c r="ABE127"/>
      <c r="ABF127"/>
      <c r="ABG127"/>
      <c r="ABH127"/>
      <c r="ABI127"/>
      <c r="ABJ127"/>
      <c r="ABK127"/>
      <c r="ABL127"/>
      <c r="ABM127"/>
      <c r="ABN127"/>
      <c r="ABO127"/>
      <c r="ABP127"/>
      <c r="ABQ127"/>
      <c r="ABR127"/>
      <c r="ABS127"/>
      <c r="ABT127"/>
      <c r="ABU127"/>
      <c r="ABV127"/>
      <c r="ABW127"/>
      <c r="ABX127"/>
      <c r="ABY127"/>
      <c r="ABZ127"/>
      <c r="ACA127"/>
      <c r="ACB127"/>
      <c r="ACC127"/>
      <c r="ACD127"/>
      <c r="ACE127"/>
      <c r="ACF127"/>
      <c r="ACG127"/>
      <c r="ACH127"/>
      <c r="ACI127"/>
      <c r="ACJ127"/>
      <c r="ACK127"/>
      <c r="ACL127"/>
      <c r="ACM127"/>
      <c r="ACN127"/>
      <c r="ACO127"/>
      <c r="ACP127"/>
      <c r="ACQ127"/>
      <c r="ACR127"/>
      <c r="ACS127"/>
      <c r="ACT127"/>
      <c r="ACU127"/>
      <c r="ACV127"/>
      <c r="ACW127"/>
      <c r="ACX127"/>
      <c r="ACY127"/>
      <c r="ACZ127"/>
      <c r="ADA127"/>
      <c r="ADB127"/>
      <c r="ADC127"/>
      <c r="ADD127"/>
      <c r="ADE127"/>
      <c r="ADF127"/>
      <c r="ADG127"/>
      <c r="ADH127"/>
      <c r="ADI127"/>
      <c r="ADJ127"/>
      <c r="ADK127"/>
      <c r="ADL127"/>
      <c r="ADM127"/>
      <c r="ADN127"/>
      <c r="ADO127"/>
      <c r="ADP127"/>
      <c r="ADQ127"/>
      <c r="ADR127"/>
      <c r="ADS127"/>
      <c r="ADT127"/>
      <c r="ADU127"/>
      <c r="ADV127"/>
      <c r="ADW127"/>
      <c r="ADX127"/>
      <c r="ADY127"/>
      <c r="ADZ127"/>
      <c r="AEA127"/>
      <c r="AEB127"/>
      <c r="AEC127"/>
      <c r="AED127"/>
      <c r="AEE127"/>
      <c r="AEF127"/>
      <c r="AEG127"/>
      <c r="AEH127"/>
      <c r="AEI127"/>
      <c r="AEJ127"/>
      <c r="AEK127"/>
      <c r="AEL127"/>
      <c r="AEM127"/>
      <c r="AEN127"/>
      <c r="AEO127"/>
      <c r="AEP127"/>
      <c r="AEQ127"/>
      <c r="AER127"/>
      <c r="AES127"/>
      <c r="AET127"/>
      <c r="AEU127"/>
      <c r="AEV127"/>
      <c r="AEW127"/>
      <c r="AEX127"/>
      <c r="AEY127"/>
      <c r="AEZ127"/>
      <c r="AFA127"/>
      <c r="AFB127"/>
      <c r="AFC127"/>
      <c r="AFD127"/>
      <c r="AFE127"/>
      <c r="AFF127"/>
      <c r="AFG127"/>
      <c r="AFH127"/>
      <c r="AFI127"/>
      <c r="AFJ127"/>
      <c r="AFK127"/>
      <c r="AFL127"/>
      <c r="AFM127"/>
      <c r="AFN127"/>
      <c r="AFO127"/>
      <c r="AFP127"/>
      <c r="AFQ127"/>
      <c r="AFR127"/>
      <c r="AFS127"/>
      <c r="AFT127"/>
      <c r="AFU127"/>
      <c r="AFV127"/>
      <c r="AFW127"/>
      <c r="AFX127"/>
      <c r="AFY127"/>
      <c r="AFZ127"/>
      <c r="AGA127"/>
      <c r="AGB127"/>
      <c r="AGC127"/>
      <c r="AGD127"/>
      <c r="AGE127"/>
      <c r="AGF127"/>
      <c r="AGG127"/>
      <c r="AGH127"/>
      <c r="AGI127"/>
      <c r="AGJ127"/>
      <c r="AGK127"/>
      <c r="AGL127"/>
      <c r="AGM127"/>
      <c r="AGN127"/>
      <c r="AGO127"/>
      <c r="AGP127"/>
      <c r="AGQ127"/>
      <c r="AGR127"/>
      <c r="AGS127"/>
      <c r="AGT127"/>
      <c r="AGU127"/>
      <c r="AGV127"/>
      <c r="AGW127"/>
      <c r="AGX127"/>
      <c r="AGY127"/>
      <c r="AGZ127"/>
      <c r="AHA127"/>
      <c r="AHB127"/>
      <c r="AHC127"/>
      <c r="AHD127"/>
      <c r="AHE127"/>
      <c r="AHF127"/>
      <c r="AHG127"/>
      <c r="AHH127"/>
      <c r="AHI127"/>
      <c r="AHJ127"/>
      <c r="AHK127"/>
      <c r="AHL127"/>
      <c r="AHM127"/>
      <c r="AHN127"/>
      <c r="AHO127"/>
      <c r="AHP127"/>
      <c r="AHQ127"/>
      <c r="AHR127"/>
      <c r="AHS127"/>
      <c r="AHT127"/>
      <c r="AHU127"/>
      <c r="AHV127"/>
      <c r="AHW127"/>
      <c r="AHX127"/>
      <c r="AHY127"/>
      <c r="AHZ127"/>
      <c r="AIA127"/>
      <c r="AIB127"/>
      <c r="AIC127"/>
      <c r="AID127"/>
      <c r="AIE127"/>
      <c r="AIF127"/>
      <c r="AIG127"/>
      <c r="AIH127"/>
      <c r="AII127"/>
      <c r="AIJ127"/>
      <c r="AIK127"/>
      <c r="AIL127"/>
      <c r="AIM127"/>
      <c r="AIN127"/>
      <c r="AIO127"/>
      <c r="AIP127"/>
      <c r="AIQ127"/>
      <c r="AIR127"/>
      <c r="AIS127"/>
      <c r="AIT127"/>
      <c r="AIU127"/>
      <c r="AIV127"/>
      <c r="AIW127"/>
      <c r="AIX127"/>
      <c r="AIY127"/>
      <c r="AIZ127"/>
      <c r="AJA127"/>
      <c r="AJB127"/>
      <c r="AJC127"/>
      <c r="AJD127"/>
      <c r="AJE127"/>
      <c r="AJF127"/>
      <c r="AJG127"/>
      <c r="AJH127"/>
      <c r="AJI127"/>
      <c r="AJJ127"/>
      <c r="AJK127"/>
      <c r="AJL127"/>
      <c r="AJM127"/>
      <c r="AJN127"/>
      <c r="AJO127"/>
      <c r="AJP127"/>
      <c r="AJQ127"/>
      <c r="AJR127"/>
      <c r="AJS127"/>
      <c r="AJT127"/>
      <c r="AJU127"/>
      <c r="AJV127"/>
      <c r="AJW127"/>
      <c r="AJX127"/>
      <c r="AJY127"/>
      <c r="AJZ127"/>
      <c r="AKA127"/>
      <c r="AKB127"/>
      <c r="AKC127"/>
      <c r="AKD127"/>
      <c r="AKE127"/>
      <c r="AKF127"/>
      <c r="AKG127"/>
      <c r="AKH127"/>
      <c r="AKI127"/>
      <c r="AKJ127"/>
      <c r="AKK127"/>
      <c r="AKL127"/>
      <c r="AKM127"/>
      <c r="AKN127"/>
      <c r="AKO127"/>
      <c r="AKP127"/>
      <c r="AKQ127"/>
      <c r="AKR127"/>
      <c r="AKS127"/>
      <c r="AKT127"/>
      <c r="AKU127"/>
      <c r="AKV127"/>
      <c r="AKW127"/>
      <c r="AKX127"/>
      <c r="AKY127"/>
      <c r="AKZ127"/>
      <c r="ALA127"/>
      <c r="ALB127"/>
      <c r="ALC127"/>
      <c r="ALD127"/>
      <c r="ALE127"/>
      <c r="ALF127"/>
      <c r="ALG127"/>
      <c r="ALH127"/>
      <c r="ALI127"/>
      <c r="ALJ127"/>
      <c r="ALK127"/>
      <c r="ALL127"/>
      <c r="ALM127"/>
      <c r="ALN127"/>
      <c r="ALO127"/>
      <c r="ALP127"/>
      <c r="ALQ127"/>
      <c r="ALR127"/>
      <c r="ALS127"/>
      <c r="ALT127"/>
      <c r="ALU127"/>
      <c r="ALV127"/>
      <c r="ALW127"/>
      <c r="ALX127"/>
      <c r="ALY127"/>
      <c r="ALZ127"/>
      <c r="AMA127"/>
      <c r="AMB127"/>
      <c r="AMC127"/>
      <c r="AMD127"/>
      <c r="AME127"/>
      <c r="AMF127"/>
      <c r="AMH127"/>
      <c r="AMI127"/>
      <c r="AMJ127"/>
      <c r="AMK127"/>
    </row>
    <row r="128" spans="1:1025" s="65" customFormat="1" ht="56.25" customHeight="1" thickBot="1" x14ac:dyDescent="0.25">
      <c r="A128" s="714" t="s">
        <v>133</v>
      </c>
      <c r="B128" s="715" t="s">
        <v>134</v>
      </c>
      <c r="C128" s="715" t="s">
        <v>313</v>
      </c>
      <c r="D128" s="715" t="s">
        <v>314</v>
      </c>
      <c r="E128" s="715" t="s">
        <v>315</v>
      </c>
      <c r="F128" s="716" t="s">
        <v>304</v>
      </c>
      <c r="G128" s="716" t="s">
        <v>285</v>
      </c>
      <c r="H128" s="717" t="s">
        <v>305</v>
      </c>
      <c r="I128" s="718" t="s">
        <v>306</v>
      </c>
    </row>
    <row r="129" spans="1:1025" ht="20.25" customHeight="1" thickBot="1" x14ac:dyDescent="0.25">
      <c r="A129" s="900" t="s">
        <v>316</v>
      </c>
      <c r="B129" s="901"/>
      <c r="C129" s="901"/>
      <c r="D129" s="901"/>
      <c r="E129" s="901"/>
      <c r="F129" s="901"/>
      <c r="G129" s="902"/>
      <c r="H129" s="612">
        <f>SUM(H130:H133)</f>
        <v>25.446666666666665</v>
      </c>
      <c r="I129" s="612">
        <f>SUM(I130:I133)</f>
        <v>36.666666666666671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  <c r="LS129"/>
      <c r="LT129"/>
      <c r="LU129"/>
      <c r="LV129"/>
      <c r="LW129"/>
      <c r="LX129"/>
      <c r="LY129"/>
      <c r="LZ129"/>
      <c r="MA129"/>
      <c r="MB129"/>
      <c r="MC129"/>
      <c r="MD129"/>
      <c r="ME129"/>
      <c r="MF129"/>
      <c r="MG129"/>
      <c r="MH129"/>
      <c r="MI129"/>
      <c r="MJ129"/>
      <c r="MK129"/>
      <c r="ML129"/>
      <c r="MM129"/>
      <c r="MN129"/>
      <c r="MO129"/>
      <c r="MP129"/>
      <c r="MQ129"/>
      <c r="MR129"/>
      <c r="MS129"/>
      <c r="MT129"/>
      <c r="MU129"/>
      <c r="MV129"/>
      <c r="MW129"/>
      <c r="MX129"/>
      <c r="MY129"/>
      <c r="MZ129"/>
      <c r="NA129"/>
      <c r="NB129"/>
      <c r="NC129"/>
      <c r="ND129"/>
      <c r="NE129"/>
      <c r="NF129"/>
      <c r="NG129"/>
      <c r="NH129"/>
      <c r="NI129"/>
      <c r="NJ129"/>
      <c r="NK129"/>
      <c r="NL129"/>
      <c r="NM129"/>
      <c r="NN129"/>
      <c r="NO129"/>
      <c r="NP129"/>
      <c r="NQ129"/>
      <c r="NR129"/>
      <c r="NS129"/>
      <c r="NT129"/>
      <c r="NU129"/>
      <c r="NV129"/>
      <c r="NW129"/>
      <c r="NX129"/>
      <c r="NY129"/>
      <c r="NZ129"/>
      <c r="OA129"/>
      <c r="OB129"/>
      <c r="OC129"/>
      <c r="OD129"/>
      <c r="OE129"/>
      <c r="OF129"/>
      <c r="OG129"/>
      <c r="OH129"/>
      <c r="OI129"/>
      <c r="OJ129"/>
      <c r="OK129"/>
      <c r="OL129"/>
      <c r="OM129"/>
      <c r="ON129"/>
      <c r="OO129"/>
      <c r="OP129"/>
      <c r="OQ129"/>
      <c r="OR129"/>
      <c r="OS129"/>
      <c r="OT129"/>
      <c r="OU129"/>
      <c r="OV129"/>
      <c r="OW129"/>
      <c r="OX129"/>
      <c r="OY129"/>
      <c r="OZ129"/>
      <c r="PA129"/>
      <c r="PB129"/>
      <c r="PC129"/>
      <c r="PD129"/>
      <c r="PE129"/>
      <c r="PF129"/>
      <c r="PG129"/>
      <c r="PH129"/>
      <c r="PI129"/>
      <c r="PJ129"/>
      <c r="PK129"/>
      <c r="PL129"/>
      <c r="PM129"/>
      <c r="PN129"/>
      <c r="PO129"/>
      <c r="PP129"/>
      <c r="PQ129"/>
      <c r="PR129"/>
      <c r="PS129"/>
      <c r="PT129"/>
      <c r="PU129"/>
      <c r="PV129"/>
      <c r="PW129"/>
      <c r="PX129"/>
      <c r="PY129"/>
      <c r="PZ129"/>
      <c r="QA129"/>
      <c r="QB129"/>
      <c r="QC129"/>
      <c r="QD129"/>
      <c r="QE129"/>
      <c r="QF129"/>
      <c r="QG129"/>
      <c r="QH129"/>
      <c r="QI129"/>
      <c r="QJ129"/>
      <c r="QK129"/>
      <c r="QL129"/>
      <c r="QM129"/>
      <c r="QN129"/>
      <c r="QO129"/>
      <c r="QP129"/>
      <c r="QQ129"/>
      <c r="QR129"/>
      <c r="QS129"/>
      <c r="QT129"/>
      <c r="QU129"/>
      <c r="QV129"/>
      <c r="QW129"/>
      <c r="QX129"/>
      <c r="QY129"/>
      <c r="QZ129"/>
      <c r="RA129"/>
      <c r="RB129"/>
      <c r="RC129"/>
      <c r="RD129"/>
      <c r="RE129"/>
      <c r="RF129"/>
      <c r="RG129"/>
      <c r="RH129"/>
      <c r="RI129"/>
      <c r="RJ129"/>
      <c r="RK129"/>
      <c r="RL129"/>
      <c r="RM129"/>
      <c r="RN129"/>
      <c r="RO129"/>
      <c r="RP129"/>
      <c r="RQ129"/>
      <c r="RR129"/>
      <c r="RS129"/>
      <c r="RT129"/>
      <c r="RU129"/>
      <c r="RV129"/>
      <c r="RW129"/>
      <c r="RX129"/>
      <c r="RY129"/>
      <c r="RZ129"/>
      <c r="SA129"/>
      <c r="SB129"/>
      <c r="SC129"/>
      <c r="SD129"/>
      <c r="SE129"/>
      <c r="SF129"/>
      <c r="SG129"/>
      <c r="SH129"/>
      <c r="SI129"/>
      <c r="SJ129"/>
      <c r="SK129"/>
      <c r="SL129"/>
      <c r="SM129"/>
      <c r="SN129"/>
      <c r="SO129"/>
      <c r="SP129"/>
      <c r="SQ129"/>
      <c r="SR129"/>
      <c r="SS129"/>
      <c r="ST129"/>
      <c r="SU129"/>
      <c r="SV129"/>
      <c r="SW129"/>
      <c r="SX129"/>
      <c r="SY129"/>
      <c r="SZ129"/>
      <c r="TA129"/>
      <c r="TB129"/>
      <c r="TC129"/>
      <c r="TD129"/>
      <c r="TE129"/>
      <c r="TF129"/>
      <c r="TG129"/>
      <c r="TH129"/>
      <c r="TI129"/>
      <c r="TJ129"/>
      <c r="TK129"/>
      <c r="TL129"/>
      <c r="TM129"/>
      <c r="TN129"/>
      <c r="TO129"/>
      <c r="TP129"/>
      <c r="TQ129"/>
      <c r="TR129"/>
      <c r="TS129"/>
      <c r="TT129"/>
      <c r="TU129"/>
      <c r="TV129"/>
      <c r="TW129"/>
      <c r="TX129"/>
      <c r="TY129"/>
      <c r="TZ129"/>
      <c r="UA129"/>
      <c r="UB129"/>
      <c r="UC129"/>
      <c r="UD129"/>
      <c r="UE129"/>
      <c r="UF129"/>
      <c r="UG129"/>
      <c r="UH129"/>
      <c r="UI129"/>
      <c r="UJ129"/>
      <c r="UK129"/>
      <c r="UL129"/>
      <c r="UM129"/>
      <c r="UN129"/>
      <c r="UO129"/>
      <c r="UP129"/>
      <c r="UQ129"/>
      <c r="UR129"/>
      <c r="US129"/>
      <c r="UT129"/>
      <c r="UU129"/>
      <c r="UV129"/>
      <c r="UW129"/>
      <c r="UX129"/>
      <c r="UY129"/>
      <c r="UZ129"/>
      <c r="VA129"/>
      <c r="VB129"/>
      <c r="VC129"/>
      <c r="VD129"/>
      <c r="VE129"/>
      <c r="VF129"/>
      <c r="VG129"/>
      <c r="VH129"/>
      <c r="VI129"/>
      <c r="VJ129"/>
      <c r="VK129"/>
      <c r="VL129"/>
      <c r="VM129"/>
      <c r="VN129"/>
      <c r="VO129"/>
      <c r="VP129"/>
      <c r="VQ129"/>
      <c r="VR129"/>
      <c r="VS129"/>
      <c r="VT129"/>
      <c r="VU129"/>
      <c r="VV129"/>
      <c r="VW129"/>
      <c r="VX129"/>
      <c r="VY129"/>
      <c r="VZ129"/>
      <c r="WA129"/>
      <c r="WB129"/>
      <c r="WC129"/>
      <c r="WD129"/>
      <c r="WE129"/>
      <c r="WF129"/>
      <c r="WG129"/>
      <c r="WH129"/>
      <c r="WI129"/>
      <c r="WJ129"/>
      <c r="WK129"/>
      <c r="WL129"/>
      <c r="WM129"/>
      <c r="WN129"/>
      <c r="WO129"/>
      <c r="WP129"/>
      <c r="WQ129"/>
      <c r="WR129"/>
      <c r="WS129"/>
      <c r="WT129"/>
      <c r="WU129"/>
      <c r="WV129"/>
      <c r="WW129"/>
      <c r="WX129"/>
      <c r="WY129"/>
      <c r="WZ129"/>
      <c r="XA129"/>
      <c r="XB129"/>
      <c r="XC129"/>
      <c r="XD129"/>
      <c r="XE129"/>
      <c r="XF129"/>
      <c r="XG129"/>
      <c r="XH129"/>
      <c r="XI129"/>
      <c r="XJ129"/>
      <c r="XK129"/>
      <c r="XL129"/>
      <c r="XM129"/>
      <c r="XN129"/>
      <c r="XO129"/>
      <c r="XP129"/>
      <c r="XQ129"/>
      <c r="XR129"/>
      <c r="XS129"/>
      <c r="XT129"/>
      <c r="XU129"/>
      <c r="XV129"/>
      <c r="XW129"/>
      <c r="XX129"/>
      <c r="XY129"/>
      <c r="XZ129"/>
      <c r="YA129"/>
      <c r="YB129"/>
      <c r="YC129"/>
      <c r="YD129"/>
      <c r="YE129"/>
      <c r="YF129"/>
      <c r="YG129"/>
      <c r="YH129"/>
      <c r="YI129"/>
      <c r="YJ129"/>
      <c r="YK129"/>
      <c r="YL129"/>
      <c r="YM129"/>
      <c r="YN129"/>
      <c r="YO129"/>
      <c r="YP129"/>
      <c r="YQ129"/>
      <c r="YR129"/>
      <c r="YS129"/>
      <c r="YT129"/>
      <c r="YU129"/>
      <c r="YV129"/>
      <c r="YW129"/>
      <c r="YX129"/>
      <c r="YY129"/>
      <c r="YZ129"/>
      <c r="ZA129"/>
      <c r="ZB129"/>
      <c r="ZC129"/>
      <c r="ZD129"/>
      <c r="ZE129"/>
      <c r="ZF129"/>
      <c r="ZG129"/>
      <c r="ZH129"/>
      <c r="ZI129"/>
      <c r="ZJ129"/>
      <c r="ZK129"/>
      <c r="ZL129"/>
      <c r="ZM129"/>
      <c r="ZN129"/>
      <c r="ZO129"/>
      <c r="ZP129"/>
      <c r="ZQ129"/>
      <c r="ZR129"/>
      <c r="ZS129"/>
      <c r="ZT129"/>
      <c r="ZU129"/>
      <c r="ZV129"/>
      <c r="ZW129"/>
      <c r="ZX129"/>
      <c r="ZY129"/>
      <c r="ZZ129"/>
      <c r="AAA129"/>
      <c r="AAB129"/>
      <c r="AAC129"/>
      <c r="AAD129"/>
      <c r="AAE129"/>
      <c r="AAF129"/>
      <c r="AAG129"/>
      <c r="AAH129"/>
      <c r="AAI129"/>
      <c r="AAJ129"/>
      <c r="AAK129"/>
      <c r="AAL129"/>
      <c r="AAM129"/>
      <c r="AAN129"/>
      <c r="AAO129"/>
      <c r="AAP129"/>
      <c r="AAQ129"/>
      <c r="AAR129"/>
      <c r="AAS129"/>
      <c r="AAT129"/>
      <c r="AAU129"/>
      <c r="AAV129"/>
      <c r="AAW129"/>
      <c r="AAX129"/>
      <c r="AAY129"/>
      <c r="AAZ129"/>
      <c r="ABA129"/>
      <c r="ABB129"/>
      <c r="ABC129"/>
      <c r="ABD129"/>
      <c r="ABE129"/>
      <c r="ABF129"/>
      <c r="ABG129"/>
      <c r="ABH129"/>
      <c r="ABI129"/>
      <c r="ABJ129"/>
      <c r="ABK129"/>
      <c r="ABL129"/>
      <c r="ABM129"/>
      <c r="ABN129"/>
      <c r="ABO129"/>
      <c r="ABP129"/>
      <c r="ABQ129"/>
      <c r="ABR129"/>
      <c r="ABS129"/>
      <c r="ABT129"/>
      <c r="ABU129"/>
      <c r="ABV129"/>
      <c r="ABW129"/>
      <c r="ABX129"/>
      <c r="ABY129"/>
      <c r="ABZ129"/>
      <c r="ACA129"/>
      <c r="ACB129"/>
      <c r="ACC129"/>
      <c r="ACD129"/>
      <c r="ACE129"/>
      <c r="ACF129"/>
      <c r="ACG129"/>
      <c r="ACH129"/>
      <c r="ACI129"/>
      <c r="ACJ129"/>
      <c r="ACK129"/>
      <c r="ACL129"/>
      <c r="ACM129"/>
      <c r="ACN129"/>
      <c r="ACO129"/>
      <c r="ACP129"/>
      <c r="ACQ129"/>
      <c r="ACR129"/>
      <c r="ACS129"/>
      <c r="ACT129"/>
      <c r="ACU129"/>
      <c r="ACV129"/>
      <c r="ACW129"/>
      <c r="ACX129"/>
      <c r="ACY129"/>
      <c r="ACZ129"/>
      <c r="ADA129"/>
      <c r="ADB129"/>
      <c r="ADC129"/>
      <c r="ADD129"/>
      <c r="ADE129"/>
      <c r="ADF129"/>
      <c r="ADG129"/>
      <c r="ADH129"/>
      <c r="ADI129"/>
      <c r="ADJ129"/>
      <c r="ADK129"/>
      <c r="ADL129"/>
      <c r="ADM129"/>
      <c r="ADN129"/>
      <c r="ADO129"/>
      <c r="ADP129"/>
      <c r="ADQ129"/>
      <c r="ADR129"/>
      <c r="ADS129"/>
      <c r="ADT129"/>
      <c r="ADU129"/>
      <c r="ADV129"/>
      <c r="ADW129"/>
      <c r="ADX129"/>
      <c r="ADY129"/>
      <c r="ADZ129"/>
      <c r="AEA129"/>
      <c r="AEB129"/>
      <c r="AEC129"/>
      <c r="AED129"/>
      <c r="AEE129"/>
      <c r="AEF129"/>
      <c r="AEG129"/>
      <c r="AEH129"/>
      <c r="AEI129"/>
      <c r="AEJ129"/>
      <c r="AEK129"/>
      <c r="AEL129"/>
      <c r="AEM129"/>
      <c r="AEN129"/>
      <c r="AEO129"/>
      <c r="AEP129"/>
      <c r="AEQ129"/>
      <c r="AER129"/>
      <c r="AES129"/>
      <c r="AET129"/>
      <c r="AEU129"/>
      <c r="AEV129"/>
      <c r="AEW129"/>
      <c r="AEX129"/>
      <c r="AEY129"/>
      <c r="AEZ129"/>
      <c r="AFA129"/>
      <c r="AFB129"/>
      <c r="AFC129"/>
      <c r="AFD129"/>
      <c r="AFE129"/>
      <c r="AFF129"/>
      <c r="AFG129"/>
      <c r="AFH129"/>
      <c r="AFI129"/>
      <c r="AFJ129"/>
      <c r="AFK129"/>
      <c r="AFL129"/>
      <c r="AFM129"/>
      <c r="AFN129"/>
      <c r="AFO129"/>
      <c r="AFP129"/>
      <c r="AFQ129"/>
      <c r="AFR129"/>
      <c r="AFS129"/>
      <c r="AFT129"/>
      <c r="AFU129"/>
      <c r="AFV129"/>
      <c r="AFW129"/>
      <c r="AFX129"/>
      <c r="AFY129"/>
      <c r="AFZ129"/>
      <c r="AGA129"/>
      <c r="AGB129"/>
      <c r="AGC129"/>
      <c r="AGD129"/>
      <c r="AGE129"/>
      <c r="AGF129"/>
      <c r="AGG129"/>
      <c r="AGH129"/>
      <c r="AGI129"/>
      <c r="AGJ129"/>
      <c r="AGK129"/>
      <c r="AGL129"/>
      <c r="AGM129"/>
      <c r="AGN129"/>
      <c r="AGO129"/>
      <c r="AGP129"/>
      <c r="AGQ129"/>
      <c r="AGR129"/>
      <c r="AGS129"/>
      <c r="AGT129"/>
      <c r="AGU129"/>
      <c r="AGV129"/>
      <c r="AGW129"/>
      <c r="AGX129"/>
      <c r="AGY129"/>
      <c r="AGZ129"/>
      <c r="AHA129"/>
      <c r="AHB129"/>
      <c r="AHC129"/>
      <c r="AHD129"/>
      <c r="AHE129"/>
      <c r="AHF129"/>
      <c r="AHG129"/>
      <c r="AHH129"/>
      <c r="AHI129"/>
      <c r="AHJ129"/>
      <c r="AHK129"/>
      <c r="AHL129"/>
      <c r="AHM129"/>
      <c r="AHN129"/>
      <c r="AHO129"/>
      <c r="AHP129"/>
      <c r="AHQ129"/>
      <c r="AHR129"/>
      <c r="AHS129"/>
      <c r="AHT129"/>
      <c r="AHU129"/>
      <c r="AHV129"/>
      <c r="AHW129"/>
      <c r="AHX129"/>
      <c r="AHY129"/>
      <c r="AHZ129"/>
      <c r="AIA129"/>
      <c r="AIB129"/>
      <c r="AIC129"/>
      <c r="AID129"/>
      <c r="AIE129"/>
      <c r="AIF129"/>
      <c r="AIG129"/>
      <c r="AIH129"/>
      <c r="AII129"/>
      <c r="AIJ129"/>
      <c r="AIK129"/>
      <c r="AIL129"/>
      <c r="AIM129"/>
      <c r="AIN129"/>
      <c r="AIO129"/>
      <c r="AIP129"/>
      <c r="AIQ129"/>
      <c r="AIR129"/>
      <c r="AIS129"/>
      <c r="AIT129"/>
      <c r="AIU129"/>
      <c r="AIV129"/>
      <c r="AIW129"/>
      <c r="AIX129"/>
      <c r="AIY129"/>
      <c r="AIZ129"/>
      <c r="AJA129"/>
      <c r="AJB129"/>
      <c r="AJC129"/>
      <c r="AJD129"/>
      <c r="AJE129"/>
      <c r="AJF129"/>
      <c r="AJG129"/>
      <c r="AJH129"/>
      <c r="AJI129"/>
      <c r="AJJ129"/>
      <c r="AJK129"/>
      <c r="AJL129"/>
      <c r="AJM129"/>
      <c r="AJN129"/>
      <c r="AJO129"/>
      <c r="AJP129"/>
      <c r="AJQ129"/>
      <c r="AJR129"/>
      <c r="AJS129"/>
      <c r="AJT129"/>
      <c r="AJU129"/>
      <c r="AJV129"/>
      <c r="AJW129"/>
      <c r="AJX129"/>
      <c r="AJY129"/>
      <c r="AJZ129"/>
      <c r="AKA129"/>
      <c r="AKB129"/>
      <c r="AKC129"/>
      <c r="AKD129"/>
      <c r="AKE129"/>
      <c r="AKF129"/>
      <c r="AKG129"/>
      <c r="AKH129"/>
      <c r="AKI129"/>
      <c r="AKJ129"/>
      <c r="AKK129"/>
      <c r="AKL129"/>
      <c r="AKM129"/>
      <c r="AKN129"/>
      <c r="AKO129"/>
      <c r="AKP129"/>
      <c r="AKQ129"/>
      <c r="AKR129"/>
      <c r="AKS129"/>
      <c r="AKT129"/>
      <c r="AKU129"/>
      <c r="AKV129"/>
      <c r="AKW129"/>
      <c r="AKX129"/>
      <c r="AKY129"/>
      <c r="AKZ129"/>
      <c r="ALA129"/>
      <c r="ALB129"/>
      <c r="ALC129"/>
      <c r="ALD129"/>
      <c r="ALE129"/>
      <c r="ALF129"/>
      <c r="ALG129"/>
      <c r="ALH129"/>
      <c r="ALI129"/>
      <c r="ALJ129"/>
      <c r="ALK129"/>
      <c r="ALL129"/>
      <c r="ALM129"/>
      <c r="ALN129"/>
      <c r="ALO129"/>
      <c r="ALP129"/>
      <c r="ALQ129"/>
      <c r="ALR129"/>
      <c r="ALS129"/>
      <c r="ALT129"/>
      <c r="ALU129"/>
      <c r="ALV129"/>
      <c r="ALW129"/>
      <c r="ALX129"/>
      <c r="ALY129"/>
      <c r="ALZ129"/>
      <c r="AMA129"/>
      <c r="AMB129"/>
      <c r="AMC129"/>
      <c r="AMD129"/>
      <c r="AME129"/>
      <c r="AMF129"/>
      <c r="AMH129"/>
      <c r="AMI129"/>
      <c r="AMJ129"/>
      <c r="AMK129"/>
    </row>
    <row r="130" spans="1:1025" ht="15" customHeight="1" x14ac:dyDescent="0.2">
      <c r="A130" s="402" t="s">
        <v>317</v>
      </c>
      <c r="B130" s="39" t="s">
        <v>167</v>
      </c>
      <c r="C130" s="80">
        <v>1</v>
      </c>
      <c r="D130" s="80">
        <v>1</v>
      </c>
      <c r="E130" s="419">
        <v>11.69</v>
      </c>
      <c r="F130" s="405">
        <v>10</v>
      </c>
      <c r="G130" s="40">
        <f>(E130+F130)/2</f>
        <v>10.844999999999999</v>
      </c>
      <c r="H130" s="81">
        <f>(C130*G130)/12</f>
        <v>0.90374999999999994</v>
      </c>
      <c r="I130" s="81">
        <f>(D130*G130)/12</f>
        <v>0.90374999999999994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  <c r="RK130"/>
      <c r="RL130"/>
      <c r="RM130"/>
      <c r="RN130"/>
      <c r="RO130"/>
      <c r="RP130"/>
      <c r="RQ130"/>
      <c r="RR130"/>
      <c r="RS130"/>
      <c r="RT130"/>
      <c r="RU130"/>
      <c r="RV130"/>
      <c r="RW130"/>
      <c r="RX130"/>
      <c r="RY130"/>
      <c r="RZ130"/>
      <c r="SA130"/>
      <c r="SB130"/>
      <c r="SC130"/>
      <c r="SD130"/>
      <c r="SE130"/>
      <c r="SF130"/>
      <c r="SG130"/>
      <c r="SH130"/>
      <c r="SI130"/>
      <c r="SJ130"/>
      <c r="SK130"/>
      <c r="SL130"/>
      <c r="SM130"/>
      <c r="SN130"/>
      <c r="SO130"/>
      <c r="SP130"/>
      <c r="SQ130"/>
      <c r="SR130"/>
      <c r="SS130"/>
      <c r="ST130"/>
      <c r="SU130"/>
      <c r="SV130"/>
      <c r="SW130"/>
      <c r="SX130"/>
      <c r="SY130"/>
      <c r="SZ130"/>
      <c r="TA130"/>
      <c r="TB130"/>
      <c r="TC130"/>
      <c r="TD130"/>
      <c r="TE130"/>
      <c r="TF130"/>
      <c r="TG130"/>
      <c r="TH130"/>
      <c r="TI130"/>
      <c r="TJ130"/>
      <c r="TK130"/>
      <c r="TL130"/>
      <c r="TM130"/>
      <c r="TN130"/>
      <c r="TO130"/>
      <c r="TP130"/>
      <c r="TQ130"/>
      <c r="TR130"/>
      <c r="TS130"/>
      <c r="TT130"/>
      <c r="TU130"/>
      <c r="TV130"/>
      <c r="TW130"/>
      <c r="TX130"/>
      <c r="TY130"/>
      <c r="TZ130"/>
      <c r="UA130"/>
      <c r="UB130"/>
      <c r="UC130"/>
      <c r="UD130"/>
      <c r="UE130"/>
      <c r="UF130"/>
      <c r="UG130"/>
      <c r="UH130"/>
      <c r="UI130"/>
      <c r="UJ130"/>
      <c r="UK130"/>
      <c r="UL130"/>
      <c r="UM130"/>
      <c r="UN130"/>
      <c r="UO130"/>
      <c r="UP130"/>
      <c r="UQ130"/>
      <c r="UR130"/>
      <c r="US130"/>
      <c r="UT130"/>
      <c r="UU130"/>
      <c r="UV130"/>
      <c r="UW130"/>
      <c r="UX130"/>
      <c r="UY130"/>
      <c r="UZ130"/>
      <c r="VA130"/>
      <c r="VB130"/>
      <c r="VC130"/>
      <c r="VD130"/>
      <c r="VE130"/>
      <c r="VF130"/>
      <c r="VG130"/>
      <c r="VH130"/>
      <c r="VI130"/>
      <c r="VJ130"/>
      <c r="VK130"/>
      <c r="VL130"/>
      <c r="VM130"/>
      <c r="VN130"/>
      <c r="VO130"/>
      <c r="VP130"/>
      <c r="VQ130"/>
      <c r="VR130"/>
      <c r="VS130"/>
      <c r="VT130"/>
      <c r="VU130"/>
      <c r="VV130"/>
      <c r="VW130"/>
      <c r="VX130"/>
      <c r="VY130"/>
      <c r="VZ130"/>
      <c r="WA130"/>
      <c r="WB130"/>
      <c r="WC130"/>
      <c r="WD130"/>
      <c r="WE130"/>
      <c r="WF130"/>
      <c r="WG130"/>
      <c r="WH130"/>
      <c r="WI130"/>
      <c r="WJ130"/>
      <c r="WK130"/>
      <c r="WL130"/>
      <c r="WM130"/>
      <c r="WN130"/>
      <c r="WO130"/>
      <c r="WP130"/>
      <c r="WQ130"/>
      <c r="WR130"/>
      <c r="WS130"/>
      <c r="WT130"/>
      <c r="WU130"/>
      <c r="WV130"/>
      <c r="WW130"/>
      <c r="WX130"/>
      <c r="WY130"/>
      <c r="WZ130"/>
      <c r="XA130"/>
      <c r="XB130"/>
      <c r="XC130"/>
      <c r="XD130"/>
      <c r="XE130"/>
      <c r="XF130"/>
      <c r="XG130"/>
      <c r="XH130"/>
      <c r="XI130"/>
      <c r="XJ130"/>
      <c r="XK130"/>
      <c r="XL130"/>
      <c r="XM130"/>
      <c r="XN130"/>
      <c r="XO130"/>
      <c r="XP130"/>
      <c r="XQ130"/>
      <c r="XR130"/>
      <c r="XS130"/>
      <c r="XT130"/>
      <c r="XU130"/>
      <c r="XV130"/>
      <c r="XW130"/>
      <c r="XX130"/>
      <c r="XY130"/>
      <c r="XZ130"/>
      <c r="YA130"/>
      <c r="YB130"/>
      <c r="YC130"/>
      <c r="YD130"/>
      <c r="YE130"/>
      <c r="YF130"/>
      <c r="YG130"/>
      <c r="YH130"/>
      <c r="YI130"/>
      <c r="YJ130"/>
      <c r="YK130"/>
      <c r="YL130"/>
      <c r="YM130"/>
      <c r="YN130"/>
      <c r="YO130"/>
      <c r="YP130"/>
      <c r="YQ130"/>
      <c r="YR130"/>
      <c r="YS130"/>
      <c r="YT130"/>
      <c r="YU130"/>
      <c r="YV130"/>
      <c r="YW130"/>
      <c r="YX130"/>
      <c r="YY130"/>
      <c r="YZ130"/>
      <c r="ZA130"/>
      <c r="ZB130"/>
      <c r="ZC130"/>
      <c r="ZD130"/>
      <c r="ZE130"/>
      <c r="ZF130"/>
      <c r="ZG130"/>
      <c r="ZH130"/>
      <c r="ZI130"/>
      <c r="ZJ130"/>
      <c r="ZK130"/>
      <c r="ZL130"/>
      <c r="ZM130"/>
      <c r="ZN130"/>
      <c r="ZO130"/>
      <c r="ZP130"/>
      <c r="ZQ130"/>
      <c r="ZR130"/>
      <c r="ZS130"/>
      <c r="ZT130"/>
      <c r="ZU130"/>
      <c r="ZV130"/>
      <c r="ZW130"/>
      <c r="ZX130"/>
      <c r="ZY130"/>
      <c r="ZZ130"/>
      <c r="AAA130"/>
      <c r="AAB130"/>
      <c r="AAC130"/>
      <c r="AAD130"/>
      <c r="AAE130"/>
      <c r="AAF130"/>
      <c r="AAG130"/>
      <c r="AAH130"/>
      <c r="AAI130"/>
      <c r="AAJ130"/>
      <c r="AAK130"/>
      <c r="AAL130"/>
      <c r="AAM130"/>
      <c r="AAN130"/>
      <c r="AAO130"/>
      <c r="AAP130"/>
      <c r="AAQ130"/>
      <c r="AAR130"/>
      <c r="AAS130"/>
      <c r="AAT130"/>
      <c r="AAU130"/>
      <c r="AAV130"/>
      <c r="AAW130"/>
      <c r="AAX130"/>
      <c r="AAY130"/>
      <c r="AAZ130"/>
      <c r="ABA130"/>
      <c r="ABB130"/>
      <c r="ABC130"/>
      <c r="ABD130"/>
      <c r="ABE130"/>
      <c r="ABF130"/>
      <c r="ABG130"/>
      <c r="ABH130"/>
      <c r="ABI130"/>
      <c r="ABJ130"/>
      <c r="ABK130"/>
      <c r="ABL130"/>
      <c r="ABM130"/>
      <c r="ABN130"/>
      <c r="ABO130"/>
      <c r="ABP130"/>
      <c r="ABQ130"/>
      <c r="ABR130"/>
      <c r="ABS130"/>
      <c r="ABT130"/>
      <c r="ABU130"/>
      <c r="ABV130"/>
      <c r="ABW130"/>
      <c r="ABX130"/>
      <c r="ABY130"/>
      <c r="ABZ130"/>
      <c r="ACA130"/>
      <c r="ACB130"/>
      <c r="ACC130"/>
      <c r="ACD130"/>
      <c r="ACE130"/>
      <c r="ACF130"/>
      <c r="ACG130"/>
      <c r="ACH130"/>
      <c r="ACI130"/>
      <c r="ACJ130"/>
      <c r="ACK130"/>
      <c r="ACL130"/>
      <c r="ACM130"/>
      <c r="ACN130"/>
      <c r="ACO130"/>
      <c r="ACP130"/>
      <c r="ACQ130"/>
      <c r="ACR130"/>
      <c r="ACS130"/>
      <c r="ACT130"/>
      <c r="ACU130"/>
      <c r="ACV130"/>
      <c r="ACW130"/>
      <c r="ACX130"/>
      <c r="ACY130"/>
      <c r="ACZ130"/>
      <c r="ADA130"/>
      <c r="ADB130"/>
      <c r="ADC130"/>
      <c r="ADD130"/>
      <c r="ADE130"/>
      <c r="ADF130"/>
      <c r="ADG130"/>
      <c r="ADH130"/>
      <c r="ADI130"/>
      <c r="ADJ130"/>
      <c r="ADK130"/>
      <c r="ADL130"/>
      <c r="ADM130"/>
      <c r="ADN130"/>
      <c r="ADO130"/>
      <c r="ADP130"/>
      <c r="ADQ130"/>
      <c r="ADR130"/>
      <c r="ADS130"/>
      <c r="ADT130"/>
      <c r="ADU130"/>
      <c r="ADV130"/>
      <c r="ADW130"/>
      <c r="ADX130"/>
      <c r="ADY130"/>
      <c r="ADZ130"/>
      <c r="AEA130"/>
      <c r="AEB130"/>
      <c r="AEC130"/>
      <c r="AED130"/>
      <c r="AEE130"/>
      <c r="AEF130"/>
      <c r="AEG130"/>
      <c r="AEH130"/>
      <c r="AEI130"/>
      <c r="AEJ130"/>
      <c r="AEK130"/>
      <c r="AEL130"/>
      <c r="AEM130"/>
      <c r="AEN130"/>
      <c r="AEO130"/>
      <c r="AEP130"/>
      <c r="AEQ130"/>
      <c r="AER130"/>
      <c r="AES130"/>
      <c r="AET130"/>
      <c r="AEU130"/>
      <c r="AEV130"/>
      <c r="AEW130"/>
      <c r="AEX130"/>
      <c r="AEY130"/>
      <c r="AEZ130"/>
      <c r="AFA130"/>
      <c r="AFB130"/>
      <c r="AFC130"/>
      <c r="AFD130"/>
      <c r="AFE130"/>
      <c r="AFF130"/>
      <c r="AFG130"/>
      <c r="AFH130"/>
      <c r="AFI130"/>
      <c r="AFJ130"/>
      <c r="AFK130"/>
      <c r="AFL130"/>
      <c r="AFM130"/>
      <c r="AFN130"/>
      <c r="AFO130"/>
      <c r="AFP130"/>
      <c r="AFQ130"/>
      <c r="AFR130"/>
      <c r="AFS130"/>
      <c r="AFT130"/>
      <c r="AFU130"/>
      <c r="AFV130"/>
      <c r="AFW130"/>
      <c r="AFX130"/>
      <c r="AFY130"/>
      <c r="AFZ130"/>
      <c r="AGA130"/>
      <c r="AGB130"/>
      <c r="AGC130"/>
      <c r="AGD130"/>
      <c r="AGE130"/>
      <c r="AGF130"/>
      <c r="AGG130"/>
      <c r="AGH130"/>
      <c r="AGI130"/>
      <c r="AGJ130"/>
      <c r="AGK130"/>
      <c r="AGL130"/>
      <c r="AGM130"/>
      <c r="AGN130"/>
      <c r="AGO130"/>
      <c r="AGP130"/>
      <c r="AGQ130"/>
      <c r="AGR130"/>
      <c r="AGS130"/>
      <c r="AGT130"/>
      <c r="AGU130"/>
      <c r="AGV130"/>
      <c r="AGW130"/>
      <c r="AGX130"/>
      <c r="AGY130"/>
      <c r="AGZ130"/>
      <c r="AHA130"/>
      <c r="AHB130"/>
      <c r="AHC130"/>
      <c r="AHD130"/>
      <c r="AHE130"/>
      <c r="AHF130"/>
      <c r="AHG130"/>
      <c r="AHH130"/>
      <c r="AHI130"/>
      <c r="AHJ130"/>
      <c r="AHK130"/>
      <c r="AHL130"/>
      <c r="AHM130"/>
      <c r="AHN130"/>
      <c r="AHO130"/>
      <c r="AHP130"/>
      <c r="AHQ130"/>
      <c r="AHR130"/>
      <c r="AHS130"/>
      <c r="AHT130"/>
      <c r="AHU130"/>
      <c r="AHV130"/>
      <c r="AHW130"/>
      <c r="AHX130"/>
      <c r="AHY130"/>
      <c r="AHZ130"/>
      <c r="AIA130"/>
      <c r="AIB130"/>
      <c r="AIC130"/>
      <c r="AID130"/>
      <c r="AIE130"/>
      <c r="AIF130"/>
      <c r="AIG130"/>
      <c r="AIH130"/>
      <c r="AII130"/>
      <c r="AIJ130"/>
      <c r="AIK130"/>
      <c r="AIL130"/>
      <c r="AIM130"/>
      <c r="AIN130"/>
      <c r="AIO130"/>
      <c r="AIP130"/>
      <c r="AIQ130"/>
      <c r="AIR130"/>
      <c r="AIS130"/>
      <c r="AIT130"/>
      <c r="AIU130"/>
      <c r="AIV130"/>
      <c r="AIW130"/>
      <c r="AIX130"/>
      <c r="AIY130"/>
      <c r="AIZ130"/>
      <c r="AJA130"/>
      <c r="AJB130"/>
      <c r="AJC130"/>
      <c r="AJD130"/>
      <c r="AJE130"/>
      <c r="AJF130"/>
      <c r="AJG130"/>
      <c r="AJH130"/>
      <c r="AJI130"/>
      <c r="AJJ130"/>
      <c r="AJK130"/>
      <c r="AJL130"/>
      <c r="AJM130"/>
      <c r="AJN130"/>
      <c r="AJO130"/>
      <c r="AJP130"/>
      <c r="AJQ130"/>
      <c r="AJR130"/>
      <c r="AJS130"/>
      <c r="AJT130"/>
      <c r="AJU130"/>
      <c r="AJV130"/>
      <c r="AJW130"/>
      <c r="AJX130"/>
      <c r="AJY130"/>
      <c r="AJZ130"/>
      <c r="AKA130"/>
      <c r="AKB130"/>
      <c r="AKC130"/>
      <c r="AKD130"/>
      <c r="AKE130"/>
      <c r="AKF130"/>
      <c r="AKG130"/>
      <c r="AKH130"/>
      <c r="AKI130"/>
      <c r="AKJ130"/>
      <c r="AKK130"/>
      <c r="AKL130"/>
      <c r="AKM130"/>
      <c r="AKN130"/>
      <c r="AKO130"/>
      <c r="AKP130"/>
      <c r="AKQ130"/>
      <c r="AKR130"/>
      <c r="AKS130"/>
      <c r="AKT130"/>
      <c r="AKU130"/>
      <c r="AKV130"/>
      <c r="AKW130"/>
      <c r="AKX130"/>
      <c r="AKY130"/>
      <c r="AKZ130"/>
      <c r="ALA130"/>
      <c r="ALB130"/>
      <c r="ALC130"/>
      <c r="ALD130"/>
      <c r="ALE130"/>
      <c r="ALF130"/>
      <c r="ALG130"/>
      <c r="ALH130"/>
      <c r="ALI130"/>
      <c r="ALJ130"/>
      <c r="ALK130"/>
      <c r="ALL130"/>
      <c r="ALM130"/>
      <c r="ALN130"/>
      <c r="ALO130"/>
      <c r="ALP130"/>
      <c r="ALQ130"/>
      <c r="ALR130"/>
      <c r="ALS130"/>
      <c r="ALT130"/>
      <c r="ALU130"/>
      <c r="ALV130"/>
      <c r="ALW130"/>
      <c r="ALX130"/>
      <c r="ALY130"/>
      <c r="ALZ130"/>
      <c r="AMA130"/>
      <c r="AMB130"/>
      <c r="AMC130"/>
      <c r="AMD130"/>
      <c r="AME130"/>
      <c r="AMG130"/>
      <c r="AMH130"/>
      <c r="AMI130"/>
      <c r="AMJ130"/>
      <c r="AMK130"/>
    </row>
    <row r="131" spans="1:1025" ht="15" customHeight="1" x14ac:dyDescent="0.2">
      <c r="A131" s="402" t="s">
        <v>318</v>
      </c>
      <c r="B131" s="44" t="s">
        <v>187</v>
      </c>
      <c r="C131" s="75">
        <v>2</v>
      </c>
      <c r="D131" s="75">
        <v>2</v>
      </c>
      <c r="E131" s="419">
        <v>10.07</v>
      </c>
      <c r="F131" s="405">
        <v>10.98</v>
      </c>
      <c r="G131" s="76">
        <f>(E131+F131)/2</f>
        <v>10.525</v>
      </c>
      <c r="H131" s="81">
        <f>(C131*G131)/12</f>
        <v>1.7541666666666667</v>
      </c>
      <c r="I131" s="81">
        <f t="shared" ref="I131:I133" si="11">(D131*G131)/12</f>
        <v>1.7541666666666667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  <c r="RK131"/>
      <c r="RL131"/>
      <c r="RM131"/>
      <c r="RN131"/>
      <c r="RO131"/>
      <c r="RP131"/>
      <c r="RQ131"/>
      <c r="RR131"/>
      <c r="RS131"/>
      <c r="RT131"/>
      <c r="RU131"/>
      <c r="RV131"/>
      <c r="RW131"/>
      <c r="RX131"/>
      <c r="RY131"/>
      <c r="RZ131"/>
      <c r="SA131"/>
      <c r="SB131"/>
      <c r="SC131"/>
      <c r="SD131"/>
      <c r="SE131"/>
      <c r="SF131"/>
      <c r="SG131"/>
      <c r="SH131"/>
      <c r="SI131"/>
      <c r="SJ131"/>
      <c r="SK131"/>
      <c r="SL131"/>
      <c r="SM131"/>
      <c r="SN131"/>
      <c r="SO131"/>
      <c r="SP131"/>
      <c r="SQ131"/>
      <c r="SR131"/>
      <c r="SS131"/>
      <c r="ST131"/>
      <c r="SU131"/>
      <c r="SV131"/>
      <c r="SW131"/>
      <c r="SX131"/>
      <c r="SY131"/>
      <c r="SZ131"/>
      <c r="TA131"/>
      <c r="TB131"/>
      <c r="TC131"/>
      <c r="TD131"/>
      <c r="TE131"/>
      <c r="TF131"/>
      <c r="TG131"/>
      <c r="TH131"/>
      <c r="TI131"/>
      <c r="TJ131"/>
      <c r="TK131"/>
      <c r="TL131"/>
      <c r="TM131"/>
      <c r="TN131"/>
      <c r="TO131"/>
      <c r="TP131"/>
      <c r="TQ131"/>
      <c r="TR131"/>
      <c r="TS131"/>
      <c r="TT131"/>
      <c r="TU131"/>
      <c r="TV131"/>
      <c r="TW131"/>
      <c r="TX131"/>
      <c r="TY131"/>
      <c r="TZ131"/>
      <c r="UA131"/>
      <c r="UB131"/>
      <c r="UC131"/>
      <c r="UD131"/>
      <c r="UE131"/>
      <c r="UF131"/>
      <c r="UG131"/>
      <c r="UH131"/>
      <c r="UI131"/>
      <c r="UJ131"/>
      <c r="UK131"/>
      <c r="UL131"/>
      <c r="UM131"/>
      <c r="UN131"/>
      <c r="UO131"/>
      <c r="UP131"/>
      <c r="UQ131"/>
      <c r="UR131"/>
      <c r="US131"/>
      <c r="UT131"/>
      <c r="UU131"/>
      <c r="UV131"/>
      <c r="UW131"/>
      <c r="UX131"/>
      <c r="UY131"/>
      <c r="UZ131"/>
      <c r="VA131"/>
      <c r="VB131"/>
      <c r="VC131"/>
      <c r="VD131"/>
      <c r="VE131"/>
      <c r="VF131"/>
      <c r="VG131"/>
      <c r="VH131"/>
      <c r="VI131"/>
      <c r="VJ131"/>
      <c r="VK131"/>
      <c r="VL131"/>
      <c r="VM131"/>
      <c r="VN131"/>
      <c r="VO131"/>
      <c r="VP131"/>
      <c r="VQ131"/>
      <c r="VR131"/>
      <c r="VS131"/>
      <c r="VT131"/>
      <c r="VU131"/>
      <c r="VV131"/>
      <c r="VW131"/>
      <c r="VX131"/>
      <c r="VY131"/>
      <c r="VZ131"/>
      <c r="WA131"/>
      <c r="WB131"/>
      <c r="WC131"/>
      <c r="WD131"/>
      <c r="WE131"/>
      <c r="WF131"/>
      <c r="WG131"/>
      <c r="WH131"/>
      <c r="WI131"/>
      <c r="WJ131"/>
      <c r="WK131"/>
      <c r="WL131"/>
      <c r="WM131"/>
      <c r="WN131"/>
      <c r="WO131"/>
      <c r="WP131"/>
      <c r="WQ131"/>
      <c r="WR131"/>
      <c r="WS131"/>
      <c r="WT131"/>
      <c r="WU131"/>
      <c r="WV131"/>
      <c r="WW131"/>
      <c r="WX131"/>
      <c r="WY131"/>
      <c r="WZ131"/>
      <c r="XA131"/>
      <c r="XB131"/>
      <c r="XC131"/>
      <c r="XD131"/>
      <c r="XE131"/>
      <c r="XF131"/>
      <c r="XG131"/>
      <c r="XH131"/>
      <c r="XI131"/>
      <c r="XJ131"/>
      <c r="XK131"/>
      <c r="XL131"/>
      <c r="XM131"/>
      <c r="XN131"/>
      <c r="XO131"/>
      <c r="XP131"/>
      <c r="XQ131"/>
      <c r="XR131"/>
      <c r="XS131"/>
      <c r="XT131"/>
      <c r="XU131"/>
      <c r="XV131"/>
      <c r="XW131"/>
      <c r="XX131"/>
      <c r="XY131"/>
      <c r="XZ131"/>
      <c r="YA131"/>
      <c r="YB131"/>
      <c r="YC131"/>
      <c r="YD131"/>
      <c r="YE131"/>
      <c r="YF131"/>
      <c r="YG131"/>
      <c r="YH131"/>
      <c r="YI131"/>
      <c r="YJ131"/>
      <c r="YK131"/>
      <c r="YL131"/>
      <c r="YM131"/>
      <c r="YN131"/>
      <c r="YO131"/>
      <c r="YP131"/>
      <c r="YQ131"/>
      <c r="YR131"/>
      <c r="YS131"/>
      <c r="YT131"/>
      <c r="YU131"/>
      <c r="YV131"/>
      <c r="YW131"/>
      <c r="YX131"/>
      <c r="YY131"/>
      <c r="YZ131"/>
      <c r="ZA131"/>
      <c r="ZB131"/>
      <c r="ZC131"/>
      <c r="ZD131"/>
      <c r="ZE131"/>
      <c r="ZF131"/>
      <c r="ZG131"/>
      <c r="ZH131"/>
      <c r="ZI131"/>
      <c r="ZJ131"/>
      <c r="ZK131"/>
      <c r="ZL131"/>
      <c r="ZM131"/>
      <c r="ZN131"/>
      <c r="ZO131"/>
      <c r="ZP131"/>
      <c r="ZQ131"/>
      <c r="ZR131"/>
      <c r="ZS131"/>
      <c r="ZT131"/>
      <c r="ZU131"/>
      <c r="ZV131"/>
      <c r="ZW131"/>
      <c r="ZX131"/>
      <c r="ZY131"/>
      <c r="ZZ131"/>
      <c r="AAA131"/>
      <c r="AAB131"/>
      <c r="AAC131"/>
      <c r="AAD131"/>
      <c r="AAE131"/>
      <c r="AAF131"/>
      <c r="AAG131"/>
      <c r="AAH131"/>
      <c r="AAI131"/>
      <c r="AAJ131"/>
      <c r="AAK131"/>
      <c r="AAL131"/>
      <c r="AAM131"/>
      <c r="AAN131"/>
      <c r="AAO131"/>
      <c r="AAP131"/>
      <c r="AAQ131"/>
      <c r="AAR131"/>
      <c r="AAS131"/>
      <c r="AAT131"/>
      <c r="AAU131"/>
      <c r="AAV131"/>
      <c r="AAW131"/>
      <c r="AAX131"/>
      <c r="AAY131"/>
      <c r="AAZ131"/>
      <c r="ABA131"/>
      <c r="ABB131"/>
      <c r="ABC131"/>
      <c r="ABD131"/>
      <c r="ABE131"/>
      <c r="ABF131"/>
      <c r="ABG131"/>
      <c r="ABH131"/>
      <c r="ABI131"/>
      <c r="ABJ131"/>
      <c r="ABK131"/>
      <c r="ABL131"/>
      <c r="ABM131"/>
      <c r="ABN131"/>
      <c r="ABO131"/>
      <c r="ABP131"/>
      <c r="ABQ131"/>
      <c r="ABR131"/>
      <c r="ABS131"/>
      <c r="ABT131"/>
      <c r="ABU131"/>
      <c r="ABV131"/>
      <c r="ABW131"/>
      <c r="ABX131"/>
      <c r="ABY131"/>
      <c r="ABZ131"/>
      <c r="ACA131"/>
      <c r="ACB131"/>
      <c r="ACC131"/>
      <c r="ACD131"/>
      <c r="ACE131"/>
      <c r="ACF131"/>
      <c r="ACG131"/>
      <c r="ACH131"/>
      <c r="ACI131"/>
      <c r="ACJ131"/>
      <c r="ACK131"/>
      <c r="ACL131"/>
      <c r="ACM131"/>
      <c r="ACN131"/>
      <c r="ACO131"/>
      <c r="ACP131"/>
      <c r="ACQ131"/>
      <c r="ACR131"/>
      <c r="ACS131"/>
      <c r="ACT131"/>
      <c r="ACU131"/>
      <c r="ACV131"/>
      <c r="ACW131"/>
      <c r="ACX131"/>
      <c r="ACY131"/>
      <c r="ACZ131"/>
      <c r="ADA131"/>
      <c r="ADB131"/>
      <c r="ADC131"/>
      <c r="ADD131"/>
      <c r="ADE131"/>
      <c r="ADF131"/>
      <c r="ADG131"/>
      <c r="ADH131"/>
      <c r="ADI131"/>
      <c r="ADJ131"/>
      <c r="ADK131"/>
      <c r="ADL131"/>
      <c r="ADM131"/>
      <c r="ADN131"/>
      <c r="ADO131"/>
      <c r="ADP131"/>
      <c r="ADQ131"/>
      <c r="ADR131"/>
      <c r="ADS131"/>
      <c r="ADT131"/>
      <c r="ADU131"/>
      <c r="ADV131"/>
      <c r="ADW131"/>
      <c r="ADX131"/>
      <c r="ADY131"/>
      <c r="ADZ131"/>
      <c r="AEA131"/>
      <c r="AEB131"/>
      <c r="AEC131"/>
      <c r="AED131"/>
      <c r="AEE131"/>
      <c r="AEF131"/>
      <c r="AEG131"/>
      <c r="AEH131"/>
      <c r="AEI131"/>
      <c r="AEJ131"/>
      <c r="AEK131"/>
      <c r="AEL131"/>
      <c r="AEM131"/>
      <c r="AEN131"/>
      <c r="AEO131"/>
      <c r="AEP131"/>
      <c r="AEQ131"/>
      <c r="AER131"/>
      <c r="AES131"/>
      <c r="AET131"/>
      <c r="AEU131"/>
      <c r="AEV131"/>
      <c r="AEW131"/>
      <c r="AEX131"/>
      <c r="AEY131"/>
      <c r="AEZ131"/>
      <c r="AFA131"/>
      <c r="AFB131"/>
      <c r="AFC131"/>
      <c r="AFD131"/>
      <c r="AFE131"/>
      <c r="AFF131"/>
      <c r="AFG131"/>
      <c r="AFH131"/>
      <c r="AFI131"/>
      <c r="AFJ131"/>
      <c r="AFK131"/>
      <c r="AFL131"/>
      <c r="AFM131"/>
      <c r="AFN131"/>
      <c r="AFO131"/>
      <c r="AFP131"/>
      <c r="AFQ131"/>
      <c r="AFR131"/>
      <c r="AFS131"/>
      <c r="AFT131"/>
      <c r="AFU131"/>
      <c r="AFV131"/>
      <c r="AFW131"/>
      <c r="AFX131"/>
      <c r="AFY131"/>
      <c r="AFZ131"/>
      <c r="AGA131"/>
      <c r="AGB131"/>
      <c r="AGC131"/>
      <c r="AGD131"/>
      <c r="AGE131"/>
      <c r="AGF131"/>
      <c r="AGG131"/>
      <c r="AGH131"/>
      <c r="AGI131"/>
      <c r="AGJ131"/>
      <c r="AGK131"/>
      <c r="AGL131"/>
      <c r="AGM131"/>
      <c r="AGN131"/>
      <c r="AGO131"/>
      <c r="AGP131"/>
      <c r="AGQ131"/>
      <c r="AGR131"/>
      <c r="AGS131"/>
      <c r="AGT131"/>
      <c r="AGU131"/>
      <c r="AGV131"/>
      <c r="AGW131"/>
      <c r="AGX131"/>
      <c r="AGY131"/>
      <c r="AGZ131"/>
      <c r="AHA131"/>
      <c r="AHB131"/>
      <c r="AHC131"/>
      <c r="AHD131"/>
      <c r="AHE131"/>
      <c r="AHF131"/>
      <c r="AHG131"/>
      <c r="AHH131"/>
      <c r="AHI131"/>
      <c r="AHJ131"/>
      <c r="AHK131"/>
      <c r="AHL131"/>
      <c r="AHM131"/>
      <c r="AHN131"/>
      <c r="AHO131"/>
      <c r="AHP131"/>
      <c r="AHQ131"/>
      <c r="AHR131"/>
      <c r="AHS131"/>
      <c r="AHT131"/>
      <c r="AHU131"/>
      <c r="AHV131"/>
      <c r="AHW131"/>
      <c r="AHX131"/>
      <c r="AHY131"/>
      <c r="AHZ131"/>
      <c r="AIA131"/>
      <c r="AIB131"/>
      <c r="AIC131"/>
      <c r="AID131"/>
      <c r="AIE131"/>
      <c r="AIF131"/>
      <c r="AIG131"/>
      <c r="AIH131"/>
      <c r="AII131"/>
      <c r="AIJ131"/>
      <c r="AIK131"/>
      <c r="AIL131"/>
      <c r="AIM131"/>
      <c r="AIN131"/>
      <c r="AIO131"/>
      <c r="AIP131"/>
      <c r="AIQ131"/>
      <c r="AIR131"/>
      <c r="AIS131"/>
      <c r="AIT131"/>
      <c r="AIU131"/>
      <c r="AIV131"/>
      <c r="AIW131"/>
      <c r="AIX131"/>
      <c r="AIY131"/>
      <c r="AIZ131"/>
      <c r="AJA131"/>
      <c r="AJB131"/>
      <c r="AJC131"/>
      <c r="AJD131"/>
      <c r="AJE131"/>
      <c r="AJF131"/>
      <c r="AJG131"/>
      <c r="AJH131"/>
      <c r="AJI131"/>
      <c r="AJJ131"/>
      <c r="AJK131"/>
      <c r="AJL131"/>
      <c r="AJM131"/>
      <c r="AJN131"/>
      <c r="AJO131"/>
      <c r="AJP131"/>
      <c r="AJQ131"/>
      <c r="AJR131"/>
      <c r="AJS131"/>
      <c r="AJT131"/>
      <c r="AJU131"/>
      <c r="AJV131"/>
      <c r="AJW131"/>
      <c r="AJX131"/>
      <c r="AJY131"/>
      <c r="AJZ131"/>
      <c r="AKA131"/>
      <c r="AKB131"/>
      <c r="AKC131"/>
      <c r="AKD131"/>
      <c r="AKE131"/>
      <c r="AKF131"/>
      <c r="AKG131"/>
      <c r="AKH131"/>
      <c r="AKI131"/>
      <c r="AKJ131"/>
      <c r="AKK131"/>
      <c r="AKL131"/>
      <c r="AKM131"/>
      <c r="AKN131"/>
      <c r="AKO131"/>
      <c r="AKP131"/>
      <c r="AKQ131"/>
      <c r="AKR131"/>
      <c r="AKS131"/>
      <c r="AKT131"/>
      <c r="AKU131"/>
      <c r="AKV131"/>
      <c r="AKW131"/>
      <c r="AKX131"/>
      <c r="AKY131"/>
      <c r="AKZ131"/>
      <c r="ALA131"/>
      <c r="ALB131"/>
      <c r="ALC131"/>
      <c r="ALD131"/>
      <c r="ALE131"/>
      <c r="ALF131"/>
      <c r="ALG131"/>
      <c r="ALH131"/>
      <c r="ALI131"/>
      <c r="ALJ131"/>
      <c r="ALK131"/>
      <c r="ALL131"/>
      <c r="ALM131"/>
      <c r="ALN131"/>
      <c r="ALO131"/>
      <c r="ALP131"/>
      <c r="ALQ131"/>
      <c r="ALR131"/>
      <c r="ALS131"/>
      <c r="ALT131"/>
      <c r="ALU131"/>
      <c r="ALV131"/>
      <c r="ALW131"/>
      <c r="ALX131"/>
      <c r="ALY131"/>
      <c r="ALZ131"/>
      <c r="AMA131"/>
      <c r="AMB131"/>
      <c r="AMC131"/>
      <c r="AMD131"/>
      <c r="AME131"/>
      <c r="AMG131"/>
      <c r="AMH131"/>
      <c r="AMI131"/>
      <c r="AMJ131"/>
      <c r="AMK131"/>
    </row>
    <row r="132" spans="1:1025" ht="15" customHeight="1" x14ac:dyDescent="0.2">
      <c r="A132" s="402" t="s">
        <v>311</v>
      </c>
      <c r="B132" s="44" t="s">
        <v>167</v>
      </c>
      <c r="C132" s="44">
        <f>2*22*12</f>
        <v>528</v>
      </c>
      <c r="D132" s="44">
        <f>3*22*12</f>
        <v>792</v>
      </c>
      <c r="E132" s="419">
        <v>0.61</v>
      </c>
      <c r="F132" s="405">
        <v>0.41</v>
      </c>
      <c r="G132" s="76">
        <f>(E132+F132)/2</f>
        <v>0.51</v>
      </c>
      <c r="H132" s="81">
        <f>(C132*G132)/12</f>
        <v>22.44</v>
      </c>
      <c r="I132" s="81">
        <f t="shared" si="11"/>
        <v>33.660000000000004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  <c r="UC132"/>
      <c r="UD132"/>
      <c r="UE132"/>
      <c r="UF132"/>
      <c r="UG132"/>
      <c r="UH132"/>
      <c r="UI132"/>
      <c r="UJ132"/>
      <c r="UK132"/>
      <c r="UL132"/>
      <c r="UM132"/>
      <c r="UN132"/>
      <c r="UO132"/>
      <c r="UP132"/>
      <c r="UQ132"/>
      <c r="UR132"/>
      <c r="US132"/>
      <c r="UT132"/>
      <c r="UU132"/>
      <c r="UV132"/>
      <c r="UW132"/>
      <c r="UX132"/>
      <c r="UY132"/>
      <c r="UZ132"/>
      <c r="VA132"/>
      <c r="VB132"/>
      <c r="VC132"/>
      <c r="VD132"/>
      <c r="VE132"/>
      <c r="VF132"/>
      <c r="VG132"/>
      <c r="VH132"/>
      <c r="VI132"/>
      <c r="VJ132"/>
      <c r="VK132"/>
      <c r="VL132"/>
      <c r="VM132"/>
      <c r="VN132"/>
      <c r="VO132"/>
      <c r="VP132"/>
      <c r="VQ132"/>
      <c r="VR132"/>
      <c r="VS132"/>
      <c r="VT132"/>
      <c r="VU132"/>
      <c r="VV132"/>
      <c r="VW132"/>
      <c r="VX132"/>
      <c r="VY132"/>
      <c r="VZ132"/>
      <c r="WA132"/>
      <c r="WB132"/>
      <c r="WC132"/>
      <c r="WD132"/>
      <c r="WE132"/>
      <c r="WF132"/>
      <c r="WG132"/>
      <c r="WH132"/>
      <c r="WI132"/>
      <c r="WJ132"/>
      <c r="WK132"/>
      <c r="WL132"/>
      <c r="WM132"/>
      <c r="WN132"/>
      <c r="WO132"/>
      <c r="WP132"/>
      <c r="WQ132"/>
      <c r="WR132"/>
      <c r="WS132"/>
      <c r="WT132"/>
      <c r="WU132"/>
      <c r="WV132"/>
      <c r="WW132"/>
      <c r="WX132"/>
      <c r="WY132"/>
      <c r="WZ132"/>
      <c r="XA132"/>
      <c r="XB132"/>
      <c r="XC132"/>
      <c r="XD132"/>
      <c r="XE132"/>
      <c r="XF132"/>
      <c r="XG132"/>
      <c r="XH132"/>
      <c r="XI132"/>
      <c r="XJ132"/>
      <c r="XK132"/>
      <c r="XL132"/>
      <c r="XM132"/>
      <c r="XN132"/>
      <c r="XO132"/>
      <c r="XP132"/>
      <c r="XQ132"/>
      <c r="XR132"/>
      <c r="XS132"/>
      <c r="XT132"/>
      <c r="XU132"/>
      <c r="XV132"/>
      <c r="XW132"/>
      <c r="XX132"/>
      <c r="XY132"/>
      <c r="XZ132"/>
      <c r="YA132"/>
      <c r="YB132"/>
      <c r="YC132"/>
      <c r="YD132"/>
      <c r="YE132"/>
      <c r="YF132"/>
      <c r="YG132"/>
      <c r="YH132"/>
      <c r="YI132"/>
      <c r="YJ132"/>
      <c r="YK132"/>
      <c r="YL132"/>
      <c r="YM132"/>
      <c r="YN132"/>
      <c r="YO132"/>
      <c r="YP132"/>
      <c r="YQ132"/>
      <c r="YR132"/>
      <c r="YS132"/>
      <c r="YT132"/>
      <c r="YU132"/>
      <c r="YV132"/>
      <c r="YW132"/>
      <c r="YX132"/>
      <c r="YY132"/>
      <c r="YZ132"/>
      <c r="ZA132"/>
      <c r="ZB132"/>
      <c r="ZC132"/>
      <c r="ZD132"/>
      <c r="ZE132"/>
      <c r="ZF132"/>
      <c r="ZG132"/>
      <c r="ZH132"/>
      <c r="ZI132"/>
      <c r="ZJ132"/>
      <c r="ZK132"/>
      <c r="ZL132"/>
      <c r="ZM132"/>
      <c r="ZN132"/>
      <c r="ZO132"/>
      <c r="ZP132"/>
      <c r="ZQ132"/>
      <c r="ZR132"/>
      <c r="ZS132"/>
      <c r="ZT132"/>
      <c r="ZU132"/>
      <c r="ZV132"/>
      <c r="ZW132"/>
      <c r="ZX132"/>
      <c r="ZY132"/>
      <c r="ZZ132"/>
      <c r="AAA132"/>
      <c r="AAB132"/>
      <c r="AAC132"/>
      <c r="AAD132"/>
      <c r="AAE132"/>
      <c r="AAF132"/>
      <c r="AAG132"/>
      <c r="AAH132"/>
      <c r="AAI132"/>
      <c r="AAJ132"/>
      <c r="AAK132"/>
      <c r="AAL132"/>
      <c r="AAM132"/>
      <c r="AAN132"/>
      <c r="AAO132"/>
      <c r="AAP132"/>
      <c r="AAQ132"/>
      <c r="AAR132"/>
      <c r="AAS132"/>
      <c r="AAT132"/>
      <c r="AAU132"/>
      <c r="AAV132"/>
      <c r="AAW132"/>
      <c r="AAX132"/>
      <c r="AAY132"/>
      <c r="AAZ132"/>
      <c r="ABA132"/>
      <c r="ABB132"/>
      <c r="ABC132"/>
      <c r="ABD132"/>
      <c r="ABE132"/>
      <c r="ABF132"/>
      <c r="ABG132"/>
      <c r="ABH132"/>
      <c r="ABI132"/>
      <c r="ABJ132"/>
      <c r="ABK132"/>
      <c r="ABL132"/>
      <c r="ABM132"/>
      <c r="ABN132"/>
      <c r="ABO132"/>
      <c r="ABP132"/>
      <c r="ABQ132"/>
      <c r="ABR132"/>
      <c r="ABS132"/>
      <c r="ABT132"/>
      <c r="ABU132"/>
      <c r="ABV132"/>
      <c r="ABW132"/>
      <c r="ABX132"/>
      <c r="ABY132"/>
      <c r="ABZ132"/>
      <c r="ACA132"/>
      <c r="ACB132"/>
      <c r="ACC132"/>
      <c r="ACD132"/>
      <c r="ACE132"/>
      <c r="ACF132"/>
      <c r="ACG132"/>
      <c r="ACH132"/>
      <c r="ACI132"/>
      <c r="ACJ132"/>
      <c r="ACK132"/>
      <c r="ACL132"/>
      <c r="ACM132"/>
      <c r="ACN132"/>
      <c r="ACO132"/>
      <c r="ACP132"/>
      <c r="ACQ132"/>
      <c r="ACR132"/>
      <c r="ACS132"/>
      <c r="ACT132"/>
      <c r="ACU132"/>
      <c r="ACV132"/>
      <c r="ACW132"/>
      <c r="ACX132"/>
      <c r="ACY132"/>
      <c r="ACZ132"/>
      <c r="ADA132"/>
      <c r="ADB132"/>
      <c r="ADC132"/>
      <c r="ADD132"/>
      <c r="ADE132"/>
      <c r="ADF132"/>
      <c r="ADG132"/>
      <c r="ADH132"/>
      <c r="ADI132"/>
      <c r="ADJ132"/>
      <c r="ADK132"/>
      <c r="ADL132"/>
      <c r="ADM132"/>
      <c r="ADN132"/>
      <c r="ADO132"/>
      <c r="ADP132"/>
      <c r="ADQ132"/>
      <c r="ADR132"/>
      <c r="ADS132"/>
      <c r="ADT132"/>
      <c r="ADU132"/>
      <c r="ADV132"/>
      <c r="ADW132"/>
      <c r="ADX132"/>
      <c r="ADY132"/>
      <c r="ADZ132"/>
      <c r="AEA132"/>
      <c r="AEB132"/>
      <c r="AEC132"/>
      <c r="AED132"/>
      <c r="AEE132"/>
      <c r="AEF132"/>
      <c r="AEG132"/>
      <c r="AEH132"/>
      <c r="AEI132"/>
      <c r="AEJ132"/>
      <c r="AEK132"/>
      <c r="AEL132"/>
      <c r="AEM132"/>
      <c r="AEN132"/>
      <c r="AEO132"/>
      <c r="AEP132"/>
      <c r="AEQ132"/>
      <c r="AER132"/>
      <c r="AES132"/>
      <c r="AET132"/>
      <c r="AEU132"/>
      <c r="AEV132"/>
      <c r="AEW132"/>
      <c r="AEX132"/>
      <c r="AEY132"/>
      <c r="AEZ132"/>
      <c r="AFA132"/>
      <c r="AFB132"/>
      <c r="AFC132"/>
      <c r="AFD132"/>
      <c r="AFE132"/>
      <c r="AFF132"/>
      <c r="AFG132"/>
      <c r="AFH132"/>
      <c r="AFI132"/>
      <c r="AFJ132"/>
      <c r="AFK132"/>
      <c r="AFL132"/>
      <c r="AFM132"/>
      <c r="AFN132"/>
      <c r="AFO132"/>
      <c r="AFP132"/>
      <c r="AFQ132"/>
      <c r="AFR132"/>
      <c r="AFS132"/>
      <c r="AFT132"/>
      <c r="AFU132"/>
      <c r="AFV132"/>
      <c r="AFW132"/>
      <c r="AFX132"/>
      <c r="AFY132"/>
      <c r="AFZ132"/>
      <c r="AGA132"/>
      <c r="AGB132"/>
      <c r="AGC132"/>
      <c r="AGD132"/>
      <c r="AGE132"/>
      <c r="AGF132"/>
      <c r="AGG132"/>
      <c r="AGH132"/>
      <c r="AGI132"/>
      <c r="AGJ132"/>
      <c r="AGK132"/>
      <c r="AGL132"/>
      <c r="AGM132"/>
      <c r="AGN132"/>
      <c r="AGO132"/>
      <c r="AGP132"/>
      <c r="AGQ132"/>
      <c r="AGR132"/>
      <c r="AGS132"/>
      <c r="AGT132"/>
      <c r="AGU132"/>
      <c r="AGV132"/>
      <c r="AGW132"/>
      <c r="AGX132"/>
      <c r="AGY132"/>
      <c r="AGZ132"/>
      <c r="AHA132"/>
      <c r="AHB132"/>
      <c r="AHC132"/>
      <c r="AHD132"/>
      <c r="AHE132"/>
      <c r="AHF132"/>
      <c r="AHG132"/>
      <c r="AHH132"/>
      <c r="AHI132"/>
      <c r="AHJ132"/>
      <c r="AHK132"/>
      <c r="AHL132"/>
      <c r="AHM132"/>
      <c r="AHN132"/>
      <c r="AHO132"/>
      <c r="AHP132"/>
      <c r="AHQ132"/>
      <c r="AHR132"/>
      <c r="AHS132"/>
      <c r="AHT132"/>
      <c r="AHU132"/>
      <c r="AHV132"/>
      <c r="AHW132"/>
      <c r="AHX132"/>
      <c r="AHY132"/>
      <c r="AHZ132"/>
      <c r="AIA132"/>
      <c r="AIB132"/>
      <c r="AIC132"/>
      <c r="AID132"/>
      <c r="AIE132"/>
      <c r="AIF132"/>
      <c r="AIG132"/>
      <c r="AIH132"/>
      <c r="AII132"/>
      <c r="AIJ132"/>
      <c r="AIK132"/>
      <c r="AIL132"/>
      <c r="AIM132"/>
      <c r="AIN132"/>
      <c r="AIO132"/>
      <c r="AIP132"/>
      <c r="AIQ132"/>
      <c r="AIR132"/>
      <c r="AIS132"/>
      <c r="AIT132"/>
      <c r="AIU132"/>
      <c r="AIV132"/>
      <c r="AIW132"/>
      <c r="AIX132"/>
      <c r="AIY132"/>
      <c r="AIZ132"/>
      <c r="AJA132"/>
      <c r="AJB132"/>
      <c r="AJC132"/>
      <c r="AJD132"/>
      <c r="AJE132"/>
      <c r="AJF132"/>
      <c r="AJG132"/>
      <c r="AJH132"/>
      <c r="AJI132"/>
      <c r="AJJ132"/>
      <c r="AJK132"/>
      <c r="AJL132"/>
      <c r="AJM132"/>
      <c r="AJN132"/>
      <c r="AJO132"/>
      <c r="AJP132"/>
      <c r="AJQ132"/>
      <c r="AJR132"/>
      <c r="AJS132"/>
      <c r="AJT132"/>
      <c r="AJU132"/>
      <c r="AJV132"/>
      <c r="AJW132"/>
      <c r="AJX132"/>
      <c r="AJY132"/>
      <c r="AJZ132"/>
      <c r="AKA132"/>
      <c r="AKB132"/>
      <c r="AKC132"/>
      <c r="AKD132"/>
      <c r="AKE132"/>
      <c r="AKF132"/>
      <c r="AKG132"/>
      <c r="AKH132"/>
      <c r="AKI132"/>
      <c r="AKJ132"/>
      <c r="AKK132"/>
      <c r="AKL132"/>
      <c r="AKM132"/>
      <c r="AKN132"/>
      <c r="AKO132"/>
      <c r="AKP132"/>
      <c r="AKQ132"/>
      <c r="AKR132"/>
      <c r="AKS132"/>
      <c r="AKT132"/>
      <c r="AKU132"/>
      <c r="AKV132"/>
      <c r="AKW132"/>
      <c r="AKX132"/>
      <c r="AKY132"/>
      <c r="AKZ132"/>
      <c r="ALA132"/>
      <c r="ALB132"/>
      <c r="ALC132"/>
      <c r="ALD132"/>
      <c r="ALE132"/>
      <c r="ALF132"/>
      <c r="ALG132"/>
      <c r="ALH132"/>
      <c r="ALI132"/>
      <c r="ALJ132"/>
      <c r="ALK132"/>
      <c r="ALL132"/>
      <c r="ALM132"/>
      <c r="ALN132"/>
      <c r="ALO132"/>
      <c r="ALP132"/>
      <c r="ALQ132"/>
      <c r="ALR132"/>
      <c r="ALS132"/>
      <c r="ALT132"/>
      <c r="ALU132"/>
      <c r="ALV132"/>
      <c r="ALW132"/>
      <c r="ALX132"/>
      <c r="ALY132"/>
      <c r="ALZ132"/>
      <c r="AMA132"/>
      <c r="AMB132"/>
      <c r="AMC132"/>
      <c r="AMD132"/>
      <c r="AME132"/>
      <c r="AMG132"/>
      <c r="AMH132"/>
      <c r="AMI132"/>
      <c r="AMJ132"/>
      <c r="AMK132"/>
    </row>
    <row r="133" spans="1:1025" ht="15" customHeight="1" x14ac:dyDescent="0.2">
      <c r="A133" s="402" t="s">
        <v>319</v>
      </c>
      <c r="B133" s="44" t="s">
        <v>167</v>
      </c>
      <c r="C133" s="75">
        <v>1</v>
      </c>
      <c r="D133" s="75">
        <v>1</v>
      </c>
      <c r="E133" s="419">
        <v>4.62</v>
      </c>
      <c r="F133" s="405">
        <v>3.75</v>
      </c>
      <c r="G133" s="76">
        <f>(E133+F133)/2</f>
        <v>4.1850000000000005</v>
      </c>
      <c r="H133" s="81">
        <f>(C133*G133)/12</f>
        <v>0.34875000000000006</v>
      </c>
      <c r="I133" s="81">
        <f t="shared" si="11"/>
        <v>0.34875000000000006</v>
      </c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  <c r="OF133"/>
      <c r="OG133"/>
      <c r="OH133"/>
      <c r="OI133"/>
      <c r="OJ133"/>
      <c r="OK133"/>
      <c r="OL133"/>
      <c r="OM133"/>
      <c r="ON133"/>
      <c r="OO133"/>
      <c r="OP133"/>
      <c r="OQ133"/>
      <c r="OR133"/>
      <c r="OS133"/>
      <c r="OT133"/>
      <c r="OU133"/>
      <c r="OV133"/>
      <c r="OW133"/>
      <c r="OX133"/>
      <c r="OY133"/>
      <c r="OZ133"/>
      <c r="PA133"/>
      <c r="PB133"/>
      <c r="PC133"/>
      <c r="PD133"/>
      <c r="PE133"/>
      <c r="PF133"/>
      <c r="PG133"/>
      <c r="PH133"/>
      <c r="PI133"/>
      <c r="PJ133"/>
      <c r="PK133"/>
      <c r="PL133"/>
      <c r="PM133"/>
      <c r="PN133"/>
      <c r="PO133"/>
      <c r="PP133"/>
      <c r="PQ133"/>
      <c r="PR133"/>
      <c r="PS133"/>
      <c r="PT133"/>
      <c r="PU133"/>
      <c r="PV133"/>
      <c r="PW133"/>
      <c r="PX133"/>
      <c r="PY133"/>
      <c r="PZ133"/>
      <c r="QA133"/>
      <c r="QB133"/>
      <c r="QC133"/>
      <c r="QD133"/>
      <c r="QE133"/>
      <c r="QF133"/>
      <c r="QG133"/>
      <c r="QH133"/>
      <c r="QI133"/>
      <c r="QJ133"/>
      <c r="QK133"/>
      <c r="QL133"/>
      <c r="QM133"/>
      <c r="QN133"/>
      <c r="QO133"/>
      <c r="QP133"/>
      <c r="QQ133"/>
      <c r="QR133"/>
      <c r="QS133"/>
      <c r="QT133"/>
      <c r="QU133"/>
      <c r="QV133"/>
      <c r="QW133"/>
      <c r="QX133"/>
      <c r="QY133"/>
      <c r="QZ133"/>
      <c r="RA133"/>
      <c r="RB133"/>
      <c r="RC133"/>
      <c r="RD133"/>
      <c r="RE133"/>
      <c r="RF133"/>
      <c r="RG133"/>
      <c r="RH133"/>
      <c r="RI133"/>
      <c r="RJ133"/>
      <c r="RK133"/>
      <c r="RL133"/>
      <c r="RM133"/>
      <c r="RN133"/>
      <c r="RO133"/>
      <c r="RP133"/>
      <c r="RQ133"/>
      <c r="RR133"/>
      <c r="RS133"/>
      <c r="RT133"/>
      <c r="RU133"/>
      <c r="RV133"/>
      <c r="RW133"/>
      <c r="RX133"/>
      <c r="RY133"/>
      <c r="RZ133"/>
      <c r="SA133"/>
      <c r="SB133"/>
      <c r="SC133"/>
      <c r="SD133"/>
      <c r="SE133"/>
      <c r="SF133"/>
      <c r="SG133"/>
      <c r="SH133"/>
      <c r="SI133"/>
      <c r="SJ133"/>
      <c r="SK133"/>
      <c r="SL133"/>
      <c r="SM133"/>
      <c r="SN133"/>
      <c r="SO133"/>
      <c r="SP133"/>
      <c r="SQ133"/>
      <c r="SR133"/>
      <c r="SS133"/>
      <c r="ST133"/>
      <c r="SU133"/>
      <c r="SV133"/>
      <c r="SW133"/>
      <c r="SX133"/>
      <c r="SY133"/>
      <c r="SZ133"/>
      <c r="TA133"/>
      <c r="TB133"/>
      <c r="TC133"/>
      <c r="TD133"/>
      <c r="TE133"/>
      <c r="TF133"/>
      <c r="TG133"/>
      <c r="TH133"/>
      <c r="TI133"/>
      <c r="TJ133"/>
      <c r="TK133"/>
      <c r="TL133"/>
      <c r="TM133"/>
      <c r="TN133"/>
      <c r="TO133"/>
      <c r="TP133"/>
      <c r="TQ133"/>
      <c r="TR133"/>
      <c r="TS133"/>
      <c r="TT133"/>
      <c r="TU133"/>
      <c r="TV133"/>
      <c r="TW133"/>
      <c r="TX133"/>
      <c r="TY133"/>
      <c r="TZ133"/>
      <c r="UA133"/>
      <c r="UB133"/>
      <c r="UC133"/>
      <c r="UD133"/>
      <c r="UE133"/>
      <c r="UF133"/>
      <c r="UG133"/>
      <c r="UH133"/>
      <c r="UI133"/>
      <c r="UJ133"/>
      <c r="UK133"/>
      <c r="UL133"/>
      <c r="UM133"/>
      <c r="UN133"/>
      <c r="UO133"/>
      <c r="UP133"/>
      <c r="UQ133"/>
      <c r="UR133"/>
      <c r="US133"/>
      <c r="UT133"/>
      <c r="UU133"/>
      <c r="UV133"/>
      <c r="UW133"/>
      <c r="UX133"/>
      <c r="UY133"/>
      <c r="UZ133"/>
      <c r="VA133"/>
      <c r="VB133"/>
      <c r="VC133"/>
      <c r="VD133"/>
      <c r="VE133"/>
      <c r="VF133"/>
      <c r="VG133"/>
      <c r="VH133"/>
      <c r="VI133"/>
      <c r="VJ133"/>
      <c r="VK133"/>
      <c r="VL133"/>
      <c r="VM133"/>
      <c r="VN133"/>
      <c r="VO133"/>
      <c r="VP133"/>
      <c r="VQ133"/>
      <c r="VR133"/>
      <c r="VS133"/>
      <c r="VT133"/>
      <c r="VU133"/>
      <c r="VV133"/>
      <c r="VW133"/>
      <c r="VX133"/>
      <c r="VY133"/>
      <c r="VZ133"/>
      <c r="WA133"/>
      <c r="WB133"/>
      <c r="WC133"/>
      <c r="WD133"/>
      <c r="WE133"/>
      <c r="WF133"/>
      <c r="WG133"/>
      <c r="WH133"/>
      <c r="WI133"/>
      <c r="WJ133"/>
      <c r="WK133"/>
      <c r="WL133"/>
      <c r="WM133"/>
      <c r="WN133"/>
      <c r="WO133"/>
      <c r="WP133"/>
      <c r="WQ133"/>
      <c r="WR133"/>
      <c r="WS133"/>
      <c r="WT133"/>
      <c r="WU133"/>
      <c r="WV133"/>
      <c r="WW133"/>
      <c r="WX133"/>
      <c r="WY133"/>
      <c r="WZ133"/>
      <c r="XA133"/>
      <c r="XB133"/>
      <c r="XC133"/>
      <c r="XD133"/>
      <c r="XE133"/>
      <c r="XF133"/>
      <c r="XG133"/>
      <c r="XH133"/>
      <c r="XI133"/>
      <c r="XJ133"/>
      <c r="XK133"/>
      <c r="XL133"/>
      <c r="XM133"/>
      <c r="XN133"/>
      <c r="XO133"/>
      <c r="XP133"/>
      <c r="XQ133"/>
      <c r="XR133"/>
      <c r="XS133"/>
      <c r="XT133"/>
      <c r="XU133"/>
      <c r="XV133"/>
      <c r="XW133"/>
      <c r="XX133"/>
      <c r="XY133"/>
      <c r="XZ133"/>
      <c r="YA133"/>
      <c r="YB133"/>
      <c r="YC133"/>
      <c r="YD133"/>
      <c r="YE133"/>
      <c r="YF133"/>
      <c r="YG133"/>
      <c r="YH133"/>
      <c r="YI133"/>
      <c r="YJ133"/>
      <c r="YK133"/>
      <c r="YL133"/>
      <c r="YM133"/>
      <c r="YN133"/>
      <c r="YO133"/>
      <c r="YP133"/>
      <c r="YQ133"/>
      <c r="YR133"/>
      <c r="YS133"/>
      <c r="YT133"/>
      <c r="YU133"/>
      <c r="YV133"/>
      <c r="YW133"/>
      <c r="YX133"/>
      <c r="YY133"/>
      <c r="YZ133"/>
      <c r="ZA133"/>
      <c r="ZB133"/>
      <c r="ZC133"/>
      <c r="ZD133"/>
      <c r="ZE133"/>
      <c r="ZF133"/>
      <c r="ZG133"/>
      <c r="ZH133"/>
      <c r="ZI133"/>
      <c r="ZJ133"/>
      <c r="ZK133"/>
      <c r="ZL133"/>
      <c r="ZM133"/>
      <c r="ZN133"/>
      <c r="ZO133"/>
      <c r="ZP133"/>
      <c r="ZQ133"/>
      <c r="ZR133"/>
      <c r="ZS133"/>
      <c r="ZT133"/>
      <c r="ZU133"/>
      <c r="ZV133"/>
      <c r="ZW133"/>
      <c r="ZX133"/>
      <c r="ZY133"/>
      <c r="ZZ133"/>
      <c r="AAA133"/>
      <c r="AAB133"/>
      <c r="AAC133"/>
      <c r="AAD133"/>
      <c r="AAE133"/>
      <c r="AAF133"/>
      <c r="AAG133"/>
      <c r="AAH133"/>
      <c r="AAI133"/>
      <c r="AAJ133"/>
      <c r="AAK133"/>
      <c r="AAL133"/>
      <c r="AAM133"/>
      <c r="AAN133"/>
      <c r="AAO133"/>
      <c r="AAP133"/>
      <c r="AAQ133"/>
      <c r="AAR133"/>
      <c r="AAS133"/>
      <c r="AAT133"/>
      <c r="AAU133"/>
      <c r="AAV133"/>
      <c r="AAW133"/>
      <c r="AAX133"/>
      <c r="AAY133"/>
      <c r="AAZ133"/>
      <c r="ABA133"/>
      <c r="ABB133"/>
      <c r="ABC133"/>
      <c r="ABD133"/>
      <c r="ABE133"/>
      <c r="ABF133"/>
      <c r="ABG133"/>
      <c r="ABH133"/>
      <c r="ABI133"/>
      <c r="ABJ133"/>
      <c r="ABK133"/>
      <c r="ABL133"/>
      <c r="ABM133"/>
      <c r="ABN133"/>
      <c r="ABO133"/>
      <c r="ABP133"/>
      <c r="ABQ133"/>
      <c r="ABR133"/>
      <c r="ABS133"/>
      <c r="ABT133"/>
      <c r="ABU133"/>
      <c r="ABV133"/>
      <c r="ABW133"/>
      <c r="ABX133"/>
      <c r="ABY133"/>
      <c r="ABZ133"/>
      <c r="ACA133"/>
      <c r="ACB133"/>
      <c r="ACC133"/>
      <c r="ACD133"/>
      <c r="ACE133"/>
      <c r="ACF133"/>
      <c r="ACG133"/>
      <c r="ACH133"/>
      <c r="ACI133"/>
      <c r="ACJ133"/>
      <c r="ACK133"/>
      <c r="ACL133"/>
      <c r="ACM133"/>
      <c r="ACN133"/>
      <c r="ACO133"/>
      <c r="ACP133"/>
      <c r="ACQ133"/>
      <c r="ACR133"/>
      <c r="ACS133"/>
      <c r="ACT133"/>
      <c r="ACU133"/>
      <c r="ACV133"/>
      <c r="ACW133"/>
      <c r="ACX133"/>
      <c r="ACY133"/>
      <c r="ACZ133"/>
      <c r="ADA133"/>
      <c r="ADB133"/>
      <c r="ADC133"/>
      <c r="ADD133"/>
      <c r="ADE133"/>
      <c r="ADF133"/>
      <c r="ADG133"/>
      <c r="ADH133"/>
      <c r="ADI133"/>
      <c r="ADJ133"/>
      <c r="ADK133"/>
      <c r="ADL133"/>
      <c r="ADM133"/>
      <c r="ADN133"/>
      <c r="ADO133"/>
      <c r="ADP133"/>
      <c r="ADQ133"/>
      <c r="ADR133"/>
      <c r="ADS133"/>
      <c r="ADT133"/>
      <c r="ADU133"/>
      <c r="ADV133"/>
      <c r="ADW133"/>
      <c r="ADX133"/>
      <c r="ADY133"/>
      <c r="ADZ133"/>
      <c r="AEA133"/>
      <c r="AEB133"/>
      <c r="AEC133"/>
      <c r="AED133"/>
      <c r="AEE133"/>
      <c r="AEF133"/>
      <c r="AEG133"/>
      <c r="AEH133"/>
      <c r="AEI133"/>
      <c r="AEJ133"/>
      <c r="AEK133"/>
      <c r="AEL133"/>
      <c r="AEM133"/>
      <c r="AEN133"/>
      <c r="AEO133"/>
      <c r="AEP133"/>
      <c r="AEQ133"/>
      <c r="AER133"/>
      <c r="AES133"/>
      <c r="AET133"/>
      <c r="AEU133"/>
      <c r="AEV133"/>
      <c r="AEW133"/>
      <c r="AEX133"/>
      <c r="AEY133"/>
      <c r="AEZ133"/>
      <c r="AFA133"/>
      <c r="AFB133"/>
      <c r="AFC133"/>
      <c r="AFD133"/>
      <c r="AFE133"/>
      <c r="AFF133"/>
      <c r="AFG133"/>
      <c r="AFH133"/>
      <c r="AFI133"/>
      <c r="AFJ133"/>
      <c r="AFK133"/>
      <c r="AFL133"/>
      <c r="AFM133"/>
      <c r="AFN133"/>
      <c r="AFO133"/>
      <c r="AFP133"/>
      <c r="AFQ133"/>
      <c r="AFR133"/>
      <c r="AFS133"/>
      <c r="AFT133"/>
      <c r="AFU133"/>
      <c r="AFV133"/>
      <c r="AFW133"/>
      <c r="AFX133"/>
      <c r="AFY133"/>
      <c r="AFZ133"/>
      <c r="AGA133"/>
      <c r="AGB133"/>
      <c r="AGC133"/>
      <c r="AGD133"/>
      <c r="AGE133"/>
      <c r="AGF133"/>
      <c r="AGG133"/>
      <c r="AGH133"/>
      <c r="AGI133"/>
      <c r="AGJ133"/>
      <c r="AGK133"/>
      <c r="AGL133"/>
      <c r="AGM133"/>
      <c r="AGN133"/>
      <c r="AGO133"/>
      <c r="AGP133"/>
      <c r="AGQ133"/>
      <c r="AGR133"/>
      <c r="AGS133"/>
      <c r="AGT133"/>
      <c r="AGU133"/>
      <c r="AGV133"/>
      <c r="AGW133"/>
      <c r="AGX133"/>
      <c r="AGY133"/>
      <c r="AGZ133"/>
      <c r="AHA133"/>
      <c r="AHB133"/>
      <c r="AHC133"/>
      <c r="AHD133"/>
      <c r="AHE133"/>
      <c r="AHF133"/>
      <c r="AHG133"/>
      <c r="AHH133"/>
      <c r="AHI133"/>
      <c r="AHJ133"/>
      <c r="AHK133"/>
      <c r="AHL133"/>
      <c r="AHM133"/>
      <c r="AHN133"/>
      <c r="AHO133"/>
      <c r="AHP133"/>
      <c r="AHQ133"/>
      <c r="AHR133"/>
      <c r="AHS133"/>
      <c r="AHT133"/>
      <c r="AHU133"/>
      <c r="AHV133"/>
      <c r="AHW133"/>
      <c r="AHX133"/>
      <c r="AHY133"/>
      <c r="AHZ133"/>
      <c r="AIA133"/>
      <c r="AIB133"/>
      <c r="AIC133"/>
      <c r="AID133"/>
      <c r="AIE133"/>
      <c r="AIF133"/>
      <c r="AIG133"/>
      <c r="AIH133"/>
      <c r="AII133"/>
      <c r="AIJ133"/>
      <c r="AIK133"/>
      <c r="AIL133"/>
      <c r="AIM133"/>
      <c r="AIN133"/>
      <c r="AIO133"/>
      <c r="AIP133"/>
      <c r="AIQ133"/>
      <c r="AIR133"/>
      <c r="AIS133"/>
      <c r="AIT133"/>
      <c r="AIU133"/>
      <c r="AIV133"/>
      <c r="AIW133"/>
      <c r="AIX133"/>
      <c r="AIY133"/>
      <c r="AIZ133"/>
      <c r="AJA133"/>
      <c r="AJB133"/>
      <c r="AJC133"/>
      <c r="AJD133"/>
      <c r="AJE133"/>
      <c r="AJF133"/>
      <c r="AJG133"/>
      <c r="AJH133"/>
      <c r="AJI133"/>
      <c r="AJJ133"/>
      <c r="AJK133"/>
      <c r="AJL133"/>
      <c r="AJM133"/>
      <c r="AJN133"/>
      <c r="AJO133"/>
      <c r="AJP133"/>
      <c r="AJQ133"/>
      <c r="AJR133"/>
      <c r="AJS133"/>
      <c r="AJT133"/>
      <c r="AJU133"/>
      <c r="AJV133"/>
      <c r="AJW133"/>
      <c r="AJX133"/>
      <c r="AJY133"/>
      <c r="AJZ133"/>
      <c r="AKA133"/>
      <c r="AKB133"/>
      <c r="AKC133"/>
      <c r="AKD133"/>
      <c r="AKE133"/>
      <c r="AKF133"/>
      <c r="AKG133"/>
      <c r="AKH133"/>
      <c r="AKI133"/>
      <c r="AKJ133"/>
      <c r="AKK133"/>
      <c r="AKL133"/>
      <c r="AKM133"/>
      <c r="AKN133"/>
      <c r="AKO133"/>
      <c r="AKP133"/>
      <c r="AKQ133"/>
      <c r="AKR133"/>
      <c r="AKS133"/>
      <c r="AKT133"/>
      <c r="AKU133"/>
      <c r="AKV133"/>
      <c r="AKW133"/>
      <c r="AKX133"/>
      <c r="AKY133"/>
      <c r="AKZ133"/>
      <c r="ALA133"/>
      <c r="ALB133"/>
      <c r="ALC133"/>
      <c r="ALD133"/>
      <c r="ALE133"/>
      <c r="ALF133"/>
      <c r="ALG133"/>
      <c r="ALH133"/>
      <c r="ALI133"/>
      <c r="ALJ133"/>
      <c r="ALK133"/>
      <c r="ALL133"/>
      <c r="ALM133"/>
      <c r="ALN133"/>
      <c r="ALO133"/>
      <c r="ALP133"/>
      <c r="ALQ133"/>
      <c r="ALR133"/>
      <c r="ALS133"/>
      <c r="ALT133"/>
      <c r="ALU133"/>
      <c r="ALV133"/>
      <c r="ALW133"/>
      <c r="ALX133"/>
      <c r="ALY133"/>
      <c r="ALZ133"/>
      <c r="AMA133"/>
      <c r="AMB133"/>
      <c r="AMC133"/>
      <c r="AMD133"/>
      <c r="AME133"/>
      <c r="AMG133"/>
      <c r="AMH133"/>
      <c r="AMI133"/>
      <c r="AMJ133"/>
      <c r="AMK133"/>
    </row>
    <row r="134" spans="1:1025" x14ac:dyDescent="0.2">
      <c r="A134" s="54"/>
      <c r="B134" s="55"/>
      <c r="C134" s="55"/>
      <c r="D134" s="55"/>
      <c r="E134" s="55"/>
      <c r="F134" s="55"/>
      <c r="G134" s="55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  <c r="OF134"/>
      <c r="OG134"/>
      <c r="OH134"/>
      <c r="OI134"/>
      <c r="OJ134"/>
      <c r="OK134"/>
      <c r="OL134"/>
      <c r="OM134"/>
      <c r="ON134"/>
      <c r="OO134"/>
      <c r="OP134"/>
      <c r="OQ134"/>
      <c r="OR134"/>
      <c r="OS134"/>
      <c r="OT134"/>
      <c r="OU134"/>
      <c r="OV134"/>
      <c r="OW134"/>
      <c r="OX134"/>
      <c r="OY134"/>
      <c r="OZ134"/>
      <c r="PA134"/>
      <c r="PB134"/>
      <c r="PC134"/>
      <c r="PD134"/>
      <c r="PE134"/>
      <c r="PF134"/>
      <c r="PG134"/>
      <c r="PH134"/>
      <c r="PI134"/>
      <c r="PJ134"/>
      <c r="PK134"/>
      <c r="PL134"/>
      <c r="PM134"/>
      <c r="PN134"/>
      <c r="PO134"/>
      <c r="PP134"/>
      <c r="PQ134"/>
      <c r="PR134"/>
      <c r="PS134"/>
      <c r="PT134"/>
      <c r="PU134"/>
      <c r="PV134"/>
      <c r="PW134"/>
      <c r="PX134"/>
      <c r="PY134"/>
      <c r="PZ134"/>
      <c r="QA134"/>
      <c r="QB134"/>
      <c r="QC134"/>
      <c r="QD134"/>
      <c r="QE134"/>
      <c r="QF134"/>
      <c r="QG134"/>
      <c r="QH134"/>
      <c r="QI134"/>
      <c r="QJ134"/>
      <c r="QK134"/>
      <c r="QL134"/>
      <c r="QM134"/>
      <c r="QN134"/>
      <c r="QO134"/>
      <c r="QP134"/>
      <c r="QQ134"/>
      <c r="QR134"/>
      <c r="QS134"/>
      <c r="QT134"/>
      <c r="QU134"/>
      <c r="QV134"/>
      <c r="QW134"/>
      <c r="QX134"/>
      <c r="QY134"/>
      <c r="QZ134"/>
      <c r="RA134"/>
      <c r="RB134"/>
      <c r="RC134"/>
      <c r="RD134"/>
      <c r="RE134"/>
      <c r="RF134"/>
      <c r="RG134"/>
      <c r="RH134"/>
      <c r="RI134"/>
      <c r="RJ134"/>
      <c r="RK134"/>
      <c r="RL134"/>
      <c r="RM134"/>
      <c r="RN134"/>
      <c r="RO134"/>
      <c r="RP134"/>
      <c r="RQ134"/>
      <c r="RR134"/>
      <c r="RS134"/>
      <c r="RT134"/>
      <c r="RU134"/>
      <c r="RV134"/>
      <c r="RW134"/>
      <c r="RX134"/>
      <c r="RY134"/>
      <c r="RZ134"/>
      <c r="SA134"/>
      <c r="SB134"/>
      <c r="SC134"/>
      <c r="SD134"/>
      <c r="SE134"/>
      <c r="SF134"/>
      <c r="SG134"/>
      <c r="SH134"/>
      <c r="SI134"/>
      <c r="SJ134"/>
      <c r="SK134"/>
      <c r="SL134"/>
      <c r="SM134"/>
      <c r="SN134"/>
      <c r="SO134"/>
      <c r="SP134"/>
      <c r="SQ134"/>
      <c r="SR134"/>
      <c r="SS134"/>
      <c r="ST134"/>
      <c r="SU134"/>
      <c r="SV134"/>
      <c r="SW134"/>
      <c r="SX134"/>
      <c r="SY134"/>
      <c r="SZ134"/>
      <c r="TA134"/>
      <c r="TB134"/>
      <c r="TC134"/>
      <c r="TD134"/>
      <c r="TE134"/>
      <c r="TF134"/>
      <c r="TG134"/>
      <c r="TH134"/>
      <c r="TI134"/>
      <c r="TJ134"/>
      <c r="TK134"/>
      <c r="TL134"/>
      <c r="TM134"/>
      <c r="TN134"/>
      <c r="TO134"/>
      <c r="TP134"/>
      <c r="TQ134"/>
      <c r="TR134"/>
      <c r="TS134"/>
      <c r="TT134"/>
      <c r="TU134"/>
      <c r="TV134"/>
      <c r="TW134"/>
      <c r="TX134"/>
      <c r="TY134"/>
      <c r="TZ134"/>
      <c r="UA134"/>
      <c r="UB134"/>
      <c r="UC134"/>
      <c r="UD134"/>
      <c r="UE134"/>
      <c r="UF134"/>
      <c r="UG134"/>
      <c r="UH134"/>
      <c r="UI134"/>
      <c r="UJ134"/>
      <c r="UK134"/>
      <c r="UL134"/>
      <c r="UM134"/>
      <c r="UN134"/>
      <c r="UO134"/>
      <c r="UP134"/>
      <c r="UQ134"/>
      <c r="UR134"/>
      <c r="US134"/>
      <c r="UT134"/>
      <c r="UU134"/>
      <c r="UV134"/>
      <c r="UW134"/>
      <c r="UX134"/>
      <c r="UY134"/>
      <c r="UZ134"/>
      <c r="VA134"/>
      <c r="VB134"/>
      <c r="VC134"/>
      <c r="VD134"/>
      <c r="VE134"/>
      <c r="VF134"/>
      <c r="VG134"/>
      <c r="VH134"/>
      <c r="VI134"/>
      <c r="VJ134"/>
      <c r="VK134"/>
      <c r="VL134"/>
      <c r="VM134"/>
      <c r="VN134"/>
      <c r="VO134"/>
      <c r="VP134"/>
      <c r="VQ134"/>
      <c r="VR134"/>
      <c r="VS134"/>
      <c r="VT134"/>
      <c r="VU134"/>
      <c r="VV134"/>
      <c r="VW134"/>
      <c r="VX134"/>
      <c r="VY134"/>
      <c r="VZ134"/>
      <c r="WA134"/>
      <c r="WB134"/>
      <c r="WC134"/>
      <c r="WD134"/>
      <c r="WE134"/>
      <c r="WF134"/>
      <c r="WG134"/>
      <c r="WH134"/>
      <c r="WI134"/>
      <c r="WJ134"/>
      <c r="WK134"/>
      <c r="WL134"/>
      <c r="WM134"/>
      <c r="WN134"/>
      <c r="WO134"/>
      <c r="WP134"/>
      <c r="WQ134"/>
      <c r="WR134"/>
      <c r="WS134"/>
      <c r="WT134"/>
      <c r="WU134"/>
      <c r="WV134"/>
      <c r="WW134"/>
      <c r="WX134"/>
      <c r="WY134"/>
      <c r="WZ134"/>
      <c r="XA134"/>
      <c r="XB134"/>
      <c r="XC134"/>
      <c r="XD134"/>
      <c r="XE134"/>
      <c r="XF134"/>
      <c r="XG134"/>
      <c r="XH134"/>
      <c r="XI134"/>
      <c r="XJ134"/>
      <c r="XK134"/>
      <c r="XL134"/>
      <c r="XM134"/>
      <c r="XN134"/>
      <c r="XO134"/>
      <c r="XP134"/>
      <c r="XQ134"/>
      <c r="XR134"/>
      <c r="XS134"/>
      <c r="XT134"/>
      <c r="XU134"/>
      <c r="XV134"/>
      <c r="XW134"/>
      <c r="XX134"/>
      <c r="XY134"/>
      <c r="XZ134"/>
      <c r="YA134"/>
      <c r="YB134"/>
      <c r="YC134"/>
      <c r="YD134"/>
      <c r="YE134"/>
      <c r="YF134"/>
      <c r="YG134"/>
      <c r="YH134"/>
      <c r="YI134"/>
      <c r="YJ134"/>
      <c r="YK134"/>
      <c r="YL134"/>
      <c r="YM134"/>
      <c r="YN134"/>
      <c r="YO134"/>
      <c r="YP134"/>
      <c r="YQ134"/>
      <c r="YR134"/>
      <c r="YS134"/>
      <c r="YT134"/>
      <c r="YU134"/>
      <c r="YV134"/>
      <c r="YW134"/>
      <c r="YX134"/>
      <c r="YY134"/>
      <c r="YZ134"/>
      <c r="ZA134"/>
      <c r="ZB134"/>
      <c r="ZC134"/>
      <c r="ZD134"/>
      <c r="ZE134"/>
      <c r="ZF134"/>
      <c r="ZG134"/>
      <c r="ZH134"/>
      <c r="ZI134"/>
      <c r="ZJ134"/>
      <c r="ZK134"/>
      <c r="ZL134"/>
      <c r="ZM134"/>
      <c r="ZN134"/>
      <c r="ZO134"/>
      <c r="ZP134"/>
      <c r="ZQ134"/>
      <c r="ZR134"/>
      <c r="ZS134"/>
      <c r="ZT134"/>
      <c r="ZU134"/>
      <c r="ZV134"/>
      <c r="ZW134"/>
      <c r="ZX134"/>
      <c r="ZY134"/>
      <c r="ZZ134"/>
      <c r="AAA134"/>
      <c r="AAB134"/>
      <c r="AAC134"/>
      <c r="AAD134"/>
      <c r="AAE134"/>
      <c r="AAF134"/>
      <c r="AAG134"/>
      <c r="AAH134"/>
      <c r="AAI134"/>
      <c r="AAJ134"/>
      <c r="AAK134"/>
      <c r="AAL134"/>
      <c r="AAM134"/>
      <c r="AAN134"/>
      <c r="AAO134"/>
      <c r="AAP134"/>
      <c r="AAQ134"/>
      <c r="AAR134"/>
      <c r="AAS134"/>
      <c r="AAT134"/>
      <c r="AAU134"/>
      <c r="AAV134"/>
      <c r="AAW134"/>
      <c r="AAX134"/>
      <c r="AAY134"/>
      <c r="AAZ134"/>
      <c r="ABA134"/>
      <c r="ABB134"/>
      <c r="ABC134"/>
      <c r="ABD134"/>
      <c r="ABE134"/>
      <c r="ABF134"/>
      <c r="ABG134"/>
      <c r="ABH134"/>
      <c r="ABI134"/>
      <c r="ABJ134"/>
      <c r="ABK134"/>
      <c r="ABL134"/>
      <c r="ABM134"/>
      <c r="ABN134"/>
      <c r="ABO134"/>
      <c r="ABP134"/>
      <c r="ABQ134"/>
      <c r="ABR134"/>
      <c r="ABS134"/>
      <c r="ABT134"/>
      <c r="ABU134"/>
      <c r="ABV134"/>
      <c r="ABW134"/>
      <c r="ABX134"/>
      <c r="ABY134"/>
      <c r="ABZ134"/>
      <c r="ACA134"/>
      <c r="ACB134"/>
      <c r="ACC134"/>
      <c r="ACD134"/>
      <c r="ACE134"/>
      <c r="ACF134"/>
      <c r="ACG134"/>
      <c r="ACH134"/>
      <c r="ACI134"/>
      <c r="ACJ134"/>
      <c r="ACK134"/>
      <c r="ACL134"/>
      <c r="ACM134"/>
      <c r="ACN134"/>
      <c r="ACO134"/>
      <c r="ACP134"/>
      <c r="ACQ134"/>
      <c r="ACR134"/>
      <c r="ACS134"/>
      <c r="ACT134"/>
      <c r="ACU134"/>
      <c r="ACV134"/>
      <c r="ACW134"/>
      <c r="ACX134"/>
      <c r="ACY134"/>
      <c r="ACZ134"/>
      <c r="ADA134"/>
      <c r="ADB134"/>
      <c r="ADC134"/>
      <c r="ADD134"/>
      <c r="ADE134"/>
      <c r="ADF134"/>
      <c r="ADG134"/>
      <c r="ADH134"/>
      <c r="ADI134"/>
      <c r="ADJ134"/>
      <c r="ADK134"/>
      <c r="ADL134"/>
      <c r="ADM134"/>
      <c r="ADN134"/>
      <c r="ADO134"/>
      <c r="ADP134"/>
      <c r="ADQ134"/>
      <c r="ADR134"/>
      <c r="ADS134"/>
      <c r="ADT134"/>
      <c r="ADU134"/>
      <c r="ADV134"/>
      <c r="ADW134"/>
      <c r="ADX134"/>
      <c r="ADY134"/>
      <c r="ADZ134"/>
      <c r="AEA134"/>
      <c r="AEB134"/>
      <c r="AEC134"/>
      <c r="AED134"/>
      <c r="AEE134"/>
      <c r="AEF134"/>
      <c r="AEG134"/>
      <c r="AEH134"/>
      <c r="AEI134"/>
      <c r="AEJ134"/>
      <c r="AEK134"/>
      <c r="AEL134"/>
      <c r="AEM134"/>
      <c r="AEN134"/>
      <c r="AEO134"/>
      <c r="AEP134"/>
      <c r="AEQ134"/>
      <c r="AER134"/>
      <c r="AES134"/>
      <c r="AET134"/>
      <c r="AEU134"/>
      <c r="AEV134"/>
      <c r="AEW134"/>
      <c r="AEX134"/>
      <c r="AEY134"/>
      <c r="AEZ134"/>
      <c r="AFA134"/>
      <c r="AFB134"/>
      <c r="AFC134"/>
      <c r="AFD134"/>
      <c r="AFE134"/>
      <c r="AFF134"/>
      <c r="AFG134"/>
      <c r="AFH134"/>
      <c r="AFI134"/>
      <c r="AFJ134"/>
      <c r="AFK134"/>
      <c r="AFL134"/>
      <c r="AFM134"/>
      <c r="AFN134"/>
      <c r="AFO134"/>
      <c r="AFP134"/>
      <c r="AFQ134"/>
      <c r="AFR134"/>
      <c r="AFS134"/>
      <c r="AFT134"/>
      <c r="AFU134"/>
      <c r="AFV134"/>
      <c r="AFW134"/>
      <c r="AFX134"/>
      <c r="AFY134"/>
      <c r="AFZ134"/>
      <c r="AGA134"/>
      <c r="AGB134"/>
      <c r="AGC134"/>
      <c r="AGD134"/>
      <c r="AGE134"/>
      <c r="AGF134"/>
      <c r="AGG134"/>
      <c r="AGH134"/>
      <c r="AGI134"/>
      <c r="AGJ134"/>
      <c r="AGK134"/>
      <c r="AGL134"/>
      <c r="AGM134"/>
      <c r="AGN134"/>
      <c r="AGO134"/>
      <c r="AGP134"/>
      <c r="AGQ134"/>
      <c r="AGR134"/>
      <c r="AGS134"/>
      <c r="AGT134"/>
      <c r="AGU134"/>
      <c r="AGV134"/>
      <c r="AGW134"/>
      <c r="AGX134"/>
      <c r="AGY134"/>
      <c r="AGZ134"/>
      <c r="AHA134"/>
      <c r="AHB134"/>
      <c r="AHC134"/>
      <c r="AHD134"/>
      <c r="AHE134"/>
      <c r="AHF134"/>
      <c r="AHG134"/>
      <c r="AHH134"/>
      <c r="AHI134"/>
      <c r="AHJ134"/>
      <c r="AHK134"/>
      <c r="AHL134"/>
      <c r="AHM134"/>
      <c r="AHN134"/>
      <c r="AHO134"/>
      <c r="AHP134"/>
      <c r="AHQ134"/>
      <c r="AHR134"/>
      <c r="AHS134"/>
      <c r="AHT134"/>
      <c r="AHU134"/>
      <c r="AHV134"/>
      <c r="AHW134"/>
      <c r="AHX134"/>
      <c r="AHY134"/>
      <c r="AHZ134"/>
      <c r="AIA134"/>
      <c r="AIB134"/>
      <c r="AIC134"/>
      <c r="AID134"/>
      <c r="AIE134"/>
      <c r="AIF134"/>
      <c r="AIG134"/>
      <c r="AIH134"/>
      <c r="AII134"/>
      <c r="AIJ134"/>
      <c r="AIK134"/>
      <c r="AIL134"/>
      <c r="AIM134"/>
      <c r="AIN134"/>
      <c r="AIO134"/>
      <c r="AIP134"/>
      <c r="AIQ134"/>
      <c r="AIR134"/>
      <c r="AIS134"/>
      <c r="AIT134"/>
      <c r="AIU134"/>
      <c r="AIV134"/>
      <c r="AIW134"/>
      <c r="AIX134"/>
      <c r="AIY134"/>
      <c r="AIZ134"/>
      <c r="AJA134"/>
      <c r="AJB134"/>
      <c r="AJC134"/>
      <c r="AJD134"/>
      <c r="AJE134"/>
      <c r="AJF134"/>
      <c r="AJG134"/>
      <c r="AJH134"/>
      <c r="AJI134"/>
      <c r="AJJ134"/>
      <c r="AJK134"/>
      <c r="AJL134"/>
      <c r="AJM134"/>
      <c r="AJN134"/>
      <c r="AJO134"/>
      <c r="AJP134"/>
      <c r="AJQ134"/>
      <c r="AJR134"/>
      <c r="AJS134"/>
      <c r="AJT134"/>
      <c r="AJU134"/>
      <c r="AJV134"/>
      <c r="AJW134"/>
      <c r="AJX134"/>
      <c r="AJY134"/>
      <c r="AJZ134"/>
      <c r="AKA134"/>
      <c r="AKB134"/>
      <c r="AKC134"/>
      <c r="AKD134"/>
      <c r="AKE134"/>
      <c r="AKF134"/>
      <c r="AKG134"/>
      <c r="AKH134"/>
      <c r="AKI134"/>
      <c r="AKJ134"/>
      <c r="AKK134"/>
      <c r="AKL134"/>
      <c r="AKM134"/>
      <c r="AKN134"/>
      <c r="AKO134"/>
      <c r="AKP134"/>
      <c r="AKQ134"/>
      <c r="AKR134"/>
      <c r="AKS134"/>
      <c r="AKT134"/>
      <c r="AKU134"/>
      <c r="AKV134"/>
      <c r="AKW134"/>
      <c r="AKX134"/>
      <c r="AKY134"/>
      <c r="AKZ134"/>
      <c r="ALA134"/>
      <c r="ALB134"/>
      <c r="ALC134"/>
      <c r="ALD134"/>
      <c r="ALE134"/>
      <c r="ALF134"/>
      <c r="ALG134"/>
      <c r="ALH134"/>
      <c r="ALI134"/>
      <c r="ALJ134"/>
      <c r="ALK134"/>
      <c r="ALL134"/>
      <c r="ALM134"/>
      <c r="ALN134"/>
      <c r="ALO134"/>
      <c r="ALP134"/>
      <c r="ALQ134"/>
      <c r="ALR134"/>
      <c r="ALS134"/>
      <c r="ALT134"/>
      <c r="ALU134"/>
      <c r="ALV134"/>
      <c r="ALW134"/>
      <c r="ALX134"/>
      <c r="ALY134"/>
      <c r="ALZ134"/>
      <c r="AMA134"/>
      <c r="AMB134"/>
      <c r="AMC134"/>
      <c r="AMD134"/>
      <c r="AME134"/>
      <c r="AMG134"/>
      <c r="AMH134"/>
      <c r="AMI134"/>
      <c r="AMJ134"/>
      <c r="AMK134"/>
    </row>
    <row r="135" spans="1:1025" ht="12.75" customHeight="1" x14ac:dyDescent="0.2">
      <c r="A135" s="903" t="s">
        <v>320</v>
      </c>
      <c r="B135" s="903"/>
      <c r="C135" s="903"/>
      <c r="D135" s="903"/>
      <c r="E135" s="903"/>
      <c r="F135" s="903"/>
      <c r="G135" s="5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  <c r="XY135"/>
      <c r="XZ135"/>
      <c r="YA135"/>
      <c r="YB135"/>
      <c r="YC135"/>
      <c r="YD135"/>
      <c r="YE135"/>
      <c r="YF135"/>
      <c r="YG135"/>
      <c r="YH135"/>
      <c r="YI135"/>
      <c r="YJ135"/>
      <c r="YK135"/>
      <c r="YL135"/>
      <c r="YM135"/>
      <c r="YN135"/>
      <c r="YO135"/>
      <c r="YP135"/>
      <c r="YQ135"/>
      <c r="YR135"/>
      <c r="YS135"/>
      <c r="YT135"/>
      <c r="YU135"/>
      <c r="YV135"/>
      <c r="YW135"/>
      <c r="YX135"/>
      <c r="YY135"/>
      <c r="YZ135"/>
      <c r="ZA135"/>
      <c r="ZB135"/>
      <c r="ZC135"/>
      <c r="ZD135"/>
      <c r="ZE135"/>
      <c r="ZF135"/>
      <c r="ZG135"/>
      <c r="ZH135"/>
      <c r="ZI135"/>
      <c r="ZJ135"/>
      <c r="ZK135"/>
      <c r="ZL135"/>
      <c r="ZM135"/>
      <c r="ZN135"/>
      <c r="ZO135"/>
      <c r="ZP135"/>
      <c r="ZQ135"/>
      <c r="ZR135"/>
      <c r="ZS135"/>
      <c r="ZT135"/>
      <c r="ZU135"/>
      <c r="ZV135"/>
      <c r="ZW135"/>
      <c r="ZX135"/>
      <c r="ZY135"/>
      <c r="ZZ135"/>
      <c r="AAA135"/>
      <c r="AAB135"/>
      <c r="AAC135"/>
      <c r="AAD135"/>
      <c r="AAE135"/>
      <c r="AAF135"/>
      <c r="AAG135"/>
      <c r="AAH135"/>
      <c r="AAI135"/>
      <c r="AAJ135"/>
      <c r="AAK135"/>
      <c r="AAL135"/>
      <c r="AAM135"/>
      <c r="AAN135"/>
      <c r="AAO135"/>
      <c r="AAP135"/>
      <c r="AAQ135"/>
      <c r="AAR135"/>
      <c r="AAS135"/>
      <c r="AAT135"/>
      <c r="AAU135"/>
      <c r="AAV135"/>
      <c r="AAW135"/>
      <c r="AAX135"/>
      <c r="AAY135"/>
      <c r="AAZ135"/>
      <c r="ABA135"/>
      <c r="ABB135"/>
      <c r="ABC135"/>
      <c r="ABD135"/>
      <c r="ABE135"/>
      <c r="ABF135"/>
      <c r="ABG135"/>
      <c r="ABH135"/>
      <c r="ABI135"/>
      <c r="ABJ135"/>
      <c r="ABK135"/>
      <c r="ABL135"/>
      <c r="ABM135"/>
      <c r="ABN135"/>
      <c r="ABO135"/>
      <c r="ABP135"/>
      <c r="ABQ135"/>
      <c r="ABR135"/>
      <c r="ABS135"/>
      <c r="ABT135"/>
      <c r="ABU135"/>
      <c r="ABV135"/>
      <c r="ABW135"/>
      <c r="ABX135"/>
      <c r="ABY135"/>
      <c r="ABZ135"/>
      <c r="ACA135"/>
      <c r="ACB135"/>
      <c r="ACC135"/>
      <c r="ACD135"/>
      <c r="ACE135"/>
      <c r="ACF135"/>
      <c r="ACG135"/>
      <c r="ACH135"/>
      <c r="ACI135"/>
      <c r="ACJ135"/>
      <c r="ACK135"/>
      <c r="ACL135"/>
      <c r="ACM135"/>
      <c r="ACN135"/>
      <c r="ACO135"/>
      <c r="ACP135"/>
      <c r="ACQ135"/>
      <c r="ACR135"/>
      <c r="ACS135"/>
      <c r="ACT135"/>
      <c r="ACU135"/>
      <c r="ACV135"/>
      <c r="ACW135"/>
      <c r="ACX135"/>
      <c r="ACY135"/>
      <c r="ACZ135"/>
      <c r="ADA135"/>
      <c r="ADB135"/>
      <c r="ADC135"/>
      <c r="ADD135"/>
      <c r="ADE135"/>
      <c r="ADF135"/>
      <c r="ADG135"/>
      <c r="ADH135"/>
      <c r="ADI135"/>
      <c r="ADJ135"/>
      <c r="ADK135"/>
      <c r="ADL135"/>
      <c r="ADM135"/>
      <c r="ADN135"/>
      <c r="ADO135"/>
      <c r="ADP135"/>
      <c r="ADQ135"/>
      <c r="ADR135"/>
      <c r="ADS135"/>
      <c r="ADT135"/>
      <c r="ADU135"/>
      <c r="ADV135"/>
      <c r="ADW135"/>
      <c r="ADX135"/>
      <c r="ADY135"/>
      <c r="ADZ135"/>
      <c r="AEA135"/>
      <c r="AEB135"/>
      <c r="AEC135"/>
      <c r="AED135"/>
      <c r="AEE135"/>
      <c r="AEF135"/>
      <c r="AEG135"/>
      <c r="AEH135"/>
      <c r="AEI135"/>
      <c r="AEJ135"/>
      <c r="AEK135"/>
      <c r="AEL135"/>
      <c r="AEM135"/>
      <c r="AEN135"/>
      <c r="AEO135"/>
      <c r="AEP135"/>
      <c r="AEQ135"/>
      <c r="AER135"/>
      <c r="AES135"/>
      <c r="AET135"/>
      <c r="AEU135"/>
      <c r="AEV135"/>
      <c r="AEW135"/>
      <c r="AEX135"/>
      <c r="AEY135"/>
      <c r="AEZ135"/>
      <c r="AFA135"/>
      <c r="AFB135"/>
      <c r="AFC135"/>
      <c r="AFD135"/>
      <c r="AFE135"/>
      <c r="AFF135"/>
      <c r="AFG135"/>
      <c r="AFH135"/>
      <c r="AFI135"/>
      <c r="AFJ135"/>
      <c r="AFK135"/>
      <c r="AFL135"/>
      <c r="AFM135"/>
      <c r="AFN135"/>
      <c r="AFO135"/>
      <c r="AFP135"/>
      <c r="AFQ135"/>
      <c r="AFR135"/>
      <c r="AFS135"/>
      <c r="AFT135"/>
      <c r="AFU135"/>
      <c r="AFV135"/>
      <c r="AFW135"/>
      <c r="AFX135"/>
      <c r="AFY135"/>
      <c r="AFZ135"/>
      <c r="AGA135"/>
      <c r="AGB135"/>
      <c r="AGC135"/>
      <c r="AGD135"/>
      <c r="AGE135"/>
      <c r="AGF135"/>
      <c r="AGG135"/>
      <c r="AGH135"/>
      <c r="AGI135"/>
      <c r="AGJ135"/>
      <c r="AGK135"/>
      <c r="AGL135"/>
      <c r="AGM135"/>
      <c r="AGN135"/>
      <c r="AGO135"/>
      <c r="AGP135"/>
      <c r="AGQ135"/>
      <c r="AGR135"/>
      <c r="AGS135"/>
      <c r="AGT135"/>
      <c r="AGU135"/>
      <c r="AGV135"/>
      <c r="AGW135"/>
      <c r="AGX135"/>
      <c r="AGY135"/>
      <c r="AGZ135"/>
      <c r="AHA135"/>
      <c r="AHB135"/>
      <c r="AHC135"/>
      <c r="AHD135"/>
      <c r="AHE135"/>
      <c r="AHF135"/>
      <c r="AHG135"/>
      <c r="AHH135"/>
      <c r="AHI135"/>
      <c r="AHJ135"/>
      <c r="AHK135"/>
      <c r="AHL135"/>
      <c r="AHM135"/>
      <c r="AHN135"/>
      <c r="AHO135"/>
      <c r="AHP135"/>
      <c r="AHQ135"/>
      <c r="AHR135"/>
      <c r="AHS135"/>
      <c r="AHT135"/>
      <c r="AHU135"/>
      <c r="AHV135"/>
      <c r="AHW135"/>
      <c r="AHX135"/>
      <c r="AHY135"/>
      <c r="AHZ135"/>
      <c r="AIA135"/>
      <c r="AIB135"/>
      <c r="AIC135"/>
      <c r="AID135"/>
      <c r="AIE135"/>
      <c r="AIF135"/>
      <c r="AIG135"/>
      <c r="AIH135"/>
      <c r="AII135"/>
      <c r="AIJ135"/>
      <c r="AIK135"/>
      <c r="AIL135"/>
      <c r="AIM135"/>
      <c r="AIN135"/>
      <c r="AIO135"/>
      <c r="AIP135"/>
      <c r="AIQ135"/>
      <c r="AIR135"/>
      <c r="AIS135"/>
      <c r="AIT135"/>
      <c r="AIU135"/>
      <c r="AIV135"/>
      <c r="AIW135"/>
      <c r="AIX135"/>
      <c r="AIY135"/>
      <c r="AIZ135"/>
      <c r="AJA135"/>
      <c r="AJB135"/>
      <c r="AJC135"/>
      <c r="AJD135"/>
      <c r="AJE135"/>
      <c r="AJF135"/>
      <c r="AJG135"/>
      <c r="AJH135"/>
      <c r="AJI135"/>
      <c r="AJJ135"/>
      <c r="AJK135"/>
      <c r="AJL135"/>
      <c r="AJM135"/>
      <c r="AJN135"/>
      <c r="AJO135"/>
      <c r="AJP135"/>
      <c r="AJQ135"/>
      <c r="AJR135"/>
      <c r="AJS135"/>
      <c r="AJT135"/>
      <c r="AJU135"/>
      <c r="AJV135"/>
      <c r="AJW135"/>
      <c r="AJX135"/>
      <c r="AJY135"/>
      <c r="AJZ135"/>
      <c r="AKA135"/>
      <c r="AKB135"/>
      <c r="AKC135"/>
      <c r="AKD135"/>
      <c r="AKE135"/>
      <c r="AKF135"/>
      <c r="AKG135"/>
      <c r="AKH135"/>
      <c r="AKI135"/>
      <c r="AKJ135"/>
      <c r="AKK135"/>
      <c r="AKL135"/>
      <c r="AKM135"/>
      <c r="AKN135"/>
      <c r="AKO135"/>
      <c r="AKP135"/>
      <c r="AKQ135"/>
      <c r="AKR135"/>
      <c r="AKS135"/>
      <c r="AKT135"/>
      <c r="AKU135"/>
      <c r="AKV135"/>
      <c r="AKW135"/>
      <c r="AKX135"/>
      <c r="AKY135"/>
      <c r="AKZ135"/>
      <c r="ALA135"/>
      <c r="ALB135"/>
      <c r="ALC135"/>
      <c r="ALD135"/>
      <c r="ALE135"/>
      <c r="ALF135"/>
      <c r="ALG135"/>
      <c r="ALH135"/>
      <c r="ALI135"/>
      <c r="ALJ135"/>
      <c r="ALK135"/>
      <c r="ALL135"/>
      <c r="ALM135"/>
      <c r="ALN135"/>
      <c r="ALO135"/>
      <c r="ALP135"/>
      <c r="ALQ135"/>
      <c r="ALR135"/>
      <c r="ALS135"/>
      <c r="ALT135"/>
      <c r="ALU135"/>
      <c r="ALV135"/>
      <c r="ALW135"/>
      <c r="ALX135"/>
      <c r="ALY135"/>
      <c r="ALZ135"/>
      <c r="AMA135"/>
      <c r="AMB135"/>
      <c r="AMC135"/>
      <c r="AMD135"/>
      <c r="AME135"/>
      <c r="AMG135"/>
      <c r="AMH135"/>
      <c r="AMI135"/>
      <c r="AMJ135"/>
      <c r="AMK135"/>
    </row>
    <row r="136" spans="1:1025" ht="12.75" customHeight="1" x14ac:dyDescent="0.2">
      <c r="A136" s="82" t="s">
        <v>308</v>
      </c>
      <c r="B136" s="886" t="s">
        <v>321</v>
      </c>
      <c r="C136" s="886"/>
      <c r="D136" s="886"/>
      <c r="E136" s="886"/>
      <c r="F136" s="886"/>
      <c r="G136" s="55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  <c r="ABW136"/>
      <c r="ABX136"/>
      <c r="ABY136"/>
      <c r="ABZ136"/>
      <c r="ACA136"/>
      <c r="ACB136"/>
      <c r="ACC136"/>
      <c r="ACD136"/>
      <c r="ACE136"/>
      <c r="ACF136"/>
      <c r="ACG136"/>
      <c r="ACH136"/>
      <c r="ACI136"/>
      <c r="ACJ136"/>
      <c r="ACK136"/>
      <c r="ACL136"/>
      <c r="ACM136"/>
      <c r="ACN136"/>
      <c r="ACO136"/>
      <c r="ACP136"/>
      <c r="ACQ136"/>
      <c r="ACR136"/>
      <c r="ACS136"/>
      <c r="ACT136"/>
      <c r="ACU136"/>
      <c r="ACV136"/>
      <c r="ACW136"/>
      <c r="ACX136"/>
      <c r="ACY136"/>
      <c r="ACZ136"/>
      <c r="ADA136"/>
      <c r="ADB136"/>
      <c r="ADC136"/>
      <c r="ADD136"/>
      <c r="ADE136"/>
      <c r="ADF136"/>
      <c r="ADG136"/>
      <c r="ADH136"/>
      <c r="ADI136"/>
      <c r="ADJ136"/>
      <c r="ADK136"/>
      <c r="ADL136"/>
      <c r="ADM136"/>
      <c r="ADN136"/>
      <c r="ADO136"/>
      <c r="ADP136"/>
      <c r="ADQ136"/>
      <c r="ADR136"/>
      <c r="ADS136"/>
      <c r="ADT136"/>
      <c r="ADU136"/>
      <c r="ADV136"/>
      <c r="ADW136"/>
      <c r="ADX136"/>
      <c r="ADY136"/>
      <c r="ADZ136"/>
      <c r="AEA136"/>
      <c r="AEB136"/>
      <c r="AEC136"/>
      <c r="AED136"/>
      <c r="AEE136"/>
      <c r="AEF136"/>
      <c r="AEG136"/>
      <c r="AEH136"/>
      <c r="AEI136"/>
      <c r="AEJ136"/>
      <c r="AEK136"/>
      <c r="AEL136"/>
      <c r="AEM136"/>
      <c r="AEN136"/>
      <c r="AEO136"/>
      <c r="AEP136"/>
      <c r="AEQ136"/>
      <c r="AER136"/>
      <c r="AES136"/>
      <c r="AET136"/>
      <c r="AEU136"/>
      <c r="AEV136"/>
      <c r="AEW136"/>
      <c r="AEX136"/>
      <c r="AEY136"/>
      <c r="AEZ136"/>
      <c r="AFA136"/>
      <c r="AFB136"/>
      <c r="AFC136"/>
      <c r="AFD136"/>
      <c r="AFE136"/>
      <c r="AFF136"/>
      <c r="AFG136"/>
      <c r="AFH136"/>
      <c r="AFI136"/>
      <c r="AFJ136"/>
      <c r="AFK136"/>
      <c r="AFL136"/>
      <c r="AFM136"/>
      <c r="AFN136"/>
      <c r="AFO136"/>
      <c r="AFP136"/>
      <c r="AFQ136"/>
      <c r="AFR136"/>
      <c r="AFS136"/>
      <c r="AFT136"/>
      <c r="AFU136"/>
      <c r="AFV136"/>
      <c r="AFW136"/>
      <c r="AFX136"/>
      <c r="AFY136"/>
      <c r="AFZ136"/>
      <c r="AGA136"/>
      <c r="AGB136"/>
      <c r="AGC136"/>
      <c r="AGD136"/>
      <c r="AGE136"/>
      <c r="AGF136"/>
      <c r="AGG136"/>
      <c r="AGH136"/>
      <c r="AGI136"/>
      <c r="AGJ136"/>
      <c r="AGK136"/>
      <c r="AGL136"/>
      <c r="AGM136"/>
      <c r="AGN136"/>
      <c r="AGO136"/>
      <c r="AGP136"/>
      <c r="AGQ136"/>
      <c r="AGR136"/>
      <c r="AGS136"/>
      <c r="AGT136"/>
      <c r="AGU136"/>
      <c r="AGV136"/>
      <c r="AGW136"/>
      <c r="AGX136"/>
      <c r="AGY136"/>
      <c r="AGZ136"/>
      <c r="AHA136"/>
      <c r="AHB136"/>
      <c r="AHC136"/>
      <c r="AHD136"/>
      <c r="AHE136"/>
      <c r="AHF136"/>
      <c r="AHG136"/>
      <c r="AHH136"/>
      <c r="AHI136"/>
      <c r="AHJ136"/>
      <c r="AHK136"/>
      <c r="AHL136"/>
      <c r="AHM136"/>
      <c r="AHN136"/>
      <c r="AHO136"/>
      <c r="AHP136"/>
      <c r="AHQ136"/>
      <c r="AHR136"/>
      <c r="AHS136"/>
      <c r="AHT136"/>
      <c r="AHU136"/>
      <c r="AHV136"/>
      <c r="AHW136"/>
      <c r="AHX136"/>
      <c r="AHY136"/>
      <c r="AHZ136"/>
      <c r="AIA136"/>
      <c r="AIB136"/>
      <c r="AIC136"/>
      <c r="AID136"/>
      <c r="AIE136"/>
      <c r="AIF136"/>
      <c r="AIG136"/>
      <c r="AIH136"/>
      <c r="AII136"/>
      <c r="AIJ136"/>
      <c r="AIK136"/>
      <c r="AIL136"/>
      <c r="AIM136"/>
      <c r="AIN136"/>
      <c r="AIO136"/>
      <c r="AIP136"/>
      <c r="AIQ136"/>
      <c r="AIR136"/>
      <c r="AIS136"/>
      <c r="AIT136"/>
      <c r="AIU136"/>
      <c r="AIV136"/>
      <c r="AIW136"/>
      <c r="AIX136"/>
      <c r="AIY136"/>
      <c r="AIZ136"/>
      <c r="AJA136"/>
      <c r="AJB136"/>
      <c r="AJC136"/>
      <c r="AJD136"/>
      <c r="AJE136"/>
      <c r="AJF136"/>
      <c r="AJG136"/>
      <c r="AJH136"/>
      <c r="AJI136"/>
      <c r="AJJ136"/>
      <c r="AJK136"/>
      <c r="AJL136"/>
      <c r="AJM136"/>
      <c r="AJN136"/>
      <c r="AJO136"/>
      <c r="AJP136"/>
      <c r="AJQ136"/>
      <c r="AJR136"/>
      <c r="AJS136"/>
      <c r="AJT136"/>
      <c r="AJU136"/>
      <c r="AJV136"/>
      <c r="AJW136"/>
      <c r="AJX136"/>
      <c r="AJY136"/>
      <c r="AJZ136"/>
      <c r="AKA136"/>
      <c r="AKB136"/>
      <c r="AKC136"/>
      <c r="AKD136"/>
      <c r="AKE136"/>
      <c r="AKF136"/>
      <c r="AKG136"/>
      <c r="AKH136"/>
      <c r="AKI136"/>
      <c r="AKJ136"/>
      <c r="AKK136"/>
      <c r="AKL136"/>
      <c r="AKM136"/>
      <c r="AKN136"/>
      <c r="AKO136"/>
      <c r="AKP136"/>
      <c r="AKQ136"/>
      <c r="AKR136"/>
      <c r="AKS136"/>
      <c r="AKT136"/>
      <c r="AKU136"/>
      <c r="AKV136"/>
      <c r="AKW136"/>
      <c r="AKX136"/>
      <c r="AKY136"/>
      <c r="AKZ136"/>
      <c r="ALA136"/>
      <c r="ALB136"/>
      <c r="ALC136"/>
      <c r="ALD136"/>
      <c r="ALE136"/>
      <c r="ALF136"/>
      <c r="ALG136"/>
      <c r="ALH136"/>
      <c r="ALI136"/>
      <c r="ALJ136"/>
      <c r="ALK136"/>
      <c r="ALL136"/>
      <c r="ALM136"/>
      <c r="ALN136"/>
      <c r="ALO136"/>
      <c r="ALP136"/>
      <c r="ALQ136"/>
      <c r="ALR136"/>
      <c r="ALS136"/>
      <c r="ALT136"/>
      <c r="ALU136"/>
      <c r="ALV136"/>
      <c r="ALW136"/>
      <c r="ALX136"/>
      <c r="ALY136"/>
      <c r="ALZ136"/>
      <c r="AMA136"/>
      <c r="AMB136"/>
      <c r="AMC136"/>
      <c r="AMD136"/>
      <c r="AME136"/>
      <c r="AMG136"/>
      <c r="AMH136"/>
      <c r="AMI136"/>
      <c r="AMJ136"/>
      <c r="AMK136"/>
    </row>
    <row r="137" spans="1:1025" ht="12.75" customHeight="1" x14ac:dyDescent="0.2">
      <c r="A137" s="82" t="s">
        <v>309</v>
      </c>
      <c r="B137" s="886" t="s">
        <v>322</v>
      </c>
      <c r="C137" s="886"/>
      <c r="D137" s="886"/>
      <c r="E137" s="886"/>
      <c r="F137" s="886"/>
      <c r="G137" s="55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  <c r="XY137"/>
      <c r="XZ137"/>
      <c r="YA137"/>
      <c r="YB137"/>
      <c r="YC137"/>
      <c r="YD137"/>
      <c r="YE137"/>
      <c r="YF137"/>
      <c r="YG137"/>
      <c r="YH137"/>
      <c r="YI137"/>
      <c r="YJ137"/>
      <c r="YK137"/>
      <c r="YL137"/>
      <c r="YM137"/>
      <c r="YN137"/>
      <c r="YO137"/>
      <c r="YP137"/>
      <c r="YQ137"/>
      <c r="YR137"/>
      <c r="YS137"/>
      <c r="YT137"/>
      <c r="YU137"/>
      <c r="YV137"/>
      <c r="YW137"/>
      <c r="YX137"/>
      <c r="YY137"/>
      <c r="YZ137"/>
      <c r="ZA137"/>
      <c r="ZB137"/>
      <c r="ZC137"/>
      <c r="ZD137"/>
      <c r="ZE137"/>
      <c r="ZF137"/>
      <c r="ZG137"/>
      <c r="ZH137"/>
      <c r="ZI137"/>
      <c r="ZJ137"/>
      <c r="ZK137"/>
      <c r="ZL137"/>
      <c r="ZM137"/>
      <c r="ZN137"/>
      <c r="ZO137"/>
      <c r="ZP137"/>
      <c r="ZQ137"/>
      <c r="ZR137"/>
      <c r="ZS137"/>
      <c r="ZT137"/>
      <c r="ZU137"/>
      <c r="ZV137"/>
      <c r="ZW137"/>
      <c r="ZX137"/>
      <c r="ZY137"/>
      <c r="ZZ137"/>
      <c r="AAA137"/>
      <c r="AAB137"/>
      <c r="AAC137"/>
      <c r="AAD137"/>
      <c r="AAE137"/>
      <c r="AAF137"/>
      <c r="AAG137"/>
      <c r="AAH137"/>
      <c r="AAI137"/>
      <c r="AAJ137"/>
      <c r="AAK137"/>
      <c r="AAL137"/>
      <c r="AAM137"/>
      <c r="AAN137"/>
      <c r="AAO137"/>
      <c r="AAP137"/>
      <c r="AAQ137"/>
      <c r="AAR137"/>
      <c r="AAS137"/>
      <c r="AAT137"/>
      <c r="AAU137"/>
      <c r="AAV137"/>
      <c r="AAW137"/>
      <c r="AAX137"/>
      <c r="AAY137"/>
      <c r="AAZ137"/>
      <c r="ABA137"/>
      <c r="ABB137"/>
      <c r="ABC137"/>
      <c r="ABD137"/>
      <c r="ABE137"/>
      <c r="ABF137"/>
      <c r="ABG137"/>
      <c r="ABH137"/>
      <c r="ABI137"/>
      <c r="ABJ137"/>
      <c r="ABK137"/>
      <c r="ABL137"/>
      <c r="ABM137"/>
      <c r="ABN137"/>
      <c r="ABO137"/>
      <c r="ABP137"/>
      <c r="ABQ137"/>
      <c r="ABR137"/>
      <c r="ABS137"/>
      <c r="ABT137"/>
      <c r="ABU137"/>
      <c r="ABV137"/>
      <c r="ABW137"/>
      <c r="ABX137"/>
      <c r="ABY137"/>
      <c r="ABZ137"/>
      <c r="ACA137"/>
      <c r="ACB137"/>
      <c r="ACC137"/>
      <c r="ACD137"/>
      <c r="ACE137"/>
      <c r="ACF137"/>
      <c r="ACG137"/>
      <c r="ACH137"/>
      <c r="ACI137"/>
      <c r="ACJ137"/>
      <c r="ACK137"/>
      <c r="ACL137"/>
      <c r="ACM137"/>
      <c r="ACN137"/>
      <c r="ACO137"/>
      <c r="ACP137"/>
      <c r="ACQ137"/>
      <c r="ACR137"/>
      <c r="ACS137"/>
      <c r="ACT137"/>
      <c r="ACU137"/>
      <c r="ACV137"/>
      <c r="ACW137"/>
      <c r="ACX137"/>
      <c r="ACY137"/>
      <c r="ACZ137"/>
      <c r="ADA137"/>
      <c r="ADB137"/>
      <c r="ADC137"/>
      <c r="ADD137"/>
      <c r="ADE137"/>
      <c r="ADF137"/>
      <c r="ADG137"/>
      <c r="ADH137"/>
      <c r="ADI137"/>
      <c r="ADJ137"/>
      <c r="ADK137"/>
      <c r="ADL137"/>
      <c r="ADM137"/>
      <c r="ADN137"/>
      <c r="ADO137"/>
      <c r="ADP137"/>
      <c r="ADQ137"/>
      <c r="ADR137"/>
      <c r="ADS137"/>
      <c r="ADT137"/>
      <c r="ADU137"/>
      <c r="ADV137"/>
      <c r="ADW137"/>
      <c r="ADX137"/>
      <c r="ADY137"/>
      <c r="ADZ137"/>
      <c r="AEA137"/>
      <c r="AEB137"/>
      <c r="AEC137"/>
      <c r="AED137"/>
      <c r="AEE137"/>
      <c r="AEF137"/>
      <c r="AEG137"/>
      <c r="AEH137"/>
      <c r="AEI137"/>
      <c r="AEJ137"/>
      <c r="AEK137"/>
      <c r="AEL137"/>
      <c r="AEM137"/>
      <c r="AEN137"/>
      <c r="AEO137"/>
      <c r="AEP137"/>
      <c r="AEQ137"/>
      <c r="AER137"/>
      <c r="AES137"/>
      <c r="AET137"/>
      <c r="AEU137"/>
      <c r="AEV137"/>
      <c r="AEW137"/>
      <c r="AEX137"/>
      <c r="AEY137"/>
      <c r="AEZ137"/>
      <c r="AFA137"/>
      <c r="AFB137"/>
      <c r="AFC137"/>
      <c r="AFD137"/>
      <c r="AFE137"/>
      <c r="AFF137"/>
      <c r="AFG137"/>
      <c r="AFH137"/>
      <c r="AFI137"/>
      <c r="AFJ137"/>
      <c r="AFK137"/>
      <c r="AFL137"/>
      <c r="AFM137"/>
      <c r="AFN137"/>
      <c r="AFO137"/>
      <c r="AFP137"/>
      <c r="AFQ137"/>
      <c r="AFR137"/>
      <c r="AFS137"/>
      <c r="AFT137"/>
      <c r="AFU137"/>
      <c r="AFV137"/>
      <c r="AFW137"/>
      <c r="AFX137"/>
      <c r="AFY137"/>
      <c r="AFZ137"/>
      <c r="AGA137"/>
      <c r="AGB137"/>
      <c r="AGC137"/>
      <c r="AGD137"/>
      <c r="AGE137"/>
      <c r="AGF137"/>
      <c r="AGG137"/>
      <c r="AGH137"/>
      <c r="AGI137"/>
      <c r="AGJ137"/>
      <c r="AGK137"/>
      <c r="AGL137"/>
      <c r="AGM137"/>
      <c r="AGN137"/>
      <c r="AGO137"/>
      <c r="AGP137"/>
      <c r="AGQ137"/>
      <c r="AGR137"/>
      <c r="AGS137"/>
      <c r="AGT137"/>
      <c r="AGU137"/>
      <c r="AGV137"/>
      <c r="AGW137"/>
      <c r="AGX137"/>
      <c r="AGY137"/>
      <c r="AGZ137"/>
      <c r="AHA137"/>
      <c r="AHB137"/>
      <c r="AHC137"/>
      <c r="AHD137"/>
      <c r="AHE137"/>
      <c r="AHF137"/>
      <c r="AHG137"/>
      <c r="AHH137"/>
      <c r="AHI137"/>
      <c r="AHJ137"/>
      <c r="AHK137"/>
      <c r="AHL137"/>
      <c r="AHM137"/>
      <c r="AHN137"/>
      <c r="AHO137"/>
      <c r="AHP137"/>
      <c r="AHQ137"/>
      <c r="AHR137"/>
      <c r="AHS137"/>
      <c r="AHT137"/>
      <c r="AHU137"/>
      <c r="AHV137"/>
      <c r="AHW137"/>
      <c r="AHX137"/>
      <c r="AHY137"/>
      <c r="AHZ137"/>
      <c r="AIA137"/>
      <c r="AIB137"/>
      <c r="AIC137"/>
      <c r="AID137"/>
      <c r="AIE137"/>
      <c r="AIF137"/>
      <c r="AIG137"/>
      <c r="AIH137"/>
      <c r="AII137"/>
      <c r="AIJ137"/>
      <c r="AIK137"/>
      <c r="AIL137"/>
      <c r="AIM137"/>
      <c r="AIN137"/>
      <c r="AIO137"/>
      <c r="AIP137"/>
      <c r="AIQ137"/>
      <c r="AIR137"/>
      <c r="AIS137"/>
      <c r="AIT137"/>
      <c r="AIU137"/>
      <c r="AIV137"/>
      <c r="AIW137"/>
      <c r="AIX137"/>
      <c r="AIY137"/>
      <c r="AIZ137"/>
      <c r="AJA137"/>
      <c r="AJB137"/>
      <c r="AJC137"/>
      <c r="AJD137"/>
      <c r="AJE137"/>
      <c r="AJF137"/>
      <c r="AJG137"/>
      <c r="AJH137"/>
      <c r="AJI137"/>
      <c r="AJJ137"/>
      <c r="AJK137"/>
      <c r="AJL137"/>
      <c r="AJM137"/>
      <c r="AJN137"/>
      <c r="AJO137"/>
      <c r="AJP137"/>
      <c r="AJQ137"/>
      <c r="AJR137"/>
      <c r="AJS137"/>
      <c r="AJT137"/>
      <c r="AJU137"/>
      <c r="AJV137"/>
      <c r="AJW137"/>
      <c r="AJX137"/>
      <c r="AJY137"/>
      <c r="AJZ137"/>
      <c r="AKA137"/>
      <c r="AKB137"/>
      <c r="AKC137"/>
      <c r="AKD137"/>
      <c r="AKE137"/>
      <c r="AKF137"/>
      <c r="AKG137"/>
      <c r="AKH137"/>
      <c r="AKI137"/>
      <c r="AKJ137"/>
      <c r="AKK137"/>
      <c r="AKL137"/>
      <c r="AKM137"/>
      <c r="AKN137"/>
      <c r="AKO137"/>
      <c r="AKP137"/>
      <c r="AKQ137"/>
      <c r="AKR137"/>
      <c r="AKS137"/>
      <c r="AKT137"/>
      <c r="AKU137"/>
      <c r="AKV137"/>
      <c r="AKW137"/>
      <c r="AKX137"/>
      <c r="AKY137"/>
      <c r="AKZ137"/>
      <c r="ALA137"/>
      <c r="ALB137"/>
      <c r="ALC137"/>
      <c r="ALD137"/>
      <c r="ALE137"/>
      <c r="ALF137"/>
      <c r="ALG137"/>
      <c r="ALH137"/>
      <c r="ALI137"/>
      <c r="ALJ137"/>
      <c r="ALK137"/>
      <c r="ALL137"/>
      <c r="ALM137"/>
      <c r="ALN137"/>
      <c r="ALO137"/>
      <c r="ALP137"/>
      <c r="ALQ137"/>
      <c r="ALR137"/>
      <c r="ALS137"/>
      <c r="ALT137"/>
      <c r="ALU137"/>
      <c r="ALV137"/>
      <c r="ALW137"/>
      <c r="ALX137"/>
      <c r="ALY137"/>
      <c r="ALZ137"/>
      <c r="AMA137"/>
      <c r="AMB137"/>
      <c r="AMC137"/>
      <c r="AMD137"/>
      <c r="AME137"/>
      <c r="AMG137"/>
      <c r="AMH137"/>
      <c r="AMI137"/>
      <c r="AMJ137"/>
      <c r="AMK137"/>
    </row>
    <row r="138" spans="1:1025" ht="12.75" customHeight="1" x14ac:dyDescent="0.2">
      <c r="A138" s="82" t="s">
        <v>310</v>
      </c>
      <c r="B138" s="886" t="s">
        <v>323</v>
      </c>
      <c r="C138" s="886"/>
      <c r="D138" s="886"/>
      <c r="E138" s="886"/>
      <c r="F138" s="886"/>
      <c r="G138" s="55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  <c r="ABV138"/>
      <c r="ABW138"/>
      <c r="ABX138"/>
      <c r="ABY138"/>
      <c r="ABZ138"/>
      <c r="ACA138"/>
      <c r="ACB138"/>
      <c r="ACC138"/>
      <c r="ACD138"/>
      <c r="ACE138"/>
      <c r="ACF138"/>
      <c r="ACG138"/>
      <c r="ACH138"/>
      <c r="ACI138"/>
      <c r="ACJ138"/>
      <c r="ACK138"/>
      <c r="ACL138"/>
      <c r="ACM138"/>
      <c r="ACN138"/>
      <c r="ACO138"/>
      <c r="ACP138"/>
      <c r="ACQ138"/>
      <c r="ACR138"/>
      <c r="ACS138"/>
      <c r="ACT138"/>
      <c r="ACU138"/>
      <c r="ACV138"/>
      <c r="ACW138"/>
      <c r="ACX138"/>
      <c r="ACY138"/>
      <c r="ACZ138"/>
      <c r="ADA138"/>
      <c r="ADB138"/>
      <c r="ADC138"/>
      <c r="ADD138"/>
      <c r="ADE138"/>
      <c r="ADF138"/>
      <c r="ADG138"/>
      <c r="ADH138"/>
      <c r="ADI138"/>
      <c r="ADJ138"/>
      <c r="ADK138"/>
      <c r="ADL138"/>
      <c r="ADM138"/>
      <c r="ADN138"/>
      <c r="ADO138"/>
      <c r="ADP138"/>
      <c r="ADQ138"/>
      <c r="ADR138"/>
      <c r="ADS138"/>
      <c r="ADT138"/>
      <c r="ADU138"/>
      <c r="ADV138"/>
      <c r="ADW138"/>
      <c r="ADX138"/>
      <c r="ADY138"/>
      <c r="ADZ138"/>
      <c r="AEA138"/>
      <c r="AEB138"/>
      <c r="AEC138"/>
      <c r="AED138"/>
      <c r="AEE138"/>
      <c r="AEF138"/>
      <c r="AEG138"/>
      <c r="AEH138"/>
      <c r="AEI138"/>
      <c r="AEJ138"/>
      <c r="AEK138"/>
      <c r="AEL138"/>
      <c r="AEM138"/>
      <c r="AEN138"/>
      <c r="AEO138"/>
      <c r="AEP138"/>
      <c r="AEQ138"/>
      <c r="AER138"/>
      <c r="AES138"/>
      <c r="AET138"/>
      <c r="AEU138"/>
      <c r="AEV138"/>
      <c r="AEW138"/>
      <c r="AEX138"/>
      <c r="AEY138"/>
      <c r="AEZ138"/>
      <c r="AFA138"/>
      <c r="AFB138"/>
      <c r="AFC138"/>
      <c r="AFD138"/>
      <c r="AFE138"/>
      <c r="AFF138"/>
      <c r="AFG138"/>
      <c r="AFH138"/>
      <c r="AFI138"/>
      <c r="AFJ138"/>
      <c r="AFK138"/>
      <c r="AFL138"/>
      <c r="AFM138"/>
      <c r="AFN138"/>
      <c r="AFO138"/>
      <c r="AFP138"/>
      <c r="AFQ138"/>
      <c r="AFR138"/>
      <c r="AFS138"/>
      <c r="AFT138"/>
      <c r="AFU138"/>
      <c r="AFV138"/>
      <c r="AFW138"/>
      <c r="AFX138"/>
      <c r="AFY138"/>
      <c r="AFZ138"/>
      <c r="AGA138"/>
      <c r="AGB138"/>
      <c r="AGC138"/>
      <c r="AGD138"/>
      <c r="AGE138"/>
      <c r="AGF138"/>
      <c r="AGG138"/>
      <c r="AGH138"/>
      <c r="AGI138"/>
      <c r="AGJ138"/>
      <c r="AGK138"/>
      <c r="AGL138"/>
      <c r="AGM138"/>
      <c r="AGN138"/>
      <c r="AGO138"/>
      <c r="AGP138"/>
      <c r="AGQ138"/>
      <c r="AGR138"/>
      <c r="AGS138"/>
      <c r="AGT138"/>
      <c r="AGU138"/>
      <c r="AGV138"/>
      <c r="AGW138"/>
      <c r="AGX138"/>
      <c r="AGY138"/>
      <c r="AGZ138"/>
      <c r="AHA138"/>
      <c r="AHB138"/>
      <c r="AHC138"/>
      <c r="AHD138"/>
      <c r="AHE138"/>
      <c r="AHF138"/>
      <c r="AHG138"/>
      <c r="AHH138"/>
      <c r="AHI138"/>
      <c r="AHJ138"/>
      <c r="AHK138"/>
      <c r="AHL138"/>
      <c r="AHM138"/>
      <c r="AHN138"/>
      <c r="AHO138"/>
      <c r="AHP138"/>
      <c r="AHQ138"/>
      <c r="AHR138"/>
      <c r="AHS138"/>
      <c r="AHT138"/>
      <c r="AHU138"/>
      <c r="AHV138"/>
      <c r="AHW138"/>
      <c r="AHX138"/>
      <c r="AHY138"/>
      <c r="AHZ138"/>
      <c r="AIA138"/>
      <c r="AIB138"/>
      <c r="AIC138"/>
      <c r="AID138"/>
      <c r="AIE138"/>
      <c r="AIF138"/>
      <c r="AIG138"/>
      <c r="AIH138"/>
      <c r="AII138"/>
      <c r="AIJ138"/>
      <c r="AIK138"/>
      <c r="AIL138"/>
      <c r="AIM138"/>
      <c r="AIN138"/>
      <c r="AIO138"/>
      <c r="AIP138"/>
      <c r="AIQ138"/>
      <c r="AIR138"/>
      <c r="AIS138"/>
      <c r="AIT138"/>
      <c r="AIU138"/>
      <c r="AIV138"/>
      <c r="AIW138"/>
      <c r="AIX138"/>
      <c r="AIY138"/>
      <c r="AIZ138"/>
      <c r="AJA138"/>
      <c r="AJB138"/>
      <c r="AJC138"/>
      <c r="AJD138"/>
      <c r="AJE138"/>
      <c r="AJF138"/>
      <c r="AJG138"/>
      <c r="AJH138"/>
      <c r="AJI138"/>
      <c r="AJJ138"/>
      <c r="AJK138"/>
      <c r="AJL138"/>
      <c r="AJM138"/>
      <c r="AJN138"/>
      <c r="AJO138"/>
      <c r="AJP138"/>
      <c r="AJQ138"/>
      <c r="AJR138"/>
      <c r="AJS138"/>
      <c r="AJT138"/>
      <c r="AJU138"/>
      <c r="AJV138"/>
      <c r="AJW138"/>
      <c r="AJX138"/>
      <c r="AJY138"/>
      <c r="AJZ138"/>
      <c r="AKA138"/>
      <c r="AKB138"/>
      <c r="AKC138"/>
      <c r="AKD138"/>
      <c r="AKE138"/>
      <c r="AKF138"/>
      <c r="AKG138"/>
      <c r="AKH138"/>
      <c r="AKI138"/>
      <c r="AKJ138"/>
      <c r="AKK138"/>
      <c r="AKL138"/>
      <c r="AKM138"/>
      <c r="AKN138"/>
      <c r="AKO138"/>
      <c r="AKP138"/>
      <c r="AKQ138"/>
      <c r="AKR138"/>
      <c r="AKS138"/>
      <c r="AKT138"/>
      <c r="AKU138"/>
      <c r="AKV138"/>
      <c r="AKW138"/>
      <c r="AKX138"/>
      <c r="AKY138"/>
      <c r="AKZ138"/>
      <c r="ALA138"/>
      <c r="ALB138"/>
      <c r="ALC138"/>
      <c r="ALD138"/>
      <c r="ALE138"/>
      <c r="ALF138"/>
      <c r="ALG138"/>
      <c r="ALH138"/>
      <c r="ALI138"/>
      <c r="ALJ138"/>
      <c r="ALK138"/>
      <c r="ALL138"/>
      <c r="ALM138"/>
      <c r="ALN138"/>
      <c r="ALO138"/>
      <c r="ALP138"/>
      <c r="ALQ138"/>
      <c r="ALR138"/>
      <c r="ALS138"/>
      <c r="ALT138"/>
      <c r="ALU138"/>
      <c r="ALV138"/>
      <c r="ALW138"/>
      <c r="ALX138"/>
      <c r="ALY138"/>
      <c r="ALZ138"/>
      <c r="AMA138"/>
      <c r="AMB138"/>
      <c r="AMC138"/>
      <c r="AMD138"/>
      <c r="AME138"/>
      <c r="AMG138"/>
      <c r="AMH138"/>
      <c r="AMI138"/>
      <c r="AMJ138"/>
      <c r="AMK138"/>
    </row>
    <row r="139" spans="1:1025" ht="12.75" customHeight="1" x14ac:dyDescent="0.2">
      <c r="A139" s="82" t="s">
        <v>311</v>
      </c>
      <c r="B139" s="886" t="s">
        <v>324</v>
      </c>
      <c r="C139" s="886"/>
      <c r="D139" s="886"/>
      <c r="E139" s="886"/>
      <c r="F139" s="886"/>
      <c r="G139" s="55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  <c r="ABW139"/>
      <c r="ABX139"/>
      <c r="ABY139"/>
      <c r="ABZ139"/>
      <c r="ACA139"/>
      <c r="ACB139"/>
      <c r="ACC139"/>
      <c r="ACD139"/>
      <c r="ACE139"/>
      <c r="ACF139"/>
      <c r="ACG139"/>
      <c r="ACH139"/>
      <c r="ACI139"/>
      <c r="ACJ139"/>
      <c r="ACK139"/>
      <c r="ACL139"/>
      <c r="ACM139"/>
      <c r="ACN139"/>
      <c r="ACO139"/>
      <c r="ACP139"/>
      <c r="ACQ139"/>
      <c r="ACR139"/>
      <c r="ACS139"/>
      <c r="ACT139"/>
      <c r="ACU139"/>
      <c r="ACV139"/>
      <c r="ACW139"/>
      <c r="ACX139"/>
      <c r="ACY139"/>
      <c r="ACZ139"/>
      <c r="ADA139"/>
      <c r="ADB139"/>
      <c r="ADC139"/>
      <c r="ADD139"/>
      <c r="ADE139"/>
      <c r="ADF139"/>
      <c r="ADG139"/>
      <c r="ADH139"/>
      <c r="ADI139"/>
      <c r="ADJ139"/>
      <c r="ADK139"/>
      <c r="ADL139"/>
      <c r="ADM139"/>
      <c r="ADN139"/>
      <c r="ADO139"/>
      <c r="ADP139"/>
      <c r="ADQ139"/>
      <c r="ADR139"/>
      <c r="ADS139"/>
      <c r="ADT139"/>
      <c r="ADU139"/>
      <c r="ADV139"/>
      <c r="ADW139"/>
      <c r="ADX139"/>
      <c r="ADY139"/>
      <c r="ADZ139"/>
      <c r="AEA139"/>
      <c r="AEB139"/>
      <c r="AEC139"/>
      <c r="AED139"/>
      <c r="AEE139"/>
      <c r="AEF139"/>
      <c r="AEG139"/>
      <c r="AEH139"/>
      <c r="AEI139"/>
      <c r="AEJ139"/>
      <c r="AEK139"/>
      <c r="AEL139"/>
      <c r="AEM139"/>
      <c r="AEN139"/>
      <c r="AEO139"/>
      <c r="AEP139"/>
      <c r="AEQ139"/>
      <c r="AER139"/>
      <c r="AES139"/>
      <c r="AET139"/>
      <c r="AEU139"/>
      <c r="AEV139"/>
      <c r="AEW139"/>
      <c r="AEX139"/>
      <c r="AEY139"/>
      <c r="AEZ139"/>
      <c r="AFA139"/>
      <c r="AFB139"/>
      <c r="AFC139"/>
      <c r="AFD139"/>
      <c r="AFE139"/>
      <c r="AFF139"/>
      <c r="AFG139"/>
      <c r="AFH139"/>
      <c r="AFI139"/>
      <c r="AFJ139"/>
      <c r="AFK139"/>
      <c r="AFL139"/>
      <c r="AFM139"/>
      <c r="AFN139"/>
      <c r="AFO139"/>
      <c r="AFP139"/>
      <c r="AFQ139"/>
      <c r="AFR139"/>
      <c r="AFS139"/>
      <c r="AFT139"/>
      <c r="AFU139"/>
      <c r="AFV139"/>
      <c r="AFW139"/>
      <c r="AFX139"/>
      <c r="AFY139"/>
      <c r="AFZ139"/>
      <c r="AGA139"/>
      <c r="AGB139"/>
      <c r="AGC139"/>
      <c r="AGD139"/>
      <c r="AGE139"/>
      <c r="AGF139"/>
      <c r="AGG139"/>
      <c r="AGH139"/>
      <c r="AGI139"/>
      <c r="AGJ139"/>
      <c r="AGK139"/>
      <c r="AGL139"/>
      <c r="AGM139"/>
      <c r="AGN139"/>
      <c r="AGO139"/>
      <c r="AGP139"/>
      <c r="AGQ139"/>
      <c r="AGR139"/>
      <c r="AGS139"/>
      <c r="AGT139"/>
      <c r="AGU139"/>
      <c r="AGV139"/>
      <c r="AGW139"/>
      <c r="AGX139"/>
      <c r="AGY139"/>
      <c r="AGZ139"/>
      <c r="AHA139"/>
      <c r="AHB139"/>
      <c r="AHC139"/>
      <c r="AHD139"/>
      <c r="AHE139"/>
      <c r="AHF139"/>
      <c r="AHG139"/>
      <c r="AHH139"/>
      <c r="AHI139"/>
      <c r="AHJ139"/>
      <c r="AHK139"/>
      <c r="AHL139"/>
      <c r="AHM139"/>
      <c r="AHN139"/>
      <c r="AHO139"/>
      <c r="AHP139"/>
      <c r="AHQ139"/>
      <c r="AHR139"/>
      <c r="AHS139"/>
      <c r="AHT139"/>
      <c r="AHU139"/>
      <c r="AHV139"/>
      <c r="AHW139"/>
      <c r="AHX139"/>
      <c r="AHY139"/>
      <c r="AHZ139"/>
      <c r="AIA139"/>
      <c r="AIB139"/>
      <c r="AIC139"/>
      <c r="AID139"/>
      <c r="AIE139"/>
      <c r="AIF139"/>
      <c r="AIG139"/>
      <c r="AIH139"/>
      <c r="AII139"/>
      <c r="AIJ139"/>
      <c r="AIK139"/>
      <c r="AIL139"/>
      <c r="AIM139"/>
      <c r="AIN139"/>
      <c r="AIO139"/>
      <c r="AIP139"/>
      <c r="AIQ139"/>
      <c r="AIR139"/>
      <c r="AIS139"/>
      <c r="AIT139"/>
      <c r="AIU139"/>
      <c r="AIV139"/>
      <c r="AIW139"/>
      <c r="AIX139"/>
      <c r="AIY139"/>
      <c r="AIZ139"/>
      <c r="AJA139"/>
      <c r="AJB139"/>
      <c r="AJC139"/>
      <c r="AJD139"/>
      <c r="AJE139"/>
      <c r="AJF139"/>
      <c r="AJG139"/>
      <c r="AJH139"/>
      <c r="AJI139"/>
      <c r="AJJ139"/>
      <c r="AJK139"/>
      <c r="AJL139"/>
      <c r="AJM139"/>
      <c r="AJN139"/>
      <c r="AJO139"/>
      <c r="AJP139"/>
      <c r="AJQ139"/>
      <c r="AJR139"/>
      <c r="AJS139"/>
      <c r="AJT139"/>
      <c r="AJU139"/>
      <c r="AJV139"/>
      <c r="AJW139"/>
      <c r="AJX139"/>
      <c r="AJY139"/>
      <c r="AJZ139"/>
      <c r="AKA139"/>
      <c r="AKB139"/>
      <c r="AKC139"/>
      <c r="AKD139"/>
      <c r="AKE139"/>
      <c r="AKF139"/>
      <c r="AKG139"/>
      <c r="AKH139"/>
      <c r="AKI139"/>
      <c r="AKJ139"/>
      <c r="AKK139"/>
      <c r="AKL139"/>
      <c r="AKM139"/>
      <c r="AKN139"/>
      <c r="AKO139"/>
      <c r="AKP139"/>
      <c r="AKQ139"/>
      <c r="AKR139"/>
      <c r="AKS139"/>
      <c r="AKT139"/>
      <c r="AKU139"/>
      <c r="AKV139"/>
      <c r="AKW139"/>
      <c r="AKX139"/>
      <c r="AKY139"/>
      <c r="AKZ139"/>
      <c r="ALA139"/>
      <c r="ALB139"/>
      <c r="ALC139"/>
      <c r="ALD139"/>
      <c r="ALE139"/>
      <c r="ALF139"/>
      <c r="ALG139"/>
      <c r="ALH139"/>
      <c r="ALI139"/>
      <c r="ALJ139"/>
      <c r="ALK139"/>
      <c r="ALL139"/>
      <c r="ALM139"/>
      <c r="ALN139"/>
      <c r="ALO139"/>
      <c r="ALP139"/>
      <c r="ALQ139"/>
      <c r="ALR139"/>
      <c r="ALS139"/>
      <c r="ALT139"/>
      <c r="ALU139"/>
      <c r="ALV139"/>
      <c r="ALW139"/>
      <c r="ALX139"/>
      <c r="ALY139"/>
      <c r="ALZ139"/>
      <c r="AMA139"/>
      <c r="AMB139"/>
      <c r="AMC139"/>
      <c r="AMD139"/>
      <c r="AME139"/>
      <c r="AMG139"/>
      <c r="AMH139"/>
      <c r="AMI139"/>
      <c r="AMJ139"/>
      <c r="AMK139"/>
    </row>
    <row r="140" spans="1:1025" ht="12.75" customHeight="1" x14ac:dyDescent="0.2">
      <c r="A140" s="82" t="s">
        <v>312</v>
      </c>
      <c r="B140" s="886" t="s">
        <v>321</v>
      </c>
      <c r="C140" s="886"/>
      <c r="D140" s="886"/>
      <c r="E140" s="886"/>
      <c r="F140" s="886"/>
      <c r="G140" s="55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  <c r="ABW140"/>
      <c r="ABX140"/>
      <c r="ABY140"/>
      <c r="ABZ140"/>
      <c r="ACA140"/>
      <c r="ACB140"/>
      <c r="ACC140"/>
      <c r="ACD140"/>
      <c r="ACE140"/>
      <c r="ACF140"/>
      <c r="ACG140"/>
      <c r="ACH140"/>
      <c r="ACI140"/>
      <c r="ACJ140"/>
      <c r="ACK140"/>
      <c r="ACL140"/>
      <c r="ACM140"/>
      <c r="ACN140"/>
      <c r="ACO140"/>
      <c r="ACP140"/>
      <c r="ACQ140"/>
      <c r="ACR140"/>
      <c r="ACS140"/>
      <c r="ACT140"/>
      <c r="ACU140"/>
      <c r="ACV140"/>
      <c r="ACW140"/>
      <c r="ACX140"/>
      <c r="ACY140"/>
      <c r="ACZ140"/>
      <c r="ADA140"/>
      <c r="ADB140"/>
      <c r="ADC140"/>
      <c r="ADD140"/>
      <c r="ADE140"/>
      <c r="ADF140"/>
      <c r="ADG140"/>
      <c r="ADH140"/>
      <c r="ADI140"/>
      <c r="ADJ140"/>
      <c r="ADK140"/>
      <c r="ADL140"/>
      <c r="ADM140"/>
      <c r="ADN140"/>
      <c r="ADO140"/>
      <c r="ADP140"/>
      <c r="ADQ140"/>
      <c r="ADR140"/>
      <c r="ADS140"/>
      <c r="ADT140"/>
      <c r="ADU140"/>
      <c r="ADV140"/>
      <c r="ADW140"/>
      <c r="ADX140"/>
      <c r="ADY140"/>
      <c r="ADZ140"/>
      <c r="AEA140"/>
      <c r="AEB140"/>
      <c r="AEC140"/>
      <c r="AED140"/>
      <c r="AEE140"/>
      <c r="AEF140"/>
      <c r="AEG140"/>
      <c r="AEH140"/>
      <c r="AEI140"/>
      <c r="AEJ140"/>
      <c r="AEK140"/>
      <c r="AEL140"/>
      <c r="AEM140"/>
      <c r="AEN140"/>
      <c r="AEO140"/>
      <c r="AEP140"/>
      <c r="AEQ140"/>
      <c r="AER140"/>
      <c r="AES140"/>
      <c r="AET140"/>
      <c r="AEU140"/>
      <c r="AEV140"/>
      <c r="AEW140"/>
      <c r="AEX140"/>
      <c r="AEY140"/>
      <c r="AEZ140"/>
      <c r="AFA140"/>
      <c r="AFB140"/>
      <c r="AFC140"/>
      <c r="AFD140"/>
      <c r="AFE140"/>
      <c r="AFF140"/>
      <c r="AFG140"/>
      <c r="AFH140"/>
      <c r="AFI140"/>
      <c r="AFJ140"/>
      <c r="AFK140"/>
      <c r="AFL140"/>
      <c r="AFM140"/>
      <c r="AFN140"/>
      <c r="AFO140"/>
      <c r="AFP140"/>
      <c r="AFQ140"/>
      <c r="AFR140"/>
      <c r="AFS140"/>
      <c r="AFT140"/>
      <c r="AFU140"/>
      <c r="AFV140"/>
      <c r="AFW140"/>
      <c r="AFX140"/>
      <c r="AFY140"/>
      <c r="AFZ140"/>
      <c r="AGA140"/>
      <c r="AGB140"/>
      <c r="AGC140"/>
      <c r="AGD140"/>
      <c r="AGE140"/>
      <c r="AGF140"/>
      <c r="AGG140"/>
      <c r="AGH140"/>
      <c r="AGI140"/>
      <c r="AGJ140"/>
      <c r="AGK140"/>
      <c r="AGL140"/>
      <c r="AGM140"/>
      <c r="AGN140"/>
      <c r="AGO140"/>
      <c r="AGP140"/>
      <c r="AGQ140"/>
      <c r="AGR140"/>
      <c r="AGS140"/>
      <c r="AGT140"/>
      <c r="AGU140"/>
      <c r="AGV140"/>
      <c r="AGW140"/>
      <c r="AGX140"/>
      <c r="AGY140"/>
      <c r="AGZ140"/>
      <c r="AHA140"/>
      <c r="AHB140"/>
      <c r="AHC140"/>
      <c r="AHD140"/>
      <c r="AHE140"/>
      <c r="AHF140"/>
      <c r="AHG140"/>
      <c r="AHH140"/>
      <c r="AHI140"/>
      <c r="AHJ140"/>
      <c r="AHK140"/>
      <c r="AHL140"/>
      <c r="AHM140"/>
      <c r="AHN140"/>
      <c r="AHO140"/>
      <c r="AHP140"/>
      <c r="AHQ140"/>
      <c r="AHR140"/>
      <c r="AHS140"/>
      <c r="AHT140"/>
      <c r="AHU140"/>
      <c r="AHV140"/>
      <c r="AHW140"/>
      <c r="AHX140"/>
      <c r="AHY140"/>
      <c r="AHZ140"/>
      <c r="AIA140"/>
      <c r="AIB140"/>
      <c r="AIC140"/>
      <c r="AID140"/>
      <c r="AIE140"/>
      <c r="AIF140"/>
      <c r="AIG140"/>
      <c r="AIH140"/>
      <c r="AII140"/>
      <c r="AIJ140"/>
      <c r="AIK140"/>
      <c r="AIL140"/>
      <c r="AIM140"/>
      <c r="AIN140"/>
      <c r="AIO140"/>
      <c r="AIP140"/>
      <c r="AIQ140"/>
      <c r="AIR140"/>
      <c r="AIS140"/>
      <c r="AIT140"/>
      <c r="AIU140"/>
      <c r="AIV140"/>
      <c r="AIW140"/>
      <c r="AIX140"/>
      <c r="AIY140"/>
      <c r="AIZ140"/>
      <c r="AJA140"/>
      <c r="AJB140"/>
      <c r="AJC140"/>
      <c r="AJD140"/>
      <c r="AJE140"/>
      <c r="AJF140"/>
      <c r="AJG140"/>
      <c r="AJH140"/>
      <c r="AJI140"/>
      <c r="AJJ140"/>
      <c r="AJK140"/>
      <c r="AJL140"/>
      <c r="AJM140"/>
      <c r="AJN140"/>
      <c r="AJO140"/>
      <c r="AJP140"/>
      <c r="AJQ140"/>
      <c r="AJR140"/>
      <c r="AJS140"/>
      <c r="AJT140"/>
      <c r="AJU140"/>
      <c r="AJV140"/>
      <c r="AJW140"/>
      <c r="AJX140"/>
      <c r="AJY140"/>
      <c r="AJZ140"/>
      <c r="AKA140"/>
      <c r="AKB140"/>
      <c r="AKC140"/>
      <c r="AKD140"/>
      <c r="AKE140"/>
      <c r="AKF140"/>
      <c r="AKG140"/>
      <c r="AKH140"/>
      <c r="AKI140"/>
      <c r="AKJ140"/>
      <c r="AKK140"/>
      <c r="AKL140"/>
      <c r="AKM140"/>
      <c r="AKN140"/>
      <c r="AKO140"/>
      <c r="AKP140"/>
      <c r="AKQ140"/>
      <c r="AKR140"/>
      <c r="AKS140"/>
      <c r="AKT140"/>
      <c r="AKU140"/>
      <c r="AKV140"/>
      <c r="AKW140"/>
      <c r="AKX140"/>
      <c r="AKY140"/>
      <c r="AKZ140"/>
      <c r="ALA140"/>
      <c r="ALB140"/>
      <c r="ALC140"/>
      <c r="ALD140"/>
      <c r="ALE140"/>
      <c r="ALF140"/>
      <c r="ALG140"/>
      <c r="ALH140"/>
      <c r="ALI140"/>
      <c r="ALJ140"/>
      <c r="ALK140"/>
      <c r="ALL140"/>
      <c r="ALM140"/>
      <c r="ALN140"/>
      <c r="ALO140"/>
      <c r="ALP140"/>
      <c r="ALQ140"/>
      <c r="ALR140"/>
      <c r="ALS140"/>
      <c r="ALT140"/>
      <c r="ALU140"/>
      <c r="ALV140"/>
      <c r="ALW140"/>
      <c r="ALX140"/>
      <c r="ALY140"/>
      <c r="ALZ140"/>
      <c r="AMA140"/>
      <c r="AMB140"/>
      <c r="AMC140"/>
      <c r="AMD140"/>
      <c r="AME140"/>
      <c r="AMG140"/>
      <c r="AMH140"/>
      <c r="AMI140"/>
      <c r="AMJ140"/>
      <c r="AMK140"/>
    </row>
    <row r="141" spans="1:1025" ht="12.75" customHeight="1" x14ac:dyDescent="0.2">
      <c r="A141" s="82" t="s">
        <v>325</v>
      </c>
      <c r="B141" s="886" t="s">
        <v>326</v>
      </c>
      <c r="C141" s="886"/>
      <c r="D141" s="886"/>
      <c r="E141" s="886"/>
      <c r="F141" s="886"/>
      <c r="G141" s="55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  <c r="RK141"/>
      <c r="RL141"/>
      <c r="RM141"/>
      <c r="RN141"/>
      <c r="RO141"/>
      <c r="RP141"/>
      <c r="RQ141"/>
      <c r="RR141"/>
      <c r="RS141"/>
      <c r="RT141"/>
      <c r="RU141"/>
      <c r="RV141"/>
      <c r="RW141"/>
      <c r="RX141"/>
      <c r="RY141"/>
      <c r="RZ141"/>
      <c r="SA141"/>
      <c r="SB141"/>
      <c r="SC141"/>
      <c r="SD141"/>
      <c r="SE141"/>
      <c r="SF141"/>
      <c r="SG141"/>
      <c r="SH141"/>
      <c r="SI141"/>
      <c r="SJ141"/>
      <c r="SK141"/>
      <c r="SL141"/>
      <c r="SM141"/>
      <c r="SN141"/>
      <c r="SO141"/>
      <c r="SP141"/>
      <c r="SQ141"/>
      <c r="SR141"/>
      <c r="SS141"/>
      <c r="ST141"/>
      <c r="SU141"/>
      <c r="SV141"/>
      <c r="SW141"/>
      <c r="SX141"/>
      <c r="SY141"/>
      <c r="SZ141"/>
      <c r="TA141"/>
      <c r="TB141"/>
      <c r="TC141"/>
      <c r="TD141"/>
      <c r="TE141"/>
      <c r="TF141"/>
      <c r="TG141"/>
      <c r="TH141"/>
      <c r="TI141"/>
      <c r="TJ141"/>
      <c r="TK141"/>
      <c r="TL141"/>
      <c r="TM141"/>
      <c r="TN141"/>
      <c r="TO141"/>
      <c r="TP141"/>
      <c r="TQ141"/>
      <c r="TR141"/>
      <c r="TS141"/>
      <c r="TT141"/>
      <c r="TU141"/>
      <c r="TV141"/>
      <c r="TW141"/>
      <c r="TX141"/>
      <c r="TY141"/>
      <c r="TZ141"/>
      <c r="UA141"/>
      <c r="UB141"/>
      <c r="UC141"/>
      <c r="UD141"/>
      <c r="UE141"/>
      <c r="UF141"/>
      <c r="UG141"/>
      <c r="UH141"/>
      <c r="UI141"/>
      <c r="UJ141"/>
      <c r="UK141"/>
      <c r="UL141"/>
      <c r="UM141"/>
      <c r="UN141"/>
      <c r="UO141"/>
      <c r="UP141"/>
      <c r="UQ141"/>
      <c r="UR141"/>
      <c r="US141"/>
      <c r="UT141"/>
      <c r="UU141"/>
      <c r="UV141"/>
      <c r="UW141"/>
      <c r="UX141"/>
      <c r="UY141"/>
      <c r="UZ141"/>
      <c r="VA141"/>
      <c r="VB141"/>
      <c r="VC141"/>
      <c r="VD141"/>
      <c r="VE141"/>
      <c r="VF141"/>
      <c r="VG141"/>
      <c r="VH141"/>
      <c r="VI141"/>
      <c r="VJ141"/>
      <c r="VK141"/>
      <c r="VL141"/>
      <c r="VM141"/>
      <c r="VN141"/>
      <c r="VO141"/>
      <c r="VP141"/>
      <c r="VQ141"/>
      <c r="VR141"/>
      <c r="VS141"/>
      <c r="VT141"/>
      <c r="VU141"/>
      <c r="VV141"/>
      <c r="VW141"/>
      <c r="VX141"/>
      <c r="VY141"/>
      <c r="VZ141"/>
      <c r="WA141"/>
      <c r="WB141"/>
      <c r="WC141"/>
      <c r="WD141"/>
      <c r="WE141"/>
      <c r="WF141"/>
      <c r="WG141"/>
      <c r="WH141"/>
      <c r="WI141"/>
      <c r="WJ141"/>
      <c r="WK141"/>
      <c r="WL141"/>
      <c r="WM141"/>
      <c r="WN141"/>
      <c r="WO141"/>
      <c r="WP141"/>
      <c r="WQ141"/>
      <c r="WR141"/>
      <c r="WS141"/>
      <c r="WT141"/>
      <c r="WU141"/>
      <c r="WV141"/>
      <c r="WW141"/>
      <c r="WX141"/>
      <c r="WY141"/>
      <c r="WZ141"/>
      <c r="XA141"/>
      <c r="XB141"/>
      <c r="XC141"/>
      <c r="XD141"/>
      <c r="XE141"/>
      <c r="XF141"/>
      <c r="XG141"/>
      <c r="XH141"/>
      <c r="XI141"/>
      <c r="XJ141"/>
      <c r="XK141"/>
      <c r="XL141"/>
      <c r="XM141"/>
      <c r="XN141"/>
      <c r="XO141"/>
      <c r="XP141"/>
      <c r="XQ141"/>
      <c r="XR141"/>
      <c r="XS141"/>
      <c r="XT141"/>
      <c r="XU141"/>
      <c r="XV141"/>
      <c r="XW141"/>
      <c r="XX141"/>
      <c r="XY141"/>
      <c r="XZ141"/>
      <c r="YA141"/>
      <c r="YB141"/>
      <c r="YC141"/>
      <c r="YD141"/>
      <c r="YE141"/>
      <c r="YF141"/>
      <c r="YG141"/>
      <c r="YH141"/>
      <c r="YI141"/>
      <c r="YJ141"/>
      <c r="YK141"/>
      <c r="YL141"/>
      <c r="YM141"/>
      <c r="YN141"/>
      <c r="YO141"/>
      <c r="YP141"/>
      <c r="YQ141"/>
      <c r="YR141"/>
      <c r="YS141"/>
      <c r="YT141"/>
      <c r="YU141"/>
      <c r="YV141"/>
      <c r="YW141"/>
      <c r="YX141"/>
      <c r="YY141"/>
      <c r="YZ141"/>
      <c r="ZA141"/>
      <c r="ZB141"/>
      <c r="ZC141"/>
      <c r="ZD141"/>
      <c r="ZE141"/>
      <c r="ZF141"/>
      <c r="ZG141"/>
      <c r="ZH141"/>
      <c r="ZI141"/>
      <c r="ZJ141"/>
      <c r="ZK141"/>
      <c r="ZL141"/>
      <c r="ZM141"/>
      <c r="ZN141"/>
      <c r="ZO141"/>
      <c r="ZP141"/>
      <c r="ZQ141"/>
      <c r="ZR141"/>
      <c r="ZS141"/>
      <c r="ZT141"/>
      <c r="ZU141"/>
      <c r="ZV141"/>
      <c r="ZW141"/>
      <c r="ZX141"/>
      <c r="ZY141"/>
      <c r="ZZ141"/>
      <c r="AAA141"/>
      <c r="AAB141"/>
      <c r="AAC141"/>
      <c r="AAD141"/>
      <c r="AAE141"/>
      <c r="AAF141"/>
      <c r="AAG141"/>
      <c r="AAH141"/>
      <c r="AAI141"/>
      <c r="AAJ141"/>
      <c r="AAK141"/>
      <c r="AAL141"/>
      <c r="AAM141"/>
      <c r="AAN141"/>
      <c r="AAO141"/>
      <c r="AAP141"/>
      <c r="AAQ141"/>
      <c r="AAR141"/>
      <c r="AAS141"/>
      <c r="AAT141"/>
      <c r="AAU141"/>
      <c r="AAV141"/>
      <c r="AAW141"/>
      <c r="AAX141"/>
      <c r="AAY141"/>
      <c r="AAZ141"/>
      <c r="ABA141"/>
      <c r="ABB141"/>
      <c r="ABC141"/>
      <c r="ABD141"/>
      <c r="ABE141"/>
      <c r="ABF141"/>
      <c r="ABG141"/>
      <c r="ABH141"/>
      <c r="ABI141"/>
      <c r="ABJ141"/>
      <c r="ABK141"/>
      <c r="ABL141"/>
      <c r="ABM141"/>
      <c r="ABN141"/>
      <c r="ABO141"/>
      <c r="ABP141"/>
      <c r="ABQ141"/>
      <c r="ABR141"/>
      <c r="ABS141"/>
      <c r="ABT141"/>
      <c r="ABU141"/>
      <c r="ABV141"/>
      <c r="ABW141"/>
      <c r="ABX141"/>
      <c r="ABY141"/>
      <c r="ABZ141"/>
      <c r="ACA141"/>
      <c r="ACB141"/>
      <c r="ACC141"/>
      <c r="ACD141"/>
      <c r="ACE141"/>
      <c r="ACF141"/>
      <c r="ACG141"/>
      <c r="ACH141"/>
      <c r="ACI141"/>
      <c r="ACJ141"/>
      <c r="ACK141"/>
      <c r="ACL141"/>
      <c r="ACM141"/>
      <c r="ACN141"/>
      <c r="ACO141"/>
      <c r="ACP141"/>
      <c r="ACQ141"/>
      <c r="ACR141"/>
      <c r="ACS141"/>
      <c r="ACT141"/>
      <c r="ACU141"/>
      <c r="ACV141"/>
      <c r="ACW141"/>
      <c r="ACX141"/>
      <c r="ACY141"/>
      <c r="ACZ141"/>
      <c r="ADA141"/>
      <c r="ADB141"/>
      <c r="ADC141"/>
      <c r="ADD141"/>
      <c r="ADE141"/>
      <c r="ADF141"/>
      <c r="ADG141"/>
      <c r="ADH141"/>
      <c r="ADI141"/>
      <c r="ADJ141"/>
      <c r="ADK141"/>
      <c r="ADL141"/>
      <c r="ADM141"/>
      <c r="ADN141"/>
      <c r="ADO141"/>
      <c r="ADP141"/>
      <c r="ADQ141"/>
      <c r="ADR141"/>
      <c r="ADS141"/>
      <c r="ADT141"/>
      <c r="ADU141"/>
      <c r="ADV141"/>
      <c r="ADW141"/>
      <c r="ADX141"/>
      <c r="ADY141"/>
      <c r="ADZ141"/>
      <c r="AEA141"/>
      <c r="AEB141"/>
      <c r="AEC141"/>
      <c r="AED141"/>
      <c r="AEE141"/>
      <c r="AEF141"/>
      <c r="AEG141"/>
      <c r="AEH141"/>
      <c r="AEI141"/>
      <c r="AEJ141"/>
      <c r="AEK141"/>
      <c r="AEL141"/>
      <c r="AEM141"/>
      <c r="AEN141"/>
      <c r="AEO141"/>
      <c r="AEP141"/>
      <c r="AEQ141"/>
      <c r="AER141"/>
      <c r="AES141"/>
      <c r="AET141"/>
      <c r="AEU141"/>
      <c r="AEV141"/>
      <c r="AEW141"/>
      <c r="AEX141"/>
      <c r="AEY141"/>
      <c r="AEZ141"/>
      <c r="AFA141"/>
      <c r="AFB141"/>
      <c r="AFC141"/>
      <c r="AFD141"/>
      <c r="AFE141"/>
      <c r="AFF141"/>
      <c r="AFG141"/>
      <c r="AFH141"/>
      <c r="AFI141"/>
      <c r="AFJ141"/>
      <c r="AFK141"/>
      <c r="AFL141"/>
      <c r="AFM141"/>
      <c r="AFN141"/>
      <c r="AFO141"/>
      <c r="AFP141"/>
      <c r="AFQ141"/>
      <c r="AFR141"/>
      <c r="AFS141"/>
      <c r="AFT141"/>
      <c r="AFU141"/>
      <c r="AFV141"/>
      <c r="AFW141"/>
      <c r="AFX141"/>
      <c r="AFY141"/>
      <c r="AFZ141"/>
      <c r="AGA141"/>
      <c r="AGB141"/>
      <c r="AGC141"/>
      <c r="AGD141"/>
      <c r="AGE141"/>
      <c r="AGF141"/>
      <c r="AGG141"/>
      <c r="AGH141"/>
      <c r="AGI141"/>
      <c r="AGJ141"/>
      <c r="AGK141"/>
      <c r="AGL141"/>
      <c r="AGM141"/>
      <c r="AGN141"/>
      <c r="AGO141"/>
      <c r="AGP141"/>
      <c r="AGQ141"/>
      <c r="AGR141"/>
      <c r="AGS141"/>
      <c r="AGT141"/>
      <c r="AGU141"/>
      <c r="AGV141"/>
      <c r="AGW141"/>
      <c r="AGX141"/>
      <c r="AGY141"/>
      <c r="AGZ141"/>
      <c r="AHA141"/>
      <c r="AHB141"/>
      <c r="AHC141"/>
      <c r="AHD141"/>
      <c r="AHE141"/>
      <c r="AHF141"/>
      <c r="AHG141"/>
      <c r="AHH141"/>
      <c r="AHI141"/>
      <c r="AHJ141"/>
      <c r="AHK141"/>
      <c r="AHL141"/>
      <c r="AHM141"/>
      <c r="AHN141"/>
      <c r="AHO141"/>
      <c r="AHP141"/>
      <c r="AHQ141"/>
      <c r="AHR141"/>
      <c r="AHS141"/>
      <c r="AHT141"/>
      <c r="AHU141"/>
      <c r="AHV141"/>
      <c r="AHW141"/>
      <c r="AHX141"/>
      <c r="AHY141"/>
      <c r="AHZ141"/>
      <c r="AIA141"/>
      <c r="AIB141"/>
      <c r="AIC141"/>
      <c r="AID141"/>
      <c r="AIE141"/>
      <c r="AIF141"/>
      <c r="AIG141"/>
      <c r="AIH141"/>
      <c r="AII141"/>
      <c r="AIJ141"/>
      <c r="AIK141"/>
      <c r="AIL141"/>
      <c r="AIM141"/>
      <c r="AIN141"/>
      <c r="AIO141"/>
      <c r="AIP141"/>
      <c r="AIQ141"/>
      <c r="AIR141"/>
      <c r="AIS141"/>
      <c r="AIT141"/>
      <c r="AIU141"/>
      <c r="AIV141"/>
      <c r="AIW141"/>
      <c r="AIX141"/>
      <c r="AIY141"/>
      <c r="AIZ141"/>
      <c r="AJA141"/>
      <c r="AJB141"/>
      <c r="AJC141"/>
      <c r="AJD141"/>
      <c r="AJE141"/>
      <c r="AJF141"/>
      <c r="AJG141"/>
      <c r="AJH141"/>
      <c r="AJI141"/>
      <c r="AJJ141"/>
      <c r="AJK141"/>
      <c r="AJL141"/>
      <c r="AJM141"/>
      <c r="AJN141"/>
      <c r="AJO141"/>
      <c r="AJP141"/>
      <c r="AJQ141"/>
      <c r="AJR141"/>
      <c r="AJS141"/>
      <c r="AJT141"/>
      <c r="AJU141"/>
      <c r="AJV141"/>
      <c r="AJW141"/>
      <c r="AJX141"/>
      <c r="AJY141"/>
      <c r="AJZ141"/>
      <c r="AKA141"/>
      <c r="AKB141"/>
      <c r="AKC141"/>
      <c r="AKD141"/>
      <c r="AKE141"/>
      <c r="AKF141"/>
      <c r="AKG141"/>
      <c r="AKH141"/>
      <c r="AKI141"/>
      <c r="AKJ141"/>
      <c r="AKK141"/>
      <c r="AKL141"/>
      <c r="AKM141"/>
      <c r="AKN141"/>
      <c r="AKO141"/>
      <c r="AKP141"/>
      <c r="AKQ141"/>
      <c r="AKR141"/>
      <c r="AKS141"/>
      <c r="AKT141"/>
      <c r="AKU141"/>
      <c r="AKV141"/>
      <c r="AKW141"/>
      <c r="AKX141"/>
      <c r="AKY141"/>
      <c r="AKZ141"/>
      <c r="ALA141"/>
      <c r="ALB141"/>
      <c r="ALC141"/>
      <c r="ALD141"/>
      <c r="ALE141"/>
      <c r="ALF141"/>
      <c r="ALG141"/>
      <c r="ALH141"/>
      <c r="ALI141"/>
      <c r="ALJ141"/>
      <c r="ALK141"/>
      <c r="ALL141"/>
      <c r="ALM141"/>
      <c r="ALN141"/>
      <c r="ALO141"/>
      <c r="ALP141"/>
      <c r="ALQ141"/>
      <c r="ALR141"/>
      <c r="ALS141"/>
      <c r="ALT141"/>
      <c r="ALU141"/>
      <c r="ALV141"/>
      <c r="ALW141"/>
      <c r="ALX141"/>
      <c r="ALY141"/>
      <c r="ALZ141"/>
      <c r="AMA141"/>
      <c r="AMB141"/>
      <c r="AMC141"/>
      <c r="AMD141"/>
      <c r="AME141"/>
      <c r="AMG141"/>
      <c r="AMH141"/>
      <c r="AMI141"/>
      <c r="AMJ141"/>
      <c r="AMK141"/>
    </row>
    <row r="142" spans="1:1025" ht="12.75" customHeight="1" x14ac:dyDescent="0.2">
      <c r="A142" s="82" t="s">
        <v>327</v>
      </c>
      <c r="B142" s="886" t="s">
        <v>328</v>
      </c>
      <c r="C142" s="886"/>
      <c r="D142" s="886"/>
      <c r="E142" s="886"/>
      <c r="F142" s="886"/>
      <c r="G142" s="55"/>
      <c r="H142" s="55"/>
      <c r="I142" s="55"/>
      <c r="J142" s="55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  <c r="TF142"/>
      <c r="TG142"/>
      <c r="TH142"/>
      <c r="TI142"/>
      <c r="TJ142"/>
      <c r="TK142"/>
      <c r="TL142"/>
      <c r="TM142"/>
      <c r="TN142"/>
      <c r="TO142"/>
      <c r="TP142"/>
      <c r="TQ142"/>
      <c r="TR142"/>
      <c r="TS142"/>
      <c r="TT142"/>
      <c r="TU142"/>
      <c r="TV142"/>
      <c r="TW142"/>
      <c r="TX142"/>
      <c r="TY142"/>
      <c r="TZ142"/>
      <c r="UA142"/>
      <c r="UB142"/>
      <c r="UC142"/>
      <c r="UD142"/>
      <c r="UE142"/>
      <c r="UF142"/>
      <c r="UG142"/>
      <c r="UH142"/>
      <c r="UI142"/>
      <c r="UJ142"/>
      <c r="UK142"/>
      <c r="UL142"/>
      <c r="UM142"/>
      <c r="UN142"/>
      <c r="UO142"/>
      <c r="UP142"/>
      <c r="UQ142"/>
      <c r="UR142"/>
      <c r="US142"/>
      <c r="UT142"/>
      <c r="UU142"/>
      <c r="UV142"/>
      <c r="UW142"/>
      <c r="UX142"/>
      <c r="UY142"/>
      <c r="UZ142"/>
      <c r="VA142"/>
      <c r="VB142"/>
      <c r="VC142"/>
      <c r="VD142"/>
      <c r="VE142"/>
      <c r="VF142"/>
      <c r="VG142"/>
      <c r="VH142"/>
      <c r="VI142"/>
      <c r="VJ142"/>
      <c r="VK142"/>
      <c r="VL142"/>
      <c r="VM142"/>
      <c r="VN142"/>
      <c r="VO142"/>
      <c r="VP142"/>
      <c r="VQ142"/>
      <c r="VR142"/>
      <c r="VS142"/>
      <c r="VT142"/>
      <c r="VU142"/>
      <c r="VV142"/>
      <c r="VW142"/>
      <c r="VX142"/>
      <c r="VY142"/>
      <c r="VZ142"/>
      <c r="WA142"/>
      <c r="WB142"/>
      <c r="WC142"/>
      <c r="WD142"/>
      <c r="WE142"/>
      <c r="WF142"/>
      <c r="WG142"/>
      <c r="WH142"/>
      <c r="WI142"/>
      <c r="WJ142"/>
      <c r="WK142"/>
      <c r="WL142"/>
      <c r="WM142"/>
      <c r="WN142"/>
      <c r="WO142"/>
      <c r="WP142"/>
      <c r="WQ142"/>
      <c r="WR142"/>
      <c r="WS142"/>
      <c r="WT142"/>
      <c r="WU142"/>
      <c r="WV142"/>
      <c r="WW142"/>
      <c r="WX142"/>
      <c r="WY142"/>
      <c r="WZ142"/>
      <c r="XA142"/>
      <c r="XB142"/>
      <c r="XC142"/>
      <c r="XD142"/>
      <c r="XE142"/>
      <c r="XF142"/>
      <c r="XG142"/>
      <c r="XH142"/>
      <c r="XI142"/>
      <c r="XJ142"/>
      <c r="XK142"/>
      <c r="XL142"/>
      <c r="XM142"/>
      <c r="XN142"/>
      <c r="XO142"/>
      <c r="XP142"/>
      <c r="XQ142"/>
      <c r="XR142"/>
      <c r="XS142"/>
      <c r="XT142"/>
      <c r="XU142"/>
      <c r="XV142"/>
      <c r="XW142"/>
      <c r="XX142"/>
      <c r="XY142"/>
      <c r="XZ142"/>
      <c r="YA142"/>
      <c r="YB142"/>
      <c r="YC142"/>
      <c r="YD142"/>
      <c r="YE142"/>
      <c r="YF142"/>
      <c r="YG142"/>
      <c r="YH142"/>
      <c r="YI142"/>
      <c r="YJ142"/>
      <c r="YK142"/>
      <c r="YL142"/>
      <c r="YM142"/>
      <c r="YN142"/>
      <c r="YO142"/>
      <c r="YP142"/>
      <c r="YQ142"/>
      <c r="YR142"/>
      <c r="YS142"/>
      <c r="YT142"/>
      <c r="YU142"/>
      <c r="YV142"/>
      <c r="YW142"/>
      <c r="YX142"/>
      <c r="YY142"/>
      <c r="YZ142"/>
      <c r="ZA142"/>
      <c r="ZB142"/>
      <c r="ZC142"/>
      <c r="ZD142"/>
      <c r="ZE142"/>
      <c r="ZF142"/>
      <c r="ZG142"/>
      <c r="ZH142"/>
      <c r="ZI142"/>
      <c r="ZJ142"/>
      <c r="ZK142"/>
      <c r="ZL142"/>
      <c r="ZM142"/>
      <c r="ZN142"/>
      <c r="ZO142"/>
      <c r="ZP142"/>
      <c r="ZQ142"/>
      <c r="ZR142"/>
      <c r="ZS142"/>
      <c r="ZT142"/>
      <c r="ZU142"/>
      <c r="ZV142"/>
      <c r="ZW142"/>
      <c r="ZX142"/>
      <c r="ZY142"/>
      <c r="ZZ142"/>
      <c r="AAA142"/>
      <c r="AAB142"/>
      <c r="AAC142"/>
      <c r="AAD142"/>
      <c r="AAE142"/>
      <c r="AAF142"/>
      <c r="AAG142"/>
      <c r="AAH142"/>
      <c r="AAI142"/>
      <c r="AAJ142"/>
      <c r="AAK142"/>
      <c r="AAL142"/>
      <c r="AAM142"/>
      <c r="AAN142"/>
      <c r="AAO142"/>
      <c r="AAP142"/>
      <c r="AAQ142"/>
      <c r="AAR142"/>
      <c r="AAS142"/>
      <c r="AAT142"/>
      <c r="AAU142"/>
      <c r="AAV142"/>
      <c r="AAW142"/>
      <c r="AAX142"/>
      <c r="AAY142"/>
      <c r="AAZ142"/>
      <c r="ABA142"/>
      <c r="ABB142"/>
      <c r="ABC142"/>
      <c r="ABD142"/>
      <c r="ABE142"/>
      <c r="ABF142"/>
      <c r="ABG142"/>
      <c r="ABH142"/>
      <c r="ABI142"/>
      <c r="ABJ142"/>
      <c r="ABK142"/>
      <c r="ABL142"/>
      <c r="ABM142"/>
      <c r="ABN142"/>
      <c r="ABO142"/>
      <c r="ABP142"/>
      <c r="ABQ142"/>
      <c r="ABR142"/>
      <c r="ABS142"/>
      <c r="ABT142"/>
      <c r="ABU142"/>
      <c r="ABV142"/>
      <c r="ABW142"/>
      <c r="ABX142"/>
      <c r="ABY142"/>
      <c r="ABZ142"/>
      <c r="ACA142"/>
      <c r="ACB142"/>
      <c r="ACC142"/>
      <c r="ACD142"/>
      <c r="ACE142"/>
      <c r="ACF142"/>
      <c r="ACG142"/>
      <c r="ACH142"/>
      <c r="ACI142"/>
      <c r="ACJ142"/>
      <c r="ACK142"/>
      <c r="ACL142"/>
      <c r="ACM142"/>
      <c r="ACN142"/>
      <c r="ACO142"/>
      <c r="ACP142"/>
      <c r="ACQ142"/>
      <c r="ACR142"/>
      <c r="ACS142"/>
      <c r="ACT142"/>
      <c r="ACU142"/>
      <c r="ACV142"/>
      <c r="ACW142"/>
      <c r="ACX142"/>
      <c r="ACY142"/>
      <c r="ACZ142"/>
      <c r="ADA142"/>
      <c r="ADB142"/>
      <c r="ADC142"/>
      <c r="ADD142"/>
      <c r="ADE142"/>
      <c r="ADF142"/>
      <c r="ADG142"/>
      <c r="ADH142"/>
      <c r="ADI142"/>
      <c r="ADJ142"/>
      <c r="ADK142"/>
      <c r="ADL142"/>
      <c r="ADM142"/>
      <c r="ADN142"/>
      <c r="ADO142"/>
      <c r="ADP142"/>
      <c r="ADQ142"/>
      <c r="ADR142"/>
      <c r="ADS142"/>
      <c r="ADT142"/>
      <c r="ADU142"/>
      <c r="ADV142"/>
      <c r="ADW142"/>
      <c r="ADX142"/>
      <c r="ADY142"/>
      <c r="ADZ142"/>
      <c r="AEA142"/>
      <c r="AEB142"/>
      <c r="AEC142"/>
      <c r="AED142"/>
      <c r="AEE142"/>
      <c r="AEF142"/>
      <c r="AEG142"/>
      <c r="AEH142"/>
      <c r="AEI142"/>
      <c r="AEJ142"/>
      <c r="AEK142"/>
      <c r="AEL142"/>
      <c r="AEM142"/>
      <c r="AEN142"/>
      <c r="AEO142"/>
      <c r="AEP142"/>
      <c r="AEQ142"/>
      <c r="AER142"/>
      <c r="AES142"/>
      <c r="AET142"/>
      <c r="AEU142"/>
      <c r="AEV142"/>
      <c r="AEW142"/>
      <c r="AEX142"/>
      <c r="AEY142"/>
      <c r="AEZ142"/>
      <c r="AFA142"/>
      <c r="AFB142"/>
      <c r="AFC142"/>
      <c r="AFD142"/>
      <c r="AFE142"/>
      <c r="AFF142"/>
      <c r="AFG142"/>
      <c r="AFH142"/>
      <c r="AFI142"/>
      <c r="AFJ142"/>
      <c r="AFK142"/>
      <c r="AFL142"/>
      <c r="AFM142"/>
      <c r="AFN142"/>
      <c r="AFO142"/>
      <c r="AFP142"/>
      <c r="AFQ142"/>
      <c r="AFR142"/>
      <c r="AFS142"/>
      <c r="AFT142"/>
      <c r="AFU142"/>
      <c r="AFV142"/>
      <c r="AFW142"/>
      <c r="AFX142"/>
      <c r="AFY142"/>
      <c r="AFZ142"/>
      <c r="AGA142"/>
      <c r="AGB142"/>
      <c r="AGC142"/>
      <c r="AGD142"/>
      <c r="AGE142"/>
      <c r="AGF142"/>
      <c r="AGG142"/>
      <c r="AGH142"/>
      <c r="AGI142"/>
      <c r="AGJ142"/>
      <c r="AGK142"/>
      <c r="AGL142"/>
      <c r="AGM142"/>
      <c r="AGN142"/>
      <c r="AGO142"/>
      <c r="AGP142"/>
      <c r="AGQ142"/>
      <c r="AGR142"/>
      <c r="AGS142"/>
      <c r="AGT142"/>
      <c r="AGU142"/>
      <c r="AGV142"/>
      <c r="AGW142"/>
      <c r="AGX142"/>
      <c r="AGY142"/>
      <c r="AGZ142"/>
      <c r="AHA142"/>
      <c r="AHB142"/>
      <c r="AHC142"/>
      <c r="AHD142"/>
      <c r="AHE142"/>
      <c r="AHF142"/>
      <c r="AHG142"/>
      <c r="AHH142"/>
      <c r="AHI142"/>
      <c r="AHJ142"/>
      <c r="AHK142"/>
      <c r="AHL142"/>
      <c r="AHM142"/>
      <c r="AHN142"/>
      <c r="AHO142"/>
      <c r="AHP142"/>
      <c r="AHQ142"/>
      <c r="AHR142"/>
      <c r="AHS142"/>
      <c r="AHT142"/>
      <c r="AHU142"/>
      <c r="AHV142"/>
      <c r="AHW142"/>
      <c r="AHX142"/>
      <c r="AHY142"/>
      <c r="AHZ142"/>
      <c r="AIA142"/>
      <c r="AIB142"/>
      <c r="AIC142"/>
      <c r="AID142"/>
      <c r="AIE142"/>
      <c r="AIF142"/>
      <c r="AIG142"/>
      <c r="AIH142"/>
      <c r="AII142"/>
      <c r="AIJ142"/>
      <c r="AIK142"/>
      <c r="AIL142"/>
      <c r="AIM142"/>
      <c r="AIN142"/>
      <c r="AIO142"/>
      <c r="AIP142"/>
      <c r="AIQ142"/>
      <c r="AIR142"/>
      <c r="AIS142"/>
      <c r="AIT142"/>
      <c r="AIU142"/>
      <c r="AIV142"/>
      <c r="AIW142"/>
      <c r="AIX142"/>
      <c r="AIY142"/>
      <c r="AIZ142"/>
      <c r="AJA142"/>
      <c r="AJB142"/>
      <c r="AJC142"/>
      <c r="AJD142"/>
      <c r="AJE142"/>
      <c r="AJF142"/>
      <c r="AJG142"/>
      <c r="AJH142"/>
      <c r="AJI142"/>
      <c r="AJJ142"/>
      <c r="AJK142"/>
      <c r="AJL142"/>
      <c r="AJM142"/>
      <c r="AJN142"/>
      <c r="AJO142"/>
      <c r="AJP142"/>
      <c r="AJQ142"/>
      <c r="AJR142"/>
      <c r="AJS142"/>
      <c r="AJT142"/>
      <c r="AJU142"/>
      <c r="AJV142"/>
      <c r="AJW142"/>
      <c r="AJX142"/>
      <c r="AJY142"/>
      <c r="AJZ142"/>
      <c r="AKA142"/>
      <c r="AKB142"/>
      <c r="AKC142"/>
      <c r="AKD142"/>
      <c r="AKE142"/>
      <c r="AKF142"/>
      <c r="AKG142"/>
      <c r="AKH142"/>
      <c r="AKI142"/>
      <c r="AKJ142"/>
      <c r="AKK142"/>
      <c r="AKL142"/>
      <c r="AKM142"/>
      <c r="AKN142"/>
      <c r="AKO142"/>
      <c r="AKP142"/>
      <c r="AKQ142"/>
      <c r="AKR142"/>
      <c r="AKS142"/>
      <c r="AKT142"/>
      <c r="AKU142"/>
      <c r="AKV142"/>
      <c r="AKW142"/>
      <c r="AKX142"/>
      <c r="AKY142"/>
      <c r="AKZ142"/>
      <c r="ALA142"/>
      <c r="ALB142"/>
      <c r="ALC142"/>
      <c r="ALD142"/>
      <c r="ALE142"/>
      <c r="ALF142"/>
      <c r="ALG142"/>
      <c r="ALH142"/>
      <c r="ALI142"/>
      <c r="ALJ142"/>
      <c r="ALK142"/>
      <c r="ALL142"/>
      <c r="ALM142"/>
      <c r="ALN142"/>
      <c r="ALO142"/>
      <c r="ALP142"/>
      <c r="ALQ142"/>
      <c r="ALR142"/>
      <c r="ALS142"/>
      <c r="ALT142"/>
      <c r="ALU142"/>
      <c r="ALV142"/>
      <c r="ALW142"/>
      <c r="ALX142"/>
      <c r="ALY142"/>
      <c r="ALZ142"/>
      <c r="AMA142"/>
      <c r="AMB142"/>
      <c r="AMC142"/>
      <c r="AMD142"/>
      <c r="AME142"/>
      <c r="AMF142"/>
      <c r="AMG142"/>
      <c r="AMH142"/>
      <c r="AMI142"/>
      <c r="AMJ142"/>
    </row>
    <row r="143" spans="1:1025" ht="12.75" customHeight="1" x14ac:dyDescent="0.2">
      <c r="A143" s="82" t="s">
        <v>329</v>
      </c>
      <c r="B143" s="886" t="s">
        <v>330</v>
      </c>
      <c r="C143" s="886"/>
      <c r="D143" s="886"/>
      <c r="E143" s="886"/>
      <c r="F143" s="886"/>
      <c r="G143" s="55"/>
      <c r="H143" s="55"/>
      <c r="I143" s="55"/>
      <c r="J143" s="55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  <c r="TU143"/>
      <c r="TV143"/>
      <c r="TW143"/>
      <c r="TX143"/>
      <c r="TY143"/>
      <c r="TZ143"/>
      <c r="UA143"/>
      <c r="UB143"/>
      <c r="UC143"/>
      <c r="UD143"/>
      <c r="UE143"/>
      <c r="UF143"/>
      <c r="UG143"/>
      <c r="UH143"/>
      <c r="UI143"/>
      <c r="UJ143"/>
      <c r="UK143"/>
      <c r="UL143"/>
      <c r="UM143"/>
      <c r="UN143"/>
      <c r="UO143"/>
      <c r="UP143"/>
      <c r="UQ143"/>
      <c r="UR143"/>
      <c r="US143"/>
      <c r="UT143"/>
      <c r="UU143"/>
      <c r="UV143"/>
      <c r="UW143"/>
      <c r="UX143"/>
      <c r="UY143"/>
      <c r="UZ143"/>
      <c r="VA143"/>
      <c r="VB143"/>
      <c r="VC143"/>
      <c r="VD143"/>
      <c r="VE143"/>
      <c r="VF143"/>
      <c r="VG143"/>
      <c r="VH143"/>
      <c r="VI143"/>
      <c r="VJ143"/>
      <c r="VK143"/>
      <c r="VL143"/>
      <c r="VM143"/>
      <c r="VN143"/>
      <c r="VO143"/>
      <c r="VP143"/>
      <c r="VQ143"/>
      <c r="VR143"/>
      <c r="VS143"/>
      <c r="VT143"/>
      <c r="VU143"/>
      <c r="VV143"/>
      <c r="VW143"/>
      <c r="VX143"/>
      <c r="VY143"/>
      <c r="VZ143"/>
      <c r="WA143"/>
      <c r="WB143"/>
      <c r="WC143"/>
      <c r="WD143"/>
      <c r="WE143"/>
      <c r="WF143"/>
      <c r="WG143"/>
      <c r="WH143"/>
      <c r="WI143"/>
      <c r="WJ143"/>
      <c r="WK143"/>
      <c r="WL143"/>
      <c r="WM143"/>
      <c r="WN143"/>
      <c r="WO143"/>
      <c r="WP143"/>
      <c r="WQ143"/>
      <c r="WR143"/>
      <c r="WS143"/>
      <c r="WT143"/>
      <c r="WU143"/>
      <c r="WV143"/>
      <c r="WW143"/>
      <c r="WX143"/>
      <c r="WY143"/>
      <c r="WZ143"/>
      <c r="XA143"/>
      <c r="XB143"/>
      <c r="XC143"/>
      <c r="XD143"/>
      <c r="XE143"/>
      <c r="XF143"/>
      <c r="XG143"/>
      <c r="XH143"/>
      <c r="XI143"/>
      <c r="XJ143"/>
      <c r="XK143"/>
      <c r="XL143"/>
      <c r="XM143"/>
      <c r="XN143"/>
      <c r="XO143"/>
      <c r="XP143"/>
      <c r="XQ143"/>
      <c r="XR143"/>
      <c r="XS143"/>
      <c r="XT143"/>
      <c r="XU143"/>
      <c r="XV143"/>
      <c r="XW143"/>
      <c r="XX143"/>
      <c r="XY143"/>
      <c r="XZ143"/>
      <c r="YA143"/>
      <c r="YB143"/>
      <c r="YC143"/>
      <c r="YD143"/>
      <c r="YE143"/>
      <c r="YF143"/>
      <c r="YG143"/>
      <c r="YH143"/>
      <c r="YI143"/>
      <c r="YJ143"/>
      <c r="YK143"/>
      <c r="YL143"/>
      <c r="YM143"/>
      <c r="YN143"/>
      <c r="YO143"/>
      <c r="YP143"/>
      <c r="YQ143"/>
      <c r="YR143"/>
      <c r="YS143"/>
      <c r="YT143"/>
      <c r="YU143"/>
      <c r="YV143"/>
      <c r="YW143"/>
      <c r="YX143"/>
      <c r="YY143"/>
      <c r="YZ143"/>
      <c r="ZA143"/>
      <c r="ZB143"/>
      <c r="ZC143"/>
      <c r="ZD143"/>
      <c r="ZE143"/>
      <c r="ZF143"/>
      <c r="ZG143"/>
      <c r="ZH143"/>
      <c r="ZI143"/>
      <c r="ZJ143"/>
      <c r="ZK143"/>
      <c r="ZL143"/>
      <c r="ZM143"/>
      <c r="ZN143"/>
      <c r="ZO143"/>
      <c r="ZP143"/>
      <c r="ZQ143"/>
      <c r="ZR143"/>
      <c r="ZS143"/>
      <c r="ZT143"/>
      <c r="ZU143"/>
      <c r="ZV143"/>
      <c r="ZW143"/>
      <c r="ZX143"/>
      <c r="ZY143"/>
      <c r="ZZ143"/>
      <c r="AAA143"/>
      <c r="AAB143"/>
      <c r="AAC143"/>
      <c r="AAD143"/>
      <c r="AAE143"/>
      <c r="AAF143"/>
      <c r="AAG143"/>
      <c r="AAH143"/>
      <c r="AAI143"/>
      <c r="AAJ143"/>
      <c r="AAK143"/>
      <c r="AAL143"/>
      <c r="AAM143"/>
      <c r="AAN143"/>
      <c r="AAO143"/>
      <c r="AAP143"/>
      <c r="AAQ143"/>
      <c r="AAR143"/>
      <c r="AAS143"/>
      <c r="AAT143"/>
      <c r="AAU143"/>
      <c r="AAV143"/>
      <c r="AAW143"/>
      <c r="AAX143"/>
      <c r="AAY143"/>
      <c r="AAZ143"/>
      <c r="ABA143"/>
      <c r="ABB143"/>
      <c r="ABC143"/>
      <c r="ABD143"/>
      <c r="ABE143"/>
      <c r="ABF143"/>
      <c r="ABG143"/>
      <c r="ABH143"/>
      <c r="ABI143"/>
      <c r="ABJ143"/>
      <c r="ABK143"/>
      <c r="ABL143"/>
      <c r="ABM143"/>
      <c r="ABN143"/>
      <c r="ABO143"/>
      <c r="ABP143"/>
      <c r="ABQ143"/>
      <c r="ABR143"/>
      <c r="ABS143"/>
      <c r="ABT143"/>
      <c r="ABU143"/>
      <c r="ABV143"/>
      <c r="ABW143"/>
      <c r="ABX143"/>
      <c r="ABY143"/>
      <c r="ABZ143"/>
      <c r="ACA143"/>
      <c r="ACB143"/>
      <c r="ACC143"/>
      <c r="ACD143"/>
      <c r="ACE143"/>
      <c r="ACF143"/>
      <c r="ACG143"/>
      <c r="ACH143"/>
      <c r="ACI143"/>
      <c r="ACJ143"/>
      <c r="ACK143"/>
      <c r="ACL143"/>
      <c r="ACM143"/>
      <c r="ACN143"/>
      <c r="ACO143"/>
      <c r="ACP143"/>
      <c r="ACQ143"/>
      <c r="ACR143"/>
      <c r="ACS143"/>
      <c r="ACT143"/>
      <c r="ACU143"/>
      <c r="ACV143"/>
      <c r="ACW143"/>
      <c r="ACX143"/>
      <c r="ACY143"/>
      <c r="ACZ143"/>
      <c r="ADA143"/>
      <c r="ADB143"/>
      <c r="ADC143"/>
      <c r="ADD143"/>
      <c r="ADE143"/>
      <c r="ADF143"/>
      <c r="ADG143"/>
      <c r="ADH143"/>
      <c r="ADI143"/>
      <c r="ADJ143"/>
      <c r="ADK143"/>
      <c r="ADL143"/>
      <c r="ADM143"/>
      <c r="ADN143"/>
      <c r="ADO143"/>
      <c r="ADP143"/>
      <c r="ADQ143"/>
      <c r="ADR143"/>
      <c r="ADS143"/>
      <c r="ADT143"/>
      <c r="ADU143"/>
      <c r="ADV143"/>
      <c r="ADW143"/>
      <c r="ADX143"/>
      <c r="ADY143"/>
      <c r="ADZ143"/>
      <c r="AEA143"/>
      <c r="AEB143"/>
      <c r="AEC143"/>
      <c r="AED143"/>
      <c r="AEE143"/>
      <c r="AEF143"/>
      <c r="AEG143"/>
      <c r="AEH143"/>
      <c r="AEI143"/>
      <c r="AEJ143"/>
      <c r="AEK143"/>
      <c r="AEL143"/>
      <c r="AEM143"/>
      <c r="AEN143"/>
      <c r="AEO143"/>
      <c r="AEP143"/>
      <c r="AEQ143"/>
      <c r="AER143"/>
      <c r="AES143"/>
      <c r="AET143"/>
      <c r="AEU143"/>
      <c r="AEV143"/>
      <c r="AEW143"/>
      <c r="AEX143"/>
      <c r="AEY143"/>
      <c r="AEZ143"/>
      <c r="AFA143"/>
      <c r="AFB143"/>
      <c r="AFC143"/>
      <c r="AFD143"/>
      <c r="AFE143"/>
      <c r="AFF143"/>
      <c r="AFG143"/>
      <c r="AFH143"/>
      <c r="AFI143"/>
      <c r="AFJ143"/>
      <c r="AFK143"/>
      <c r="AFL143"/>
      <c r="AFM143"/>
      <c r="AFN143"/>
      <c r="AFO143"/>
      <c r="AFP143"/>
      <c r="AFQ143"/>
      <c r="AFR143"/>
      <c r="AFS143"/>
      <c r="AFT143"/>
      <c r="AFU143"/>
      <c r="AFV143"/>
      <c r="AFW143"/>
      <c r="AFX143"/>
      <c r="AFY143"/>
      <c r="AFZ143"/>
      <c r="AGA143"/>
      <c r="AGB143"/>
      <c r="AGC143"/>
      <c r="AGD143"/>
      <c r="AGE143"/>
      <c r="AGF143"/>
      <c r="AGG143"/>
      <c r="AGH143"/>
      <c r="AGI143"/>
      <c r="AGJ143"/>
      <c r="AGK143"/>
      <c r="AGL143"/>
      <c r="AGM143"/>
      <c r="AGN143"/>
      <c r="AGO143"/>
      <c r="AGP143"/>
      <c r="AGQ143"/>
      <c r="AGR143"/>
      <c r="AGS143"/>
      <c r="AGT143"/>
      <c r="AGU143"/>
      <c r="AGV143"/>
      <c r="AGW143"/>
      <c r="AGX143"/>
      <c r="AGY143"/>
      <c r="AGZ143"/>
      <c r="AHA143"/>
      <c r="AHB143"/>
      <c r="AHC143"/>
      <c r="AHD143"/>
      <c r="AHE143"/>
      <c r="AHF143"/>
      <c r="AHG143"/>
      <c r="AHH143"/>
      <c r="AHI143"/>
      <c r="AHJ143"/>
      <c r="AHK143"/>
      <c r="AHL143"/>
      <c r="AHM143"/>
      <c r="AHN143"/>
      <c r="AHO143"/>
      <c r="AHP143"/>
      <c r="AHQ143"/>
      <c r="AHR143"/>
      <c r="AHS143"/>
      <c r="AHT143"/>
      <c r="AHU143"/>
      <c r="AHV143"/>
      <c r="AHW143"/>
      <c r="AHX143"/>
      <c r="AHY143"/>
      <c r="AHZ143"/>
      <c r="AIA143"/>
      <c r="AIB143"/>
      <c r="AIC143"/>
      <c r="AID143"/>
      <c r="AIE143"/>
      <c r="AIF143"/>
      <c r="AIG143"/>
      <c r="AIH143"/>
      <c r="AII143"/>
      <c r="AIJ143"/>
      <c r="AIK143"/>
      <c r="AIL143"/>
      <c r="AIM143"/>
      <c r="AIN143"/>
      <c r="AIO143"/>
      <c r="AIP143"/>
      <c r="AIQ143"/>
      <c r="AIR143"/>
      <c r="AIS143"/>
      <c r="AIT143"/>
      <c r="AIU143"/>
      <c r="AIV143"/>
      <c r="AIW143"/>
      <c r="AIX143"/>
      <c r="AIY143"/>
      <c r="AIZ143"/>
      <c r="AJA143"/>
      <c r="AJB143"/>
      <c r="AJC143"/>
      <c r="AJD143"/>
      <c r="AJE143"/>
      <c r="AJF143"/>
      <c r="AJG143"/>
      <c r="AJH143"/>
      <c r="AJI143"/>
      <c r="AJJ143"/>
      <c r="AJK143"/>
      <c r="AJL143"/>
      <c r="AJM143"/>
      <c r="AJN143"/>
      <c r="AJO143"/>
      <c r="AJP143"/>
      <c r="AJQ143"/>
      <c r="AJR143"/>
      <c r="AJS143"/>
      <c r="AJT143"/>
      <c r="AJU143"/>
      <c r="AJV143"/>
      <c r="AJW143"/>
      <c r="AJX143"/>
      <c r="AJY143"/>
      <c r="AJZ143"/>
      <c r="AKA143"/>
      <c r="AKB143"/>
      <c r="AKC143"/>
      <c r="AKD143"/>
      <c r="AKE143"/>
      <c r="AKF143"/>
      <c r="AKG143"/>
      <c r="AKH143"/>
      <c r="AKI143"/>
      <c r="AKJ143"/>
      <c r="AKK143"/>
      <c r="AKL143"/>
      <c r="AKM143"/>
      <c r="AKN143"/>
      <c r="AKO143"/>
      <c r="AKP143"/>
      <c r="AKQ143"/>
      <c r="AKR143"/>
      <c r="AKS143"/>
      <c r="AKT143"/>
      <c r="AKU143"/>
      <c r="AKV143"/>
      <c r="AKW143"/>
      <c r="AKX143"/>
      <c r="AKY143"/>
      <c r="AKZ143"/>
      <c r="ALA143"/>
      <c r="ALB143"/>
      <c r="ALC143"/>
      <c r="ALD143"/>
      <c r="ALE143"/>
      <c r="ALF143"/>
      <c r="ALG143"/>
      <c r="ALH143"/>
      <c r="ALI143"/>
      <c r="ALJ143"/>
      <c r="ALK143"/>
      <c r="ALL143"/>
      <c r="ALM143"/>
      <c r="ALN143"/>
      <c r="ALO143"/>
      <c r="ALP143"/>
      <c r="ALQ143"/>
      <c r="ALR143"/>
      <c r="ALS143"/>
      <c r="ALT143"/>
      <c r="ALU143"/>
      <c r="ALV143"/>
      <c r="ALW143"/>
      <c r="ALX143"/>
      <c r="ALY143"/>
      <c r="ALZ143"/>
      <c r="AMA143"/>
      <c r="AMB143"/>
      <c r="AMC143"/>
      <c r="AMD143"/>
      <c r="AME143"/>
      <c r="AMF143"/>
      <c r="AMG143"/>
      <c r="AMH143"/>
      <c r="AMI143"/>
      <c r="AMJ143"/>
    </row>
    <row r="144" spans="1:1025" x14ac:dyDescent="0.2">
      <c r="A144" s="54"/>
      <c r="B144" s="55"/>
      <c r="C144" s="55"/>
      <c r="D144" s="55"/>
      <c r="E144" s="55"/>
      <c r="F144" s="55"/>
      <c r="G144" s="55"/>
      <c r="H144" s="55"/>
      <c r="I144" s="55"/>
      <c r="J144" s="55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  <c r="ABW144"/>
      <c r="ABX144"/>
      <c r="ABY144"/>
      <c r="ABZ144"/>
      <c r="ACA144"/>
      <c r="ACB144"/>
      <c r="ACC144"/>
      <c r="ACD144"/>
      <c r="ACE144"/>
      <c r="ACF144"/>
      <c r="ACG144"/>
      <c r="ACH144"/>
      <c r="ACI144"/>
      <c r="ACJ144"/>
      <c r="ACK144"/>
      <c r="ACL144"/>
      <c r="ACM144"/>
      <c r="ACN144"/>
      <c r="ACO144"/>
      <c r="ACP144"/>
      <c r="ACQ144"/>
      <c r="ACR144"/>
      <c r="ACS144"/>
      <c r="ACT144"/>
      <c r="ACU144"/>
      <c r="ACV144"/>
      <c r="ACW144"/>
      <c r="ACX144"/>
      <c r="ACY144"/>
      <c r="ACZ144"/>
      <c r="ADA144"/>
      <c r="ADB144"/>
      <c r="ADC144"/>
      <c r="ADD144"/>
      <c r="ADE144"/>
      <c r="ADF144"/>
      <c r="ADG144"/>
      <c r="ADH144"/>
      <c r="ADI144"/>
      <c r="ADJ144"/>
      <c r="ADK144"/>
      <c r="ADL144"/>
      <c r="ADM144"/>
      <c r="ADN144"/>
      <c r="ADO144"/>
      <c r="ADP144"/>
      <c r="ADQ144"/>
      <c r="ADR144"/>
      <c r="ADS144"/>
      <c r="ADT144"/>
      <c r="ADU144"/>
      <c r="ADV144"/>
      <c r="ADW144"/>
      <c r="ADX144"/>
      <c r="ADY144"/>
      <c r="ADZ144"/>
      <c r="AEA144"/>
      <c r="AEB144"/>
      <c r="AEC144"/>
      <c r="AED144"/>
      <c r="AEE144"/>
      <c r="AEF144"/>
      <c r="AEG144"/>
      <c r="AEH144"/>
      <c r="AEI144"/>
      <c r="AEJ144"/>
      <c r="AEK144"/>
      <c r="AEL144"/>
      <c r="AEM144"/>
      <c r="AEN144"/>
      <c r="AEO144"/>
      <c r="AEP144"/>
      <c r="AEQ144"/>
      <c r="AER144"/>
      <c r="AES144"/>
      <c r="AET144"/>
      <c r="AEU144"/>
      <c r="AEV144"/>
      <c r="AEW144"/>
      <c r="AEX144"/>
      <c r="AEY144"/>
      <c r="AEZ144"/>
      <c r="AFA144"/>
      <c r="AFB144"/>
      <c r="AFC144"/>
      <c r="AFD144"/>
      <c r="AFE144"/>
      <c r="AFF144"/>
      <c r="AFG144"/>
      <c r="AFH144"/>
      <c r="AFI144"/>
      <c r="AFJ144"/>
      <c r="AFK144"/>
      <c r="AFL144"/>
      <c r="AFM144"/>
      <c r="AFN144"/>
      <c r="AFO144"/>
      <c r="AFP144"/>
      <c r="AFQ144"/>
      <c r="AFR144"/>
      <c r="AFS144"/>
      <c r="AFT144"/>
      <c r="AFU144"/>
      <c r="AFV144"/>
      <c r="AFW144"/>
      <c r="AFX144"/>
      <c r="AFY144"/>
      <c r="AFZ144"/>
      <c r="AGA144"/>
      <c r="AGB144"/>
      <c r="AGC144"/>
      <c r="AGD144"/>
      <c r="AGE144"/>
      <c r="AGF144"/>
      <c r="AGG144"/>
      <c r="AGH144"/>
      <c r="AGI144"/>
      <c r="AGJ144"/>
      <c r="AGK144"/>
      <c r="AGL144"/>
      <c r="AGM144"/>
      <c r="AGN144"/>
      <c r="AGO144"/>
      <c r="AGP144"/>
      <c r="AGQ144"/>
      <c r="AGR144"/>
      <c r="AGS144"/>
      <c r="AGT144"/>
      <c r="AGU144"/>
      <c r="AGV144"/>
      <c r="AGW144"/>
      <c r="AGX144"/>
      <c r="AGY144"/>
      <c r="AGZ144"/>
      <c r="AHA144"/>
      <c r="AHB144"/>
      <c r="AHC144"/>
      <c r="AHD144"/>
      <c r="AHE144"/>
      <c r="AHF144"/>
      <c r="AHG144"/>
      <c r="AHH144"/>
      <c r="AHI144"/>
      <c r="AHJ144"/>
      <c r="AHK144"/>
      <c r="AHL144"/>
      <c r="AHM144"/>
      <c r="AHN144"/>
      <c r="AHO144"/>
      <c r="AHP144"/>
      <c r="AHQ144"/>
      <c r="AHR144"/>
      <c r="AHS144"/>
      <c r="AHT144"/>
      <c r="AHU144"/>
      <c r="AHV144"/>
      <c r="AHW144"/>
      <c r="AHX144"/>
      <c r="AHY144"/>
      <c r="AHZ144"/>
      <c r="AIA144"/>
      <c r="AIB144"/>
      <c r="AIC144"/>
      <c r="AID144"/>
      <c r="AIE144"/>
      <c r="AIF144"/>
      <c r="AIG144"/>
      <c r="AIH144"/>
      <c r="AII144"/>
      <c r="AIJ144"/>
      <c r="AIK144"/>
      <c r="AIL144"/>
      <c r="AIM144"/>
      <c r="AIN144"/>
      <c r="AIO144"/>
      <c r="AIP144"/>
      <c r="AIQ144"/>
      <c r="AIR144"/>
      <c r="AIS144"/>
      <c r="AIT144"/>
      <c r="AIU144"/>
      <c r="AIV144"/>
      <c r="AIW144"/>
      <c r="AIX144"/>
      <c r="AIY144"/>
      <c r="AIZ144"/>
      <c r="AJA144"/>
      <c r="AJB144"/>
      <c r="AJC144"/>
      <c r="AJD144"/>
      <c r="AJE144"/>
      <c r="AJF144"/>
      <c r="AJG144"/>
      <c r="AJH144"/>
      <c r="AJI144"/>
      <c r="AJJ144"/>
      <c r="AJK144"/>
      <c r="AJL144"/>
      <c r="AJM144"/>
      <c r="AJN144"/>
      <c r="AJO144"/>
      <c r="AJP144"/>
      <c r="AJQ144"/>
      <c r="AJR144"/>
      <c r="AJS144"/>
      <c r="AJT144"/>
      <c r="AJU144"/>
      <c r="AJV144"/>
      <c r="AJW144"/>
      <c r="AJX144"/>
      <c r="AJY144"/>
      <c r="AJZ144"/>
      <c r="AKA144"/>
      <c r="AKB144"/>
      <c r="AKC144"/>
      <c r="AKD144"/>
      <c r="AKE144"/>
      <c r="AKF144"/>
      <c r="AKG144"/>
      <c r="AKH144"/>
      <c r="AKI144"/>
      <c r="AKJ144"/>
      <c r="AKK144"/>
      <c r="AKL144"/>
      <c r="AKM144"/>
      <c r="AKN144"/>
      <c r="AKO144"/>
      <c r="AKP144"/>
      <c r="AKQ144"/>
      <c r="AKR144"/>
      <c r="AKS144"/>
      <c r="AKT144"/>
      <c r="AKU144"/>
      <c r="AKV144"/>
      <c r="AKW144"/>
      <c r="AKX144"/>
      <c r="AKY144"/>
      <c r="AKZ144"/>
      <c r="ALA144"/>
      <c r="ALB144"/>
      <c r="ALC144"/>
      <c r="ALD144"/>
      <c r="ALE144"/>
      <c r="ALF144"/>
      <c r="ALG144"/>
      <c r="ALH144"/>
      <c r="ALI144"/>
      <c r="ALJ144"/>
      <c r="ALK144"/>
      <c r="ALL144"/>
      <c r="ALM144"/>
      <c r="ALN144"/>
      <c r="ALO144"/>
      <c r="ALP144"/>
      <c r="ALQ144"/>
      <c r="ALR144"/>
      <c r="ALS144"/>
      <c r="ALT144"/>
      <c r="ALU144"/>
      <c r="ALV144"/>
      <c r="ALW144"/>
      <c r="ALX144"/>
      <c r="ALY144"/>
      <c r="ALZ144"/>
      <c r="AMA144"/>
      <c r="AMB144"/>
      <c r="AMC144"/>
      <c r="AMD144"/>
      <c r="AME144"/>
      <c r="AMF144"/>
      <c r="AMG144"/>
      <c r="AMH144"/>
      <c r="AMI144"/>
      <c r="AMJ144"/>
    </row>
    <row r="145" spans="1:10" ht="20.25" customHeight="1" x14ac:dyDescent="0.2">
      <c r="A145" s="887" t="s">
        <v>331</v>
      </c>
      <c r="B145" s="888"/>
      <c r="C145" s="888"/>
      <c r="D145" s="888"/>
      <c r="E145" s="888"/>
      <c r="F145" s="888"/>
      <c r="G145" s="888"/>
      <c r="H145" s="743">
        <f>SUM(H146:H146)</f>
        <v>50.323333333333331</v>
      </c>
      <c r="I145" s="611"/>
      <c r="J145" s="55"/>
    </row>
    <row r="146" spans="1:10" ht="15" customHeight="1" x14ac:dyDescent="0.2">
      <c r="A146" s="744" t="s">
        <v>332</v>
      </c>
      <c r="B146" s="745" t="s">
        <v>167</v>
      </c>
      <c r="C146" s="745">
        <v>1</v>
      </c>
      <c r="D146" s="889">
        <f>(54.99+39.99+55.99)/3</f>
        <v>50.323333333333331</v>
      </c>
      <c r="E146" s="890"/>
      <c r="F146" s="890"/>
      <c r="G146" s="890"/>
      <c r="H146" s="746">
        <f>D146</f>
        <v>50.323333333333331</v>
      </c>
      <c r="I146" s="742"/>
      <c r="J146" s="55"/>
    </row>
    <row r="147" spans="1:10" x14ac:dyDescent="0.2">
      <c r="A147"/>
      <c r="B147"/>
      <c r="C147"/>
      <c r="D147"/>
      <c r="E147"/>
      <c r="F147"/>
      <c r="G147"/>
      <c r="H147"/>
      <c r="I147"/>
      <c r="J147"/>
    </row>
  </sheetData>
  <mergeCells count="28">
    <mergeCell ref="A103:G103"/>
    <mergeCell ref="A105:F105"/>
    <mergeCell ref="A112:F112"/>
    <mergeCell ref="A117:F117"/>
    <mergeCell ref="A118:F118"/>
    <mergeCell ref="A98:E98"/>
    <mergeCell ref="A99:G99"/>
    <mergeCell ref="A58:F58"/>
    <mergeCell ref="A59:F59"/>
    <mergeCell ref="A61:H61"/>
    <mergeCell ref="A69:F69"/>
    <mergeCell ref="A85:K85"/>
    <mergeCell ref="B142:F142"/>
    <mergeCell ref="B143:F143"/>
    <mergeCell ref="A145:G145"/>
    <mergeCell ref="D146:G146"/>
    <mergeCell ref="A1:H1"/>
    <mergeCell ref="B136:F136"/>
    <mergeCell ref="B137:F137"/>
    <mergeCell ref="B138:F138"/>
    <mergeCell ref="B139:F139"/>
    <mergeCell ref="B140:F140"/>
    <mergeCell ref="B141:F141"/>
    <mergeCell ref="A120:I120"/>
    <mergeCell ref="A122:G122"/>
    <mergeCell ref="A129:G129"/>
    <mergeCell ref="A135:F135"/>
    <mergeCell ref="A97:G97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6000"/>
  </sheetPr>
  <dimension ref="A1:ALY62"/>
  <sheetViews>
    <sheetView showGridLines="0" zoomScale="98" zoomScaleNormal="98" workbookViewId="0">
      <pane xSplit="4" ySplit="5" topLeftCell="Y51" activePane="bottomRight" state="frozen"/>
      <selection pane="topRight"/>
      <selection pane="bottomLeft"/>
      <selection pane="bottomRight" activeCell="AC58" sqref="AC58"/>
    </sheetView>
  </sheetViews>
  <sheetFormatPr defaultRowHeight="14.25" x14ac:dyDescent="0.2"/>
  <cols>
    <col min="1" max="1" width="6.75"/>
    <col min="2" max="2" width="27.25" customWidth="1"/>
    <col min="3" max="3" width="58.75" customWidth="1"/>
    <col min="6" max="6" width="8"/>
    <col min="7" max="7" width="8.5"/>
    <col min="8" max="8" width="6.625"/>
    <col min="9" max="9" width="7.875"/>
    <col min="10" max="10" width="7.375"/>
    <col min="11" max="11" width="9.25"/>
    <col min="12" max="12" width="9.125" customWidth="1"/>
    <col min="13" max="13" width="8.25"/>
    <col min="14" max="14" width="6.25"/>
    <col min="15" max="15" width="9.25" customWidth="1"/>
    <col min="16" max="16" width="7.375"/>
    <col min="17" max="17" width="8.625"/>
    <col min="18" max="18" width="6.875"/>
    <col min="19" max="19" width="7.5"/>
    <col min="20" max="20" width="8.875" customWidth="1"/>
    <col min="21" max="21" width="7.5"/>
    <col min="22" max="22" width="7"/>
    <col min="23" max="23" width="8.875"/>
    <col min="24" max="24" width="7.25"/>
    <col min="25" max="25" width="12.375"/>
    <col min="26" max="26" width="12.625" customWidth="1"/>
    <col min="27" max="29" width="10.875" customWidth="1"/>
    <col min="30" max="1014" width="10.625"/>
  </cols>
  <sheetData>
    <row r="1" spans="1:29" ht="23.25" x14ac:dyDescent="0.2">
      <c r="A1" s="965" t="s">
        <v>333</v>
      </c>
      <c r="B1" s="965"/>
      <c r="C1" s="965"/>
      <c r="D1" s="965"/>
      <c r="E1" s="965"/>
      <c r="F1" s="965"/>
      <c r="G1" s="965"/>
      <c r="H1" s="965"/>
      <c r="I1" s="965"/>
      <c r="J1" s="965"/>
      <c r="K1" s="965"/>
      <c r="L1" s="965"/>
      <c r="M1" s="965"/>
      <c r="N1" s="965"/>
      <c r="O1" s="965"/>
      <c r="P1" s="965"/>
      <c r="Q1" s="965"/>
      <c r="R1" s="965"/>
      <c r="S1" s="965"/>
      <c r="T1" s="965"/>
      <c r="U1" s="965"/>
      <c r="V1" s="965"/>
      <c r="W1" s="965"/>
      <c r="X1" s="965"/>
      <c r="Y1" s="965"/>
      <c r="Z1" s="965"/>
      <c r="AA1" s="965"/>
      <c r="AB1" s="965"/>
      <c r="AC1" s="965"/>
    </row>
    <row r="2" spans="1:29" ht="15" customHeight="1" x14ac:dyDescent="0.2">
      <c r="A2" s="966" t="s">
        <v>134</v>
      </c>
      <c r="B2" s="966"/>
      <c r="C2" s="342"/>
      <c r="D2" s="342"/>
      <c r="E2" s="967" t="s">
        <v>334</v>
      </c>
      <c r="F2" s="967"/>
      <c r="G2" s="967"/>
      <c r="H2" s="967"/>
      <c r="I2" s="967"/>
      <c r="J2" s="967"/>
      <c r="K2" s="967"/>
      <c r="L2" s="967"/>
      <c r="M2" s="968" t="s">
        <v>335</v>
      </c>
      <c r="N2" s="968"/>
      <c r="O2" s="968"/>
      <c r="P2" s="968"/>
      <c r="Q2" s="968"/>
      <c r="R2" s="968"/>
      <c r="S2" s="969" t="s">
        <v>336</v>
      </c>
      <c r="T2" s="969"/>
      <c r="U2" s="969"/>
      <c r="V2" s="969"/>
      <c r="W2" s="969"/>
      <c r="X2" s="969"/>
      <c r="Y2" s="144" t="s">
        <v>337</v>
      </c>
      <c r="Z2" s="144" t="s">
        <v>338</v>
      </c>
      <c r="AA2" s="144" t="s">
        <v>339</v>
      </c>
      <c r="AB2" s="144" t="s">
        <v>340</v>
      </c>
      <c r="AC2" s="144" t="s">
        <v>341</v>
      </c>
    </row>
    <row r="3" spans="1:29" ht="59.25" customHeight="1" x14ac:dyDescent="0.2">
      <c r="A3" s="944" t="s">
        <v>342</v>
      </c>
      <c r="B3" s="958" t="s">
        <v>343</v>
      </c>
      <c r="C3" s="672"/>
      <c r="D3" s="962" t="s">
        <v>344</v>
      </c>
      <c r="E3" s="961" t="s">
        <v>345</v>
      </c>
      <c r="F3" s="955"/>
      <c r="G3" s="955" t="s">
        <v>346</v>
      </c>
      <c r="H3" s="955"/>
      <c r="I3" s="955" t="s">
        <v>347</v>
      </c>
      <c r="J3" s="955"/>
      <c r="K3" s="955" t="s">
        <v>348</v>
      </c>
      <c r="L3" s="955"/>
      <c r="M3" s="956" t="s">
        <v>349</v>
      </c>
      <c r="N3" s="956"/>
      <c r="O3" s="957" t="s">
        <v>350</v>
      </c>
      <c r="P3" s="957"/>
      <c r="Q3" s="956" t="s">
        <v>351</v>
      </c>
      <c r="R3" s="956"/>
      <c r="S3" s="950" t="s">
        <v>352</v>
      </c>
      <c r="T3" s="950"/>
      <c r="U3" s="950" t="s">
        <v>353</v>
      </c>
      <c r="V3" s="950"/>
      <c r="W3" s="951" t="s">
        <v>354</v>
      </c>
      <c r="X3" s="951"/>
      <c r="Y3" s="952" t="s">
        <v>355</v>
      </c>
      <c r="Z3" s="933" t="s">
        <v>356</v>
      </c>
      <c r="AA3" s="953" t="s">
        <v>357</v>
      </c>
      <c r="AB3" s="942" t="s">
        <v>358</v>
      </c>
      <c r="AC3" s="947" t="s">
        <v>359</v>
      </c>
    </row>
    <row r="4" spans="1:29" ht="15" customHeight="1" thickBot="1" x14ac:dyDescent="0.25">
      <c r="A4" s="945"/>
      <c r="B4" s="959"/>
      <c r="C4" s="673"/>
      <c r="D4" s="963"/>
      <c r="E4" s="961"/>
      <c r="F4" s="955"/>
      <c r="G4" s="955"/>
      <c r="H4" s="955"/>
      <c r="I4" s="955"/>
      <c r="J4" s="955"/>
      <c r="K4" s="955"/>
      <c r="L4" s="955"/>
      <c r="M4" s="956"/>
      <c r="N4" s="956"/>
      <c r="O4" s="957"/>
      <c r="P4" s="957"/>
      <c r="Q4" s="956"/>
      <c r="R4" s="956"/>
      <c r="S4" s="950"/>
      <c r="T4" s="950"/>
      <c r="U4" s="950"/>
      <c r="V4" s="950"/>
      <c r="W4" s="951"/>
      <c r="X4" s="951"/>
      <c r="Y4" s="952"/>
      <c r="Z4" s="934"/>
      <c r="AA4" s="954"/>
      <c r="AB4" s="943"/>
      <c r="AC4" s="948"/>
    </row>
    <row r="5" spans="1:29" ht="24.75" customHeight="1" thickBot="1" x14ac:dyDescent="0.25">
      <c r="A5" s="946"/>
      <c r="B5" s="960"/>
      <c r="C5" s="674"/>
      <c r="D5" s="964"/>
      <c r="E5" s="372" t="s">
        <v>360</v>
      </c>
      <c r="F5" s="373" t="s">
        <v>361</v>
      </c>
      <c r="G5" s="372" t="s">
        <v>360</v>
      </c>
      <c r="H5" s="373" t="s">
        <v>361</v>
      </c>
      <c r="I5" s="372" t="s">
        <v>360</v>
      </c>
      <c r="J5" s="373" t="s">
        <v>361</v>
      </c>
      <c r="K5" s="372" t="s">
        <v>360</v>
      </c>
      <c r="L5" s="373" t="s">
        <v>361</v>
      </c>
      <c r="M5" s="561" t="s">
        <v>360</v>
      </c>
      <c r="N5" s="561" t="s">
        <v>361</v>
      </c>
      <c r="O5" s="561" t="s">
        <v>360</v>
      </c>
      <c r="P5" s="561" t="s">
        <v>361</v>
      </c>
      <c r="Q5" s="561" t="s">
        <v>360</v>
      </c>
      <c r="R5" s="561" t="s">
        <v>361</v>
      </c>
      <c r="S5" s="562" t="s">
        <v>360</v>
      </c>
      <c r="T5" s="562" t="s">
        <v>361</v>
      </c>
      <c r="U5" s="562" t="s">
        <v>360</v>
      </c>
      <c r="V5" s="562" t="s">
        <v>361</v>
      </c>
      <c r="W5" s="858" t="s">
        <v>360</v>
      </c>
      <c r="X5" s="580" t="s">
        <v>361</v>
      </c>
      <c r="Y5" s="425" t="s">
        <v>362</v>
      </c>
      <c r="Z5" s="860" t="s">
        <v>362</v>
      </c>
      <c r="AA5" s="426" t="s">
        <v>362</v>
      </c>
      <c r="AB5" s="147" t="s">
        <v>362</v>
      </c>
      <c r="AC5" s="861" t="s">
        <v>362</v>
      </c>
    </row>
    <row r="6" spans="1:29" ht="14.25" customHeight="1" x14ac:dyDescent="0.2">
      <c r="A6" s="148">
        <v>1</v>
      </c>
      <c r="B6" s="148" t="s">
        <v>78</v>
      </c>
      <c r="C6" s="148" t="s">
        <v>363</v>
      </c>
      <c r="D6" s="343">
        <f>MC!C68</f>
        <v>0.03</v>
      </c>
      <c r="E6" s="815">
        <v>2054.1999999999998</v>
      </c>
      <c r="F6" s="560">
        <f>'GEXCAS Limp.Ord.'!H149</f>
        <v>5.6470417362773215</v>
      </c>
      <c r="G6" s="821">
        <v>819.31</v>
      </c>
      <c r="H6" s="830">
        <f>'GEXCAS Limp.Ord.'!H155</f>
        <v>3.0117555926812378</v>
      </c>
      <c r="I6" s="821">
        <v>201.39</v>
      </c>
      <c r="J6" s="370">
        <f>'GEXCAS Limp.Ord.'!H161</f>
        <v>4.5176333890218565</v>
      </c>
      <c r="K6" s="585">
        <v>60.56</v>
      </c>
      <c r="L6" s="560">
        <f>'GEXCAS Limp.Ord.'!H167</f>
        <v>22.588166945109286</v>
      </c>
      <c r="M6" s="566">
        <v>92.89</v>
      </c>
      <c r="N6" s="560">
        <f>'GEXCAS Limp.Ord.'!H173</f>
        <v>2.5097963272343646</v>
      </c>
      <c r="O6" s="566">
        <v>17.11</v>
      </c>
      <c r="P6" s="560">
        <f>'GEXCAS Limp.Ord.'!H176</f>
        <v>4.5176333890218572E-2</v>
      </c>
      <c r="Q6" s="566">
        <v>58.39</v>
      </c>
      <c r="R6" s="560">
        <f>'GEXCAS Limp.Ord.'!H179</f>
        <v>0.50195926544687297</v>
      </c>
      <c r="S6" s="577">
        <v>203.15</v>
      </c>
      <c r="T6" s="560">
        <f>'GEXCAS Limp.Ord.'!H185</f>
        <v>0.28278908865472824</v>
      </c>
      <c r="U6" s="819">
        <v>137.85</v>
      </c>
      <c r="V6" s="560">
        <f>'GEXCAS Limp.Ord.'!H188</f>
        <v>1.2764380558089585</v>
      </c>
      <c r="W6" s="833">
        <v>341</v>
      </c>
      <c r="X6" s="582">
        <f>'GEXCAS Limp.Ord.'!H191</f>
        <v>1.2764380558089585</v>
      </c>
      <c r="Y6" s="571">
        <f t="shared" ref="Y6:Y24" si="0">(E6*F6)+(G6*H6)+(I6*J6)+(K6*L6)+(M6*N6)+(O6*P6)+(Q6*R6)+(S6*T6)+(U6*V6)+(W6*X6)</f>
        <v>17277.348503514902</v>
      </c>
      <c r="Z6" s="859"/>
      <c r="AA6" s="427">
        <f>'Prod. GEXCAS'!R4*'GEXCAS Limp.Ord.'!C141</f>
        <v>131.33455928078871</v>
      </c>
      <c r="AB6" s="153">
        <f>'Prod. GEXCAS'!S4*'GEXCAS Covid'!C141</f>
        <v>126.53517712370405</v>
      </c>
      <c r="AC6" s="154">
        <f>MC!I7*'Prod. GEXCAS'!T4</f>
        <v>4043.6000000000004</v>
      </c>
    </row>
    <row r="7" spans="1:29" ht="14.25" customHeight="1" x14ac:dyDescent="0.2">
      <c r="A7" s="155">
        <v>2</v>
      </c>
      <c r="B7" s="155" t="s">
        <v>80</v>
      </c>
      <c r="C7" s="155" t="s">
        <v>364</v>
      </c>
      <c r="D7" s="344">
        <f>MC!C69</f>
        <v>0.04</v>
      </c>
      <c r="E7" s="816">
        <v>136.41</v>
      </c>
      <c r="F7" s="556">
        <f>'GEXCAS Limp.Ord.'!J149</f>
        <v>5.710122696546672</v>
      </c>
      <c r="G7" s="822">
        <v>160.57</v>
      </c>
      <c r="H7" s="574">
        <f>'GEXCAS Limp.Ord.'!J155</f>
        <v>3.0453987714915582</v>
      </c>
      <c r="I7" s="816">
        <v>136.59</v>
      </c>
      <c r="J7" s="371">
        <f>'GEXCAS Limp.Ord.'!J161</f>
        <v>4.5680981572373378</v>
      </c>
      <c r="K7" s="586">
        <v>32</v>
      </c>
      <c r="L7" s="556">
        <f>'GEXCAS Limp.Ord.'!J167</f>
        <v>22.840490786186688</v>
      </c>
      <c r="M7" s="567">
        <v>114.18</v>
      </c>
      <c r="N7" s="556">
        <f>'GEXCAS Limp.Ord.'!J173</f>
        <v>2.5378323095762987</v>
      </c>
      <c r="O7" s="567">
        <v>1212.3599999999999</v>
      </c>
      <c r="P7" s="556">
        <f>'GEXCAS Limp.Ord.'!J176</f>
        <v>4.568098157237338E-2</v>
      </c>
      <c r="Q7" s="567">
        <v>373</v>
      </c>
      <c r="R7" s="556">
        <f>'GEXCAS Limp.Ord.'!J179</f>
        <v>0.50756646191525978</v>
      </c>
      <c r="S7" s="568">
        <v>0</v>
      </c>
      <c r="T7" s="556">
        <f>'GEXCAS Limp.Ord.'!J185</f>
        <v>0.28546130724134477</v>
      </c>
      <c r="U7" s="819">
        <v>77.81</v>
      </c>
      <c r="V7" s="556">
        <f>'GEXCAS Limp.Ord.'!J188</f>
        <v>1.290696660941538</v>
      </c>
      <c r="W7" s="834">
        <v>77.81</v>
      </c>
      <c r="X7" s="573">
        <f>'GEXCAS Limp.Ord.'!J191</f>
        <v>1.290696660941538</v>
      </c>
      <c r="Y7" s="571">
        <f t="shared" si="0"/>
        <v>3358.101742825972</v>
      </c>
      <c r="Z7" s="431"/>
      <c r="AA7" s="428">
        <f>'Prod. GEXCAS'!R5*'GEXCAS Limp.Ord.'!C142</f>
        <v>132.84850232725313</v>
      </c>
      <c r="AB7" s="160">
        <f>'Prod. GEXCAS'!S5*'GEXCAS Covid'!C142</f>
        <v>127.99379588017324</v>
      </c>
      <c r="AC7" s="161"/>
    </row>
    <row r="8" spans="1:29" ht="14.25" customHeight="1" x14ac:dyDescent="0.2">
      <c r="A8" s="155">
        <v>3</v>
      </c>
      <c r="B8" s="155" t="s">
        <v>82</v>
      </c>
      <c r="C8" s="155" t="s">
        <v>365</v>
      </c>
      <c r="D8" s="344">
        <f>MC!C70</f>
        <v>0.03</v>
      </c>
      <c r="E8" s="815">
        <v>1570.02</v>
      </c>
      <c r="F8" s="556">
        <f>'GEXCAS Limp.Ord.'!H149</f>
        <v>5.6470417362773215</v>
      </c>
      <c r="G8" s="823">
        <v>1341.31</v>
      </c>
      <c r="H8" s="574">
        <f>'GEXCAS Limp.Ord.'!H155</f>
        <v>3.0117555926812378</v>
      </c>
      <c r="I8" s="816">
        <v>751.5</v>
      </c>
      <c r="J8" s="371">
        <f>'GEXCAS Limp.Ord.'!H161</f>
        <v>4.5176333890218565</v>
      </c>
      <c r="K8" s="586">
        <v>125.26</v>
      </c>
      <c r="L8" s="556">
        <f>'GEXCAS Limp.Ord.'!H167</f>
        <v>22.588166945109286</v>
      </c>
      <c r="M8" s="567">
        <v>323.77</v>
      </c>
      <c r="N8" s="560">
        <f>'GEXCAS Limp.Ord.'!H173</f>
        <v>2.5097963272343646</v>
      </c>
      <c r="O8" s="567">
        <v>137</v>
      </c>
      <c r="P8" s="556">
        <f>'GEXCAS Limp.Ord.'!H176</f>
        <v>4.5176333890218572E-2</v>
      </c>
      <c r="Q8" s="567">
        <v>353</v>
      </c>
      <c r="R8" s="560">
        <f>'GEXCAS Limp.Ord.'!H179</f>
        <v>0.50195926544687297</v>
      </c>
      <c r="S8" s="568">
        <v>302</v>
      </c>
      <c r="T8" s="556">
        <f>'GEXCAS Limp.Ord.'!H185</f>
        <v>0.28278908865472824</v>
      </c>
      <c r="U8" s="819">
        <v>364</v>
      </c>
      <c r="V8" s="556">
        <f>'GEXCAS Limp.Ord.'!H188</f>
        <v>1.2764380558089585</v>
      </c>
      <c r="W8" s="834">
        <v>666</v>
      </c>
      <c r="X8" s="573">
        <f>'GEXCAS Limp.Ord.'!H191</f>
        <v>1.2764380558089585</v>
      </c>
      <c r="Y8" s="571">
        <f t="shared" si="0"/>
        <v>21526.172681775039</v>
      </c>
      <c r="Z8" s="431">
        <f>'Prod. GEXCAS'!Q6*'GEXCAS Covid'!C136</f>
        <v>8435.6784749136023</v>
      </c>
      <c r="AA8" s="428">
        <f>'Prod. GEXCAS'!R6*'GEXCAS Limp.Ord.'!C141</f>
        <v>131.33455928078871</v>
      </c>
      <c r="AB8" s="160">
        <f>'Prod. GEXCAS'!S6*'GEXCAS Covid'!C141</f>
        <v>126.53517712370405</v>
      </c>
      <c r="AC8" s="161"/>
    </row>
    <row r="9" spans="1:29" ht="14.25" customHeight="1" x14ac:dyDescent="0.2">
      <c r="A9" s="155">
        <v>4</v>
      </c>
      <c r="B9" s="155" t="s">
        <v>84</v>
      </c>
      <c r="C9" s="155" t="s">
        <v>366</v>
      </c>
      <c r="D9" s="344">
        <f>MC!C71</f>
        <v>0.04</v>
      </c>
      <c r="E9" s="816">
        <v>973</v>
      </c>
      <c r="F9" s="556">
        <f>'GEXCAS Limp.Ord.'!J149</f>
        <v>5.710122696546672</v>
      </c>
      <c r="G9" s="824">
        <v>1111.5</v>
      </c>
      <c r="H9" s="574">
        <f>'GEXCAS Limp.Ord.'!J155</f>
        <v>3.0453987714915582</v>
      </c>
      <c r="I9" s="828">
        <v>770</v>
      </c>
      <c r="J9" s="371">
        <f>'GEXCAS Limp.Ord.'!J161</f>
        <v>4.5680981572373378</v>
      </c>
      <c r="K9" s="586">
        <v>100.85</v>
      </c>
      <c r="L9" s="556">
        <f>'GEXCAS Limp.Ord.'!J167</f>
        <v>22.840490786186688</v>
      </c>
      <c r="M9" s="568">
        <v>1293</v>
      </c>
      <c r="N9" s="556">
        <f>'GEXCAS Limp.Ord.'!J173</f>
        <v>2.5378323095762987</v>
      </c>
      <c r="O9" s="567">
        <v>5607</v>
      </c>
      <c r="P9" s="556">
        <f>'GEXCAS Limp.Ord.'!J176</f>
        <v>4.568098157237338E-2</v>
      </c>
      <c r="Q9" s="567">
        <v>81</v>
      </c>
      <c r="R9" s="556">
        <f>'GEXCAS Limp.Ord.'!J179</f>
        <v>0.50756646191525978</v>
      </c>
      <c r="S9" s="568">
        <v>421.84</v>
      </c>
      <c r="T9" s="556">
        <f>'GEXCAS Limp.Ord.'!J185</f>
        <v>0.28546130724134477</v>
      </c>
      <c r="U9" s="819">
        <v>256.16000000000003</v>
      </c>
      <c r="V9" s="556">
        <f>'GEXCAS Limp.Ord.'!J188</f>
        <v>1.290696660941538</v>
      </c>
      <c r="W9" s="834">
        <v>678</v>
      </c>
      <c r="X9" s="573">
        <f>'GEXCAS Limp.Ord.'!J191</f>
        <v>1.290696660941538</v>
      </c>
      <c r="Y9" s="571">
        <f t="shared" si="0"/>
        <v>19666.608709117882</v>
      </c>
      <c r="Z9" s="431">
        <f>'Prod. GEXCAS'!Q7*'GEXCAS Covid'!C137</f>
        <v>4266.459862672441</v>
      </c>
      <c r="AA9" s="428">
        <f>'Prod. GEXCAS'!R7*'GEXCAS Limp.Ord.'!C142</f>
        <v>132.84850232725313</v>
      </c>
      <c r="AB9" s="160">
        <f>'Prod. GEXCAS'!S7*'GEXCAS Covid'!C142</f>
        <v>127.99379588017324</v>
      </c>
      <c r="AC9" s="161"/>
    </row>
    <row r="10" spans="1:29" ht="14.25" customHeight="1" x14ac:dyDescent="0.2">
      <c r="A10" s="155">
        <v>5</v>
      </c>
      <c r="B10" s="155" t="s">
        <v>86</v>
      </c>
      <c r="C10" s="155" t="s">
        <v>367</v>
      </c>
      <c r="D10" s="344">
        <f>MC!C72</f>
        <v>0.03</v>
      </c>
      <c r="E10" s="815">
        <v>1301.03</v>
      </c>
      <c r="F10" s="556">
        <f>'GEXCAS Limp.Ord.'!H149</f>
        <v>5.6470417362773215</v>
      </c>
      <c r="G10" s="822">
        <v>983.92</v>
      </c>
      <c r="H10" s="574">
        <f>'GEXCAS Limp.Ord.'!H155</f>
        <v>3.0117555926812378</v>
      </c>
      <c r="I10" s="816">
        <v>131.74</v>
      </c>
      <c r="J10" s="371">
        <f>'GEXCAS Limp.Ord.'!H161</f>
        <v>4.5176333890218565</v>
      </c>
      <c r="K10" s="586">
        <v>106.07</v>
      </c>
      <c r="L10" s="556">
        <f>'GEXCAS Limp.Ord.'!H167</f>
        <v>22.588166945109286</v>
      </c>
      <c r="M10" s="567">
        <v>210</v>
      </c>
      <c r="N10" s="556">
        <f>'GEXCAS Limp.Ord.'!H173</f>
        <v>2.5097963272343646</v>
      </c>
      <c r="O10" s="567">
        <v>381</v>
      </c>
      <c r="P10" s="556">
        <f>'GEXCAS Limp.Ord.'!H176</f>
        <v>4.5176333890218572E-2</v>
      </c>
      <c r="Q10" s="567">
        <v>126</v>
      </c>
      <c r="R10" s="556">
        <f>'GEXCAS Limp.Ord.'!H179</f>
        <v>0.50195926544687297</v>
      </c>
      <c r="S10" s="568">
        <v>256.05</v>
      </c>
      <c r="T10" s="556">
        <f>'GEXCAS Limp.Ord.'!H185</f>
        <v>0.28278908865472824</v>
      </c>
      <c r="U10" s="819">
        <v>149.84</v>
      </c>
      <c r="V10" s="556">
        <f>'GEXCAS Limp.Ord.'!H188</f>
        <v>1.2764380558089585</v>
      </c>
      <c r="W10" s="834">
        <v>405.89</v>
      </c>
      <c r="X10" s="573">
        <f>'GEXCAS Limp.Ord.'!H191</f>
        <v>1.2764380558089585</v>
      </c>
      <c r="Y10" s="571">
        <f t="shared" si="0"/>
        <v>14690.65650971974</v>
      </c>
      <c r="Z10" s="431">
        <f>'Prod. GEXCAS'!Q8*'GEXCAS Covid'!C136</f>
        <v>4217.8392374568011</v>
      </c>
      <c r="AA10" s="428">
        <f>'Prod. GEXCAS'!R8*'GEXCAS Limp.Ord.'!C141</f>
        <v>131.33455928078871</v>
      </c>
      <c r="AB10" s="160">
        <f>'Prod. GEXCAS'!S8*'GEXCAS Covid'!C141</f>
        <v>126.53517712370405</v>
      </c>
      <c r="AC10" s="161"/>
    </row>
    <row r="11" spans="1:29" ht="14.25" customHeight="1" x14ac:dyDescent="0.2">
      <c r="A11" s="155">
        <v>6</v>
      </c>
      <c r="B11" s="155" t="s">
        <v>89</v>
      </c>
      <c r="C11" s="155" t="s">
        <v>368</v>
      </c>
      <c r="D11" s="344">
        <f>MC!C73</f>
        <v>0.03</v>
      </c>
      <c r="E11" s="816">
        <v>243.96</v>
      </c>
      <c r="F11" s="556">
        <f>'GEXCAS Limp.Ord.'!H149</f>
        <v>5.6470417362773215</v>
      </c>
      <c r="G11" s="822">
        <v>524</v>
      </c>
      <c r="H11" s="574">
        <f>'GEXCAS Limp.Ord.'!H155</f>
        <v>3.0117555926812378</v>
      </c>
      <c r="I11" s="816">
        <v>466.81</v>
      </c>
      <c r="J11" s="371">
        <f>'GEXCAS Limp.Ord.'!H161</f>
        <v>4.5176333890218565</v>
      </c>
      <c r="K11" s="586">
        <v>21.28</v>
      </c>
      <c r="L11" s="556">
        <f>'GEXCAS Limp.Ord.'!H167</f>
        <v>22.588166945109286</v>
      </c>
      <c r="M11" s="567">
        <v>24.85</v>
      </c>
      <c r="N11" s="556">
        <f>'GEXCAS Limp.Ord.'!H173</f>
        <v>2.5097963272343646</v>
      </c>
      <c r="O11" s="569">
        <v>0</v>
      </c>
      <c r="P11" s="556">
        <f>'GEXCAS Limp.Ord.'!H176</f>
        <v>4.5176333890218572E-2</v>
      </c>
      <c r="Q11" s="569">
        <v>160</v>
      </c>
      <c r="R11" s="556">
        <f>'GEXCAS Limp.Ord.'!H179</f>
        <v>0.50195926544687297</v>
      </c>
      <c r="S11" s="568">
        <v>0</v>
      </c>
      <c r="T11" s="556">
        <f>'GEXCAS Limp.Ord.'!H185</f>
        <v>0.28278908865472824</v>
      </c>
      <c r="U11" s="819">
        <v>95.75</v>
      </c>
      <c r="V11" s="556">
        <f>'GEXCAS Limp.Ord.'!H188</f>
        <v>1.2764380558089585</v>
      </c>
      <c r="W11" s="833">
        <v>95.75</v>
      </c>
      <c r="X11" s="573">
        <f>'GEXCAS Limp.Ord.'!H191</f>
        <v>1.2764380558089585</v>
      </c>
      <c r="Y11" s="571">
        <f t="shared" si="0"/>
        <v>5932.4846763590931</v>
      </c>
      <c r="Z11" s="431">
        <f>'Prod. GEXCAS'!P9*'GEXCAS Covid'!D136</f>
        <v>3494.6769189587794</v>
      </c>
      <c r="AA11" s="428">
        <f>'Prod. GEXCAS'!R9*'GEXCAS Limp.Ord.'!C141</f>
        <v>131.33455928078871</v>
      </c>
      <c r="AB11" s="160">
        <f>'Prod. GEXCAS'!S9*'GEXCAS Covid'!C141</f>
        <v>126.53517712370405</v>
      </c>
      <c r="AC11" s="161"/>
    </row>
    <row r="12" spans="1:29" ht="14.25" customHeight="1" x14ac:dyDescent="0.2">
      <c r="A12" s="155">
        <v>7</v>
      </c>
      <c r="B12" s="155" t="s">
        <v>91</v>
      </c>
      <c r="C12" s="155" t="s">
        <v>369</v>
      </c>
      <c r="D12" s="344">
        <f>MC!C74</f>
        <v>0.02</v>
      </c>
      <c r="E12" s="815">
        <v>1187.0999999999999</v>
      </c>
      <c r="F12" s="556">
        <f>'GEXCAS Limp.Ord.'!D149</f>
        <v>5.5853823187746041</v>
      </c>
      <c r="G12" s="822">
        <v>857.82</v>
      </c>
      <c r="H12" s="574">
        <f>'GEXCAS Limp.Ord.'!D155</f>
        <v>2.9788705700131222</v>
      </c>
      <c r="I12" s="816">
        <v>144.71</v>
      </c>
      <c r="J12" s="371">
        <f>'GEXCAS Limp.Ord.'!D161</f>
        <v>4.4683058550196826</v>
      </c>
      <c r="K12" s="586">
        <v>104.8</v>
      </c>
      <c r="L12" s="556">
        <f>'GEXCAS Limp.Ord.'!D167</f>
        <v>22.341529275098416</v>
      </c>
      <c r="M12" s="567">
        <v>612.47</v>
      </c>
      <c r="N12" s="556">
        <f>'GEXCAS Limp.Ord.'!D173</f>
        <v>2.4823921416776016</v>
      </c>
      <c r="O12" s="569">
        <v>2104.5</v>
      </c>
      <c r="P12" s="556">
        <f>'GEXCAS Limp.Ord.'!D176</f>
        <v>4.4683058550196837E-2</v>
      </c>
      <c r="Q12" s="569">
        <v>205</v>
      </c>
      <c r="R12" s="556">
        <f>'GEXCAS Limp.Ord.'!D179</f>
        <v>0.49647842833552031</v>
      </c>
      <c r="S12" s="568">
        <v>263</v>
      </c>
      <c r="T12" s="556">
        <f>'GEXCAS Limp.Ord.'!D185</f>
        <v>0.2801770890785143</v>
      </c>
      <c r="U12" s="819">
        <v>137</v>
      </c>
      <c r="V12" s="556">
        <f>'GEXCAS Limp.Ord.'!D188</f>
        <v>1.2625007713554237</v>
      </c>
      <c r="W12" s="834">
        <v>400</v>
      </c>
      <c r="X12" s="573">
        <f>'GEXCAS Limp.Ord.'!D191</f>
        <v>1.2625007713554237</v>
      </c>
      <c r="Y12" s="571">
        <f t="shared" si="0"/>
        <v>14641.596689482663</v>
      </c>
      <c r="Z12" s="431">
        <f>('Prod. GEXCAS'!P10*'GEXCAS Covid'!D134)+('Prod. GEXCAS'!Q10*'GEXCAS Covid'!C134)</f>
        <v>7625.6145659207559</v>
      </c>
      <c r="AA12" s="428">
        <f>'Prod. GEXCAS'!R10*'GEXCAS Limp.Ord.'!C139</f>
        <v>129.85473326072349</v>
      </c>
      <c r="AB12" s="160">
        <f>'Prod. GEXCAS'!S10*'GEXCAS Covid'!C139</f>
        <v>125.10942864907072</v>
      </c>
      <c r="AC12" s="161"/>
    </row>
    <row r="13" spans="1:29" ht="14.25" customHeight="1" x14ac:dyDescent="0.2">
      <c r="A13" s="155">
        <v>8</v>
      </c>
      <c r="B13" s="155" t="s">
        <v>93</v>
      </c>
      <c r="C13" s="155" t="s">
        <v>370</v>
      </c>
      <c r="D13" s="344">
        <f>MC!C75</f>
        <v>0.03</v>
      </c>
      <c r="E13" s="817">
        <v>263.98</v>
      </c>
      <c r="F13" s="556">
        <f>'GEXCAS Limp.Ord.'!H149</f>
        <v>5.6470417362773215</v>
      </c>
      <c r="G13" s="822">
        <v>102.61</v>
      </c>
      <c r="H13" s="574">
        <f>'GEXCAS Limp.Ord.'!H155</f>
        <v>3.0117555926812378</v>
      </c>
      <c r="I13" s="816">
        <v>192.03</v>
      </c>
      <c r="J13" s="371">
        <f>'GEXCAS Limp.Ord.'!H161</f>
        <v>4.5176333890218565</v>
      </c>
      <c r="K13" s="586">
        <v>13.84</v>
      </c>
      <c r="L13" s="556">
        <f>'GEXCAS Limp.Ord.'!H167</f>
        <v>22.588166945109286</v>
      </c>
      <c r="M13" s="567">
        <v>0</v>
      </c>
      <c r="N13" s="556">
        <f>'GEXCAS Limp.Ord.'!H173</f>
        <v>2.5097963272343646</v>
      </c>
      <c r="O13" s="569">
        <v>0</v>
      </c>
      <c r="P13" s="556">
        <f>'GEXCAS Limp.Ord.'!H176</f>
        <v>4.5176333890218572E-2</v>
      </c>
      <c r="Q13" s="569">
        <v>38</v>
      </c>
      <c r="R13" s="556">
        <f>'GEXCAS Limp.Ord.'!H179</f>
        <v>0.50195926544687297</v>
      </c>
      <c r="S13" s="568">
        <v>0</v>
      </c>
      <c r="T13" s="556">
        <f>'GEXCAS Limp.Ord.'!H185</f>
        <v>0.28278908865472824</v>
      </c>
      <c r="U13" s="819">
        <v>35.93</v>
      </c>
      <c r="V13" s="556">
        <f>'GEXCAS Limp.Ord.'!H188</f>
        <v>1.2764380558089585</v>
      </c>
      <c r="W13" s="833">
        <v>35.93</v>
      </c>
      <c r="X13" s="573">
        <f>'GEXCAS Limp.Ord.'!H191</f>
        <v>1.2764380558089585</v>
      </c>
      <c r="Y13" s="571">
        <f t="shared" si="0"/>
        <v>3090.6829798991021</v>
      </c>
      <c r="Z13" s="431"/>
      <c r="AA13" s="428">
        <f>'Prod. GEXCAS'!R11*'GEXCAS Limp.Ord.'!C141</f>
        <v>131.33455928078871</v>
      </c>
      <c r="AB13" s="160">
        <f>'Prod. GEXCAS'!S11*'GEXCAS Covid'!C141</f>
        <v>126.53517712370405</v>
      </c>
      <c r="AC13" s="161"/>
    </row>
    <row r="14" spans="1:29" ht="14.25" customHeight="1" x14ac:dyDescent="0.2">
      <c r="A14" s="155">
        <v>9</v>
      </c>
      <c r="B14" s="155" t="s">
        <v>96</v>
      </c>
      <c r="C14" s="155" t="s">
        <v>371</v>
      </c>
      <c r="D14" s="344">
        <f>MC!C76</f>
        <v>0.03</v>
      </c>
      <c r="E14" s="815">
        <v>1130.76</v>
      </c>
      <c r="F14" s="556">
        <f>'GEXCAS Limp.Ord.'!H149</f>
        <v>5.6470417362773215</v>
      </c>
      <c r="G14" s="822">
        <v>571.33000000000004</v>
      </c>
      <c r="H14" s="574">
        <f>'GEXCAS Limp.Ord.'!H155</f>
        <v>3.0117555926812378</v>
      </c>
      <c r="I14" s="816">
        <v>542.57000000000005</v>
      </c>
      <c r="J14" s="371">
        <f>'GEXCAS Limp.Ord.'!H161</f>
        <v>4.5176333890218565</v>
      </c>
      <c r="K14" s="586">
        <v>80.760000000000005</v>
      </c>
      <c r="L14" s="556">
        <f>'GEXCAS Limp.Ord.'!H167</f>
        <v>22.588166945109286</v>
      </c>
      <c r="M14" s="567">
        <v>826</v>
      </c>
      <c r="N14" s="556">
        <f>'GEXCAS Limp.Ord.'!H173</f>
        <v>2.5097963272343646</v>
      </c>
      <c r="O14" s="568">
        <v>397</v>
      </c>
      <c r="P14" s="556">
        <f>'GEXCAS Limp.Ord.'!H176</f>
        <v>4.5176333890218572E-2</v>
      </c>
      <c r="Q14" s="569">
        <v>158.38999999999999</v>
      </c>
      <c r="R14" s="556">
        <f>'GEXCAS Limp.Ord.'!H179</f>
        <v>0.50195926544687297</v>
      </c>
      <c r="S14" s="568">
        <v>209.15</v>
      </c>
      <c r="T14" s="556">
        <f>'GEXCAS Limp.Ord.'!H185</f>
        <v>0.28278908865472824</v>
      </c>
      <c r="U14" s="819">
        <v>265.85000000000002</v>
      </c>
      <c r="V14" s="556">
        <f>'GEXCAS Limp.Ord.'!H188</f>
        <v>1.2764380558089585</v>
      </c>
      <c r="W14" s="834">
        <v>475</v>
      </c>
      <c r="X14" s="573">
        <f>'GEXCAS Limp.Ord.'!H191</f>
        <v>1.2764380558089585</v>
      </c>
      <c r="Y14" s="571">
        <f t="shared" si="0"/>
        <v>15556.834517290463</v>
      </c>
      <c r="Z14" s="431">
        <f>'Prod. GEXCAS'!Q12*'GEXCAS Covid'!C136</f>
        <v>4217.8392374568011</v>
      </c>
      <c r="AA14" s="428">
        <f>'Prod. GEXCAS'!R12*'GEXCAS Limp.Ord.'!C141</f>
        <v>131.33455928078871</v>
      </c>
      <c r="AB14" s="160">
        <f>'Prod. GEXCAS'!S12*'GEXCAS Covid'!C141</f>
        <v>126.53517712370405</v>
      </c>
      <c r="AC14" s="161"/>
    </row>
    <row r="15" spans="1:29" ht="14.25" customHeight="1" x14ac:dyDescent="0.2">
      <c r="A15" s="155">
        <v>10</v>
      </c>
      <c r="B15" s="155" t="s">
        <v>98</v>
      </c>
      <c r="C15" s="155" t="s">
        <v>372</v>
      </c>
      <c r="D15" s="344">
        <f>MC!C77</f>
        <v>0.04</v>
      </c>
      <c r="E15" s="816">
        <v>159.47999999999999</v>
      </c>
      <c r="F15" s="556">
        <f>'GEXCAS Limp.Ord.'!J149</f>
        <v>5.710122696546672</v>
      </c>
      <c r="G15" s="822">
        <v>168.26</v>
      </c>
      <c r="H15" s="574">
        <f>'GEXCAS Limp.Ord.'!J155</f>
        <v>3.0453987714915582</v>
      </c>
      <c r="I15" s="816">
        <v>206.27</v>
      </c>
      <c r="J15" s="371">
        <f>'GEXCAS Limp.Ord.'!J161</f>
        <v>4.5680981572373378</v>
      </c>
      <c r="K15" s="586">
        <v>34.35</v>
      </c>
      <c r="L15" s="556">
        <f>'GEXCAS Limp.Ord.'!J167</f>
        <v>22.840490786186688</v>
      </c>
      <c r="M15" s="567">
        <v>163.52000000000001</v>
      </c>
      <c r="N15" s="556">
        <f>'GEXCAS Limp.Ord.'!J173</f>
        <v>2.5378323095762987</v>
      </c>
      <c r="O15" s="569">
        <v>694.07</v>
      </c>
      <c r="P15" s="556">
        <f>'GEXCAS Limp.Ord.'!J176</f>
        <v>4.568098157237338E-2</v>
      </c>
      <c r="Q15" s="569">
        <v>365</v>
      </c>
      <c r="R15" s="556">
        <f>'GEXCAS Limp.Ord.'!J179</f>
        <v>0.50756646191525978</v>
      </c>
      <c r="S15" s="568">
        <v>0</v>
      </c>
      <c r="T15" s="556">
        <f>'GEXCAS Limp.Ord.'!J185</f>
        <v>0.28546130724134477</v>
      </c>
      <c r="U15" s="819">
        <v>89.98</v>
      </c>
      <c r="V15" s="556">
        <f>'GEXCAS Limp.Ord.'!J188</f>
        <v>1.290696660941538</v>
      </c>
      <c r="W15" s="833">
        <v>89.98</v>
      </c>
      <c r="X15" s="573">
        <f>'GEXCAS Limp.Ord.'!J191</f>
        <v>1.290696660941538</v>
      </c>
      <c r="Y15" s="571">
        <f t="shared" si="0"/>
        <v>4014.1292981792535</v>
      </c>
      <c r="Z15" s="431">
        <f>'Prod. GEXCAS'!P13*'GEXCAS Covid'!D137</f>
        <v>3534.961379119688</v>
      </c>
      <c r="AA15" s="428">
        <f>'Prod. GEXCAS'!R13*'GEXCAS Limp.Ord.'!C142</f>
        <v>132.84850232725313</v>
      </c>
      <c r="AB15" s="160">
        <f>'Prod. GEXCAS'!S13*'GEXCAS Covid'!C142</f>
        <v>127.99379588017324</v>
      </c>
      <c r="AC15" s="161"/>
    </row>
    <row r="16" spans="1:29" ht="14.25" customHeight="1" x14ac:dyDescent="0.2">
      <c r="A16" s="155">
        <v>11</v>
      </c>
      <c r="B16" s="155" t="s">
        <v>100</v>
      </c>
      <c r="C16" s="155" t="s">
        <v>373</v>
      </c>
      <c r="D16" s="344">
        <f>MC!C78</f>
        <v>0.03</v>
      </c>
      <c r="E16" s="816">
        <v>74.900000000000006</v>
      </c>
      <c r="F16" s="556">
        <f>'GEXCAS Limp.Ord.'!H149</f>
        <v>5.6470417362773215</v>
      </c>
      <c r="G16" s="822">
        <v>21.16</v>
      </c>
      <c r="H16" s="574">
        <f>'GEXCAS Limp.Ord.'!H155</f>
        <v>3.0117555926812378</v>
      </c>
      <c r="I16" s="816">
        <v>60.5</v>
      </c>
      <c r="J16" s="371">
        <f>'GEXCAS Limp.Ord.'!H161</f>
        <v>4.5176333890218565</v>
      </c>
      <c r="K16" s="586">
        <v>14.99</v>
      </c>
      <c r="L16" s="556">
        <f>'GEXCAS Limp.Ord.'!H167</f>
        <v>22.588166945109286</v>
      </c>
      <c r="M16" s="567">
        <v>0</v>
      </c>
      <c r="N16" s="556">
        <f>'GEXCAS Limp.Ord.'!H173</f>
        <v>2.5097963272343646</v>
      </c>
      <c r="O16" s="569">
        <v>0</v>
      </c>
      <c r="P16" s="556">
        <f>'GEXCAS Limp.Ord.'!H176</f>
        <v>4.5176333890218572E-2</v>
      </c>
      <c r="Q16" s="569">
        <v>46.51</v>
      </c>
      <c r="R16" s="556">
        <f>'GEXCAS Limp.Ord.'!H179</f>
        <v>0.50195926544687297</v>
      </c>
      <c r="S16" s="568">
        <v>0</v>
      </c>
      <c r="T16" s="556">
        <f>'GEXCAS Limp.Ord.'!H185</f>
        <v>0.28278908865472824</v>
      </c>
      <c r="U16" s="819">
        <v>34.06</v>
      </c>
      <c r="V16" s="556">
        <f>'GEXCAS Limp.Ord.'!H188</f>
        <v>1.2764380558089585</v>
      </c>
      <c r="W16" s="834">
        <v>34.06</v>
      </c>
      <c r="X16" s="573">
        <f>'GEXCAS Limp.Ord.'!H191</f>
        <v>1.2764380558089585</v>
      </c>
      <c r="Y16" s="571">
        <f t="shared" si="0"/>
        <v>1208.9027027289571</v>
      </c>
      <c r="Z16" s="431"/>
      <c r="AA16" s="428">
        <f>'Prod. GEXCAS'!R14*'GEXCAS Limp.Ord.'!C141</f>
        <v>131.33455928078871</v>
      </c>
      <c r="AB16" s="160">
        <f>'Prod. GEXCAS'!S14*'GEXCAS Covid'!C141</f>
        <v>126.53517712370405</v>
      </c>
      <c r="AC16" s="161"/>
    </row>
    <row r="17" spans="1:1013" ht="14.25" customHeight="1" x14ac:dyDescent="0.2">
      <c r="A17" s="155">
        <v>12</v>
      </c>
      <c r="B17" s="155" t="s">
        <v>102</v>
      </c>
      <c r="C17" s="155" t="s">
        <v>374</v>
      </c>
      <c r="D17" s="344">
        <f>MC!C79</f>
        <v>0.03</v>
      </c>
      <c r="E17" s="816">
        <v>541.91999999999996</v>
      </c>
      <c r="F17" s="556">
        <f>'GEXCAS Limp.Ord.'!H149</f>
        <v>5.6470417362773215</v>
      </c>
      <c r="G17" s="822">
        <v>186.3</v>
      </c>
      <c r="H17" s="574">
        <f>'GEXCAS Limp.Ord.'!H155</f>
        <v>3.0117555926812378</v>
      </c>
      <c r="I17" s="816">
        <v>236.46</v>
      </c>
      <c r="J17" s="371">
        <f>'GEXCAS Limp.Ord.'!H161</f>
        <v>4.5176333890218565</v>
      </c>
      <c r="K17" s="586">
        <v>22.76</v>
      </c>
      <c r="L17" s="556">
        <f>'GEXCAS Limp.Ord.'!H167</f>
        <v>22.588166945109286</v>
      </c>
      <c r="M17" s="567">
        <v>82.75</v>
      </c>
      <c r="N17" s="556">
        <f>'GEXCAS Limp.Ord.'!H173</f>
        <v>2.5097963272343646</v>
      </c>
      <c r="O17" s="569">
        <v>371.82</v>
      </c>
      <c r="P17" s="556">
        <f>'GEXCAS Limp.Ord.'!H176</f>
        <v>4.5176333890218572E-2</v>
      </c>
      <c r="Q17" s="569">
        <v>154</v>
      </c>
      <c r="R17" s="556">
        <f>'GEXCAS Limp.Ord.'!H179</f>
        <v>0.50195926544687297</v>
      </c>
      <c r="S17" s="568">
        <v>6.52</v>
      </c>
      <c r="T17" s="556">
        <f>'GEXCAS Limp.Ord.'!H185</f>
        <v>0.28278908865472824</v>
      </c>
      <c r="U17" s="819">
        <v>70.72</v>
      </c>
      <c r="V17" s="556">
        <f>'GEXCAS Limp.Ord.'!H188</f>
        <v>1.2764380558089585</v>
      </c>
      <c r="W17" s="833">
        <v>77.239999999999995</v>
      </c>
      <c r="X17" s="573">
        <f>'GEXCAS Limp.Ord.'!H191</f>
        <v>1.2764380558089585</v>
      </c>
      <c r="Y17" s="571">
        <f t="shared" si="0"/>
        <v>5696.1715924987602</v>
      </c>
      <c r="Z17" s="431">
        <f>'Prod. GEXCAS'!P15*'GEXCAS Covid'!D136</f>
        <v>3494.6769189587794</v>
      </c>
      <c r="AA17" s="428">
        <f>'Prod. GEXCAS'!R15*'GEXCAS Limp.Ord.'!C141</f>
        <v>131.33455928078871</v>
      </c>
      <c r="AB17" s="160">
        <f>'Prod. GEXCAS'!S15*'GEXCAS Covid'!C141</f>
        <v>126.53517712370405</v>
      </c>
      <c r="AC17" s="161"/>
    </row>
    <row r="18" spans="1:1013" s="145" customFormat="1" ht="14.25" customHeight="1" x14ac:dyDescent="0.2">
      <c r="A18" s="155">
        <v>13</v>
      </c>
      <c r="B18" s="155" t="s">
        <v>104</v>
      </c>
      <c r="C18" s="155" t="s">
        <v>375</v>
      </c>
      <c r="D18" s="344">
        <f>MC!C80</f>
        <v>0.03</v>
      </c>
      <c r="E18" s="816">
        <v>56.37</v>
      </c>
      <c r="F18" s="556">
        <f>'GEXCAS Limp.Ord.'!H149</f>
        <v>5.6470417362773215</v>
      </c>
      <c r="G18" s="825">
        <v>70.95</v>
      </c>
      <c r="H18" s="574">
        <f>'GEXCAS Limp.Ord.'!H155</f>
        <v>3.0117555926812378</v>
      </c>
      <c r="I18" s="816">
        <v>106.69</v>
      </c>
      <c r="J18" s="371">
        <f>'GEXCAS Limp.Ord.'!H161</f>
        <v>4.5176333890218565</v>
      </c>
      <c r="K18" s="586">
        <v>20.32</v>
      </c>
      <c r="L18" s="556">
        <f>'GEXCAS Limp.Ord.'!H167</f>
        <v>22.588166945109286</v>
      </c>
      <c r="M18" s="568">
        <v>277</v>
      </c>
      <c r="N18" s="556">
        <f>'GEXCAS Limp.Ord.'!H173</f>
        <v>2.5097963272343646</v>
      </c>
      <c r="O18" s="569">
        <v>455</v>
      </c>
      <c r="P18" s="556">
        <f>'GEXCAS Limp.Ord.'!H176</f>
        <v>4.5176333890218572E-2</v>
      </c>
      <c r="Q18" s="569">
        <v>635</v>
      </c>
      <c r="R18" s="556">
        <f>'GEXCAS Limp.Ord.'!H179</f>
        <v>0.50195926544687297</v>
      </c>
      <c r="S18" s="568">
        <v>0</v>
      </c>
      <c r="T18" s="556">
        <f>'GEXCAS Limp.Ord.'!H185</f>
        <v>0.28278908865472824</v>
      </c>
      <c r="U18" s="819">
        <v>22.3</v>
      </c>
      <c r="V18" s="556">
        <f>'GEXCAS Limp.Ord.'!H188</f>
        <v>1.2764380558089585</v>
      </c>
      <c r="W18" s="834">
        <v>22.3</v>
      </c>
      <c r="X18" s="573">
        <f>'GEXCAS Limp.Ord.'!H191</f>
        <v>1.2764380558089585</v>
      </c>
      <c r="Y18" s="571">
        <f t="shared" si="0"/>
        <v>2564.4277459858613</v>
      </c>
      <c r="Z18" s="431">
        <f>'Prod. GEXCAS'!P16*'GEXCAS Covid'!D136</f>
        <v>3494.6769189587794</v>
      </c>
      <c r="AA18" s="428">
        <f>'Prod. GEXCAS'!R16*'GEXCAS Limp.Ord.'!C141</f>
        <v>131.33455928078871</v>
      </c>
      <c r="AB18" s="160">
        <f>'Prod. GEXCAS'!S16*'GEXCAS Covid'!C141</f>
        <v>126.53517712370405</v>
      </c>
      <c r="AC18" s="161"/>
      <c r="ALM18" s="162"/>
      <c r="ALN18" s="162"/>
      <c r="ALO18" s="162"/>
      <c r="ALP18" s="162"/>
      <c r="ALQ18" s="162"/>
      <c r="ALR18" s="162"/>
      <c r="ALS18" s="162"/>
      <c r="ALT18" s="162"/>
      <c r="ALU18" s="162"/>
      <c r="ALV18" s="162"/>
      <c r="ALW18" s="162"/>
      <c r="ALX18" s="162"/>
      <c r="ALY18" s="162"/>
    </row>
    <row r="19" spans="1:1013" s="145" customFormat="1" ht="14.25" customHeight="1" x14ac:dyDescent="0.2">
      <c r="A19" s="155">
        <v>14</v>
      </c>
      <c r="B19" s="155" t="s">
        <v>106</v>
      </c>
      <c r="C19" s="155" t="s">
        <v>376</v>
      </c>
      <c r="D19" s="344">
        <f>MC!C81</f>
        <v>0.03</v>
      </c>
      <c r="E19" s="816">
        <v>121.24</v>
      </c>
      <c r="F19" s="556">
        <f>'GEXCAS Limp.Ord.'!H149</f>
        <v>5.6470417362773215</v>
      </c>
      <c r="G19" s="822">
        <v>85.67</v>
      </c>
      <c r="H19" s="574">
        <f>'GEXCAS Limp.Ord.'!H155</f>
        <v>3.0117555926812378</v>
      </c>
      <c r="I19" s="816">
        <v>129.88999999999999</v>
      </c>
      <c r="J19" s="371">
        <f>'GEXCAS Limp.Ord.'!H161</f>
        <v>4.5176333890218565</v>
      </c>
      <c r="K19" s="586">
        <v>16.649999999999999</v>
      </c>
      <c r="L19" s="556">
        <f>'GEXCAS Limp.Ord.'!H167</f>
        <v>22.588166945109286</v>
      </c>
      <c r="M19" s="567">
        <v>12</v>
      </c>
      <c r="N19" s="556">
        <f>'GEXCAS Limp.Ord.'!H173</f>
        <v>2.5097963272343646</v>
      </c>
      <c r="O19" s="569">
        <v>0</v>
      </c>
      <c r="P19" s="556">
        <f>'GEXCAS Limp.Ord.'!H176</f>
        <v>4.5176333890218572E-2</v>
      </c>
      <c r="Q19" s="569">
        <v>335</v>
      </c>
      <c r="R19" s="556">
        <f>'GEXCAS Limp.Ord.'!H179</f>
        <v>0.50195926544687297</v>
      </c>
      <c r="S19" s="568">
        <v>0</v>
      </c>
      <c r="T19" s="556">
        <f>'GEXCAS Limp.Ord.'!H185</f>
        <v>0.28278908865472824</v>
      </c>
      <c r="U19" s="819">
        <v>54.25</v>
      </c>
      <c r="V19" s="556">
        <f>'GEXCAS Limp.Ord.'!H188</f>
        <v>1.2764380558089585</v>
      </c>
      <c r="W19" s="833">
        <v>54.25</v>
      </c>
      <c r="X19" s="573">
        <f>'GEXCAS Limp.Ord.'!H191</f>
        <v>1.2764380558089585</v>
      </c>
      <c r="Y19" s="571">
        <f t="shared" si="0"/>
        <v>2242.3202611741694</v>
      </c>
      <c r="Z19" s="431"/>
      <c r="AA19" s="428">
        <f>'Prod. GEXCAS'!R17*'GEXCAS Limp.Ord.'!C141</f>
        <v>131.33455928078871</v>
      </c>
      <c r="AB19" s="160">
        <f>'Prod. GEXCAS'!S17*'GEXCAS Covid'!C141</f>
        <v>126.53517712370405</v>
      </c>
      <c r="AC19" s="161"/>
      <c r="ALM19" s="162"/>
      <c r="ALN19" s="162"/>
      <c r="ALO19" s="162"/>
      <c r="ALP19" s="162"/>
      <c r="ALQ19" s="162"/>
      <c r="ALR19" s="162"/>
      <c r="ALS19" s="162"/>
      <c r="ALT19" s="162"/>
      <c r="ALU19" s="162"/>
      <c r="ALV19" s="162"/>
      <c r="ALW19" s="162"/>
      <c r="ALX19" s="162"/>
      <c r="ALY19" s="162"/>
    </row>
    <row r="20" spans="1:1013" s="145" customFormat="1" ht="14.25" customHeight="1" x14ac:dyDescent="0.2">
      <c r="A20" s="155">
        <v>15</v>
      </c>
      <c r="B20" s="155" t="s">
        <v>108</v>
      </c>
      <c r="C20" s="155" t="s">
        <v>377</v>
      </c>
      <c r="D20" s="345">
        <f>MC!C82</f>
        <v>0.03</v>
      </c>
      <c r="E20" s="816">
        <v>81.66</v>
      </c>
      <c r="F20" s="557">
        <f>'GEXCAS Limp.Ord.'!H149</f>
        <v>5.6470417362773215</v>
      </c>
      <c r="G20" s="822">
        <v>34.479999999999997</v>
      </c>
      <c r="H20" s="574">
        <f>'GEXCAS Limp.Ord.'!H155</f>
        <v>3.0117555926812378</v>
      </c>
      <c r="I20" s="816">
        <v>41.84</v>
      </c>
      <c r="J20" s="583">
        <f>'GEXCAS Limp.Ord.'!H161</f>
        <v>4.5176333890218565</v>
      </c>
      <c r="K20" s="587">
        <v>7.05</v>
      </c>
      <c r="L20" s="557">
        <f>'GEXCAS Limp.Ord.'!H167</f>
        <v>22.588166945109286</v>
      </c>
      <c r="M20" s="567">
        <v>35</v>
      </c>
      <c r="N20" s="557">
        <f>'GEXCAS Limp.Ord.'!H173</f>
        <v>2.5097963272343646</v>
      </c>
      <c r="O20" s="569">
        <v>0</v>
      </c>
      <c r="P20" s="557">
        <f>'GEXCAS Limp.Ord.'!H176</f>
        <v>4.5176333890218572E-2</v>
      </c>
      <c r="Q20" s="567">
        <v>61</v>
      </c>
      <c r="R20" s="557">
        <f>'GEXCAS Limp.Ord.'!H179</f>
        <v>0.50195926544687297</v>
      </c>
      <c r="S20" s="568">
        <v>0</v>
      </c>
      <c r="T20" s="557">
        <f>'GEXCAS Limp.Ord.'!H185</f>
        <v>0.28278908865472824</v>
      </c>
      <c r="U20" s="819">
        <v>10.34</v>
      </c>
      <c r="V20" s="557">
        <f>'GEXCAS Limp.Ord.'!H188</f>
        <v>1.2764380558089585</v>
      </c>
      <c r="W20" s="834">
        <v>10.34</v>
      </c>
      <c r="X20" s="573">
        <f>'GEXCAS Limp.Ord.'!H191</f>
        <v>1.2764380558089585</v>
      </c>
      <c r="Y20" s="571">
        <f t="shared" si="0"/>
        <v>1058.1062446193416</v>
      </c>
      <c r="Z20" s="549"/>
      <c r="AA20" s="550">
        <f>'Prod. GEXCAS'!R18*'GEXCAS Limp.Ord.'!C141</f>
        <v>131.33455928078871</v>
      </c>
      <c r="AB20" s="551">
        <f>'Prod. GEXCAS'!S18*'GEXCAS Covid'!C141</f>
        <v>126.53517712370405</v>
      </c>
      <c r="AC20" s="169"/>
      <c r="ALM20" s="162"/>
      <c r="ALN20" s="162"/>
      <c r="ALO20" s="162"/>
      <c r="ALP20" s="162"/>
      <c r="ALQ20" s="162"/>
      <c r="ALR20" s="162"/>
      <c r="ALS20" s="162"/>
      <c r="ALT20" s="162"/>
      <c r="ALU20" s="162"/>
      <c r="ALV20" s="162"/>
      <c r="ALW20" s="162"/>
      <c r="ALX20" s="162"/>
      <c r="ALY20" s="162"/>
    </row>
    <row r="21" spans="1:1013" s="145" customFormat="1" ht="14.25" customHeight="1" x14ac:dyDescent="0.2">
      <c r="A21" s="155">
        <v>16</v>
      </c>
      <c r="B21" s="155" t="s">
        <v>110</v>
      </c>
      <c r="C21" s="155" t="s">
        <v>378</v>
      </c>
      <c r="D21" s="345">
        <f>MC!C83</f>
        <v>0.03</v>
      </c>
      <c r="E21" s="816">
        <v>110.89</v>
      </c>
      <c r="F21" s="557">
        <f>'GEXCAS Limp.Ord.'!H149</f>
        <v>5.6470417362773215</v>
      </c>
      <c r="G21" s="822">
        <v>26.86</v>
      </c>
      <c r="H21" s="574">
        <f>'GEXCAS Limp.Ord.'!H155</f>
        <v>3.0117555926812378</v>
      </c>
      <c r="I21" s="828">
        <v>140.72999999999999</v>
      </c>
      <c r="J21" s="583">
        <f>'GEXCAS Limp.Ord.'!H161</f>
        <v>4.5176333890218565</v>
      </c>
      <c r="K21" s="587">
        <v>24.27</v>
      </c>
      <c r="L21" s="557">
        <f>'GEXCAS Limp.Ord.'!H167</f>
        <v>22.588166945109286</v>
      </c>
      <c r="M21" s="567">
        <v>119.85</v>
      </c>
      <c r="N21" s="557">
        <f>'GEXCAS Limp.Ord.'!H173</f>
        <v>2.5097963272343646</v>
      </c>
      <c r="O21" s="569">
        <v>1080</v>
      </c>
      <c r="P21" s="557">
        <f>'GEXCAS Limp.Ord.'!H176</f>
        <v>4.5176333890218572E-2</v>
      </c>
      <c r="Q21" s="569">
        <v>739.76</v>
      </c>
      <c r="R21" s="557">
        <f>'GEXCAS Limp.Ord.'!H179</f>
        <v>0.50195926544687297</v>
      </c>
      <c r="S21" s="568">
        <v>0</v>
      </c>
      <c r="T21" s="557">
        <f>'GEXCAS Limp.Ord.'!H185</f>
        <v>0.28278908865472824</v>
      </c>
      <c r="U21" s="819">
        <v>116.27</v>
      </c>
      <c r="V21" s="557">
        <f>'GEXCAS Limp.Ord.'!H188</f>
        <v>1.2764380558089585</v>
      </c>
      <c r="W21" s="834">
        <v>116.27</v>
      </c>
      <c r="X21" s="573">
        <f>'GEXCAS Limp.Ord.'!H191</f>
        <v>1.2764380558089585</v>
      </c>
      <c r="Y21" s="571">
        <f t="shared" si="0"/>
        <v>2908.8193940753272</v>
      </c>
      <c r="Z21" s="549"/>
      <c r="AA21" s="550">
        <f>'Prod. GEXCAS'!R19*'GEXCAS Limp.Ord.'!C141</f>
        <v>131.33455928078871</v>
      </c>
      <c r="AB21" s="551">
        <f>'Prod. GEXCAS'!S19*'GEXCAS Covid'!C141</f>
        <v>126.53517712370405</v>
      </c>
      <c r="AC21" s="169"/>
      <c r="ALM21" s="162"/>
      <c r="ALN21" s="162"/>
      <c r="ALO21" s="162"/>
      <c r="ALP21" s="162"/>
      <c r="ALQ21" s="162"/>
      <c r="ALR21" s="162"/>
      <c r="ALS21" s="162"/>
      <c r="ALT21" s="162"/>
      <c r="ALU21" s="162"/>
      <c r="ALV21" s="162"/>
      <c r="ALW21" s="162"/>
      <c r="ALX21" s="162"/>
      <c r="ALY21" s="162"/>
    </row>
    <row r="22" spans="1:1013" s="145" customFormat="1" ht="14.25" customHeight="1" x14ac:dyDescent="0.2">
      <c r="A22" s="155">
        <v>17</v>
      </c>
      <c r="B22" s="155" t="s">
        <v>112</v>
      </c>
      <c r="C22" s="155" t="s">
        <v>379</v>
      </c>
      <c r="D22" s="345">
        <f>MC!C84</f>
        <v>0.05</v>
      </c>
      <c r="E22" s="816">
        <v>110.89</v>
      </c>
      <c r="F22" s="557">
        <f>'GEXCAS Limp.Ord.'!L149</f>
        <v>5.7746749328572902</v>
      </c>
      <c r="G22" s="822">
        <v>26.86</v>
      </c>
      <c r="H22" s="574">
        <f>'GEXCAS Limp.Ord.'!L155</f>
        <v>3.0798266308572213</v>
      </c>
      <c r="I22" s="828">
        <v>140.72999999999999</v>
      </c>
      <c r="J22" s="583">
        <f>'GEXCAS Limp.Ord.'!L161</f>
        <v>4.619739946285832</v>
      </c>
      <c r="K22" s="587">
        <v>24.27</v>
      </c>
      <c r="L22" s="557">
        <f>'GEXCAS Limp.Ord.'!L167</f>
        <v>23.098699731429161</v>
      </c>
      <c r="M22" s="572">
        <v>498.5</v>
      </c>
      <c r="N22" s="557">
        <f>'GEXCAS Limp.Ord.'!L173</f>
        <v>2.5665221923810178</v>
      </c>
      <c r="O22" s="572">
        <v>341.5</v>
      </c>
      <c r="P22" s="557">
        <f>'GEXCAS Limp.Ord.'!L176</f>
        <v>4.6197399462858328E-2</v>
      </c>
      <c r="Q22" s="572">
        <v>207.92</v>
      </c>
      <c r="R22" s="557">
        <f>'GEXCAS Limp.Ord.'!L179</f>
        <v>0.51330443847620355</v>
      </c>
      <c r="S22" s="578">
        <v>0</v>
      </c>
      <c r="T22" s="557">
        <f>'GEXCAS Limp.Ord.'!L185</f>
        <v>0.28819585162589983</v>
      </c>
      <c r="U22" s="819">
        <v>116.27</v>
      </c>
      <c r="V22" s="557">
        <f>'GEXCAS Limp.Ord.'!L188</f>
        <v>1.3052878282929528</v>
      </c>
      <c r="W22" s="834">
        <v>116.27</v>
      </c>
      <c r="X22" s="573">
        <f>'GEXCAS Limp.Ord.'!L191</f>
        <v>1.3052878282929528</v>
      </c>
      <c r="Y22" s="571">
        <f t="shared" si="0"/>
        <v>3639.2649069896797</v>
      </c>
      <c r="Z22" s="549"/>
      <c r="AA22" s="550">
        <f>'Prod. GEXCAS'!R20*'GEXCAS Limp.Ord.'!C143</f>
        <v>134.39775599870796</v>
      </c>
      <c r="AB22" s="551">
        <f>'Prod. GEXCAS'!S20*'GEXCAS Covid'!C143</f>
        <v>129.48643489918399</v>
      </c>
      <c r="AC22" s="169"/>
      <c r="ALM22" s="162"/>
      <c r="ALN22" s="162"/>
      <c r="ALO22" s="162"/>
      <c r="ALP22" s="162"/>
      <c r="ALQ22" s="162"/>
      <c r="ALR22" s="162"/>
      <c r="ALS22" s="162"/>
      <c r="ALT22" s="162"/>
      <c r="ALU22" s="162"/>
      <c r="ALV22" s="162"/>
      <c r="ALW22" s="162"/>
      <c r="ALX22" s="162"/>
      <c r="ALY22" s="162"/>
    </row>
    <row r="23" spans="1:1013" s="145" customFormat="1" ht="14.25" customHeight="1" x14ac:dyDescent="0.2">
      <c r="A23" s="155">
        <v>18</v>
      </c>
      <c r="B23" s="155" t="s">
        <v>114</v>
      </c>
      <c r="C23" s="155" t="s">
        <v>380</v>
      </c>
      <c r="D23" s="345">
        <f>MC!C85</f>
        <v>0.03</v>
      </c>
      <c r="E23" s="816">
        <v>110.16</v>
      </c>
      <c r="F23" s="574">
        <f>'GEXCAS Limp.Ord.'!H149</f>
        <v>5.6470417362773215</v>
      </c>
      <c r="G23" s="822">
        <v>26.86</v>
      </c>
      <c r="H23" s="574">
        <f>'GEXCAS Limp.Ord.'!H155</f>
        <v>3.0117555926812378</v>
      </c>
      <c r="I23" s="816">
        <v>140.72999999999999</v>
      </c>
      <c r="J23" s="573">
        <f>'GEXCAS Limp.Ord.'!H161</f>
        <v>4.5176333890218565</v>
      </c>
      <c r="K23" s="588">
        <v>24.27</v>
      </c>
      <c r="L23" s="574">
        <f>'GEXCAS Limp.Ord.'!H167</f>
        <v>22.588166945109286</v>
      </c>
      <c r="M23" s="575">
        <v>119.37</v>
      </c>
      <c r="N23" s="574">
        <f>'GEXCAS Limp.Ord.'!H173</f>
        <v>2.5097963272343646</v>
      </c>
      <c r="O23" s="576">
        <v>201.51</v>
      </c>
      <c r="P23" s="574">
        <f>'GEXCAS Limp.Ord.'!H176</f>
        <v>4.5176333890218572E-2</v>
      </c>
      <c r="Q23" s="576">
        <v>570.84</v>
      </c>
      <c r="R23" s="557">
        <f>'GEXCAS Limp.Ord.'!H179</f>
        <v>0.50195926544687297</v>
      </c>
      <c r="S23" s="579">
        <v>0</v>
      </c>
      <c r="T23" s="574">
        <f>'GEXCAS Limp.Ord.'!H185</f>
        <v>0.28278908865472824</v>
      </c>
      <c r="U23" s="819">
        <v>116.27</v>
      </c>
      <c r="V23" s="574">
        <f>'GEXCAS Limp.Ord.'!H188</f>
        <v>1.2764380558089585</v>
      </c>
      <c r="W23" s="834">
        <v>116.27</v>
      </c>
      <c r="X23" s="573">
        <f>'GEXCAS Limp.Ord.'!H191</f>
        <v>1.2764380558089585</v>
      </c>
      <c r="Y23" s="571">
        <f t="shared" si="0"/>
        <v>2779.0144346922689</v>
      </c>
      <c r="Z23" s="549"/>
      <c r="AA23" s="550">
        <f>'Prod. GEXCAS'!R21*'GEXCAS Limp.Ord.'!C141</f>
        <v>131.33455928078871</v>
      </c>
      <c r="AB23" s="551">
        <f>'Prod. GEXCAS'!S21*'GEXCAS Covid'!C141</f>
        <v>126.53517712370405</v>
      </c>
      <c r="AC23" s="169"/>
      <c r="ALM23" s="162"/>
      <c r="ALN23" s="162"/>
      <c r="ALO23" s="162"/>
      <c r="ALP23" s="162"/>
      <c r="ALQ23" s="162"/>
      <c r="ALR23" s="162"/>
      <c r="ALS23" s="162"/>
      <c r="ALT23" s="162"/>
      <c r="ALU23" s="162"/>
      <c r="ALV23" s="162"/>
      <c r="ALW23" s="162"/>
      <c r="ALX23" s="162"/>
      <c r="ALY23" s="162"/>
    </row>
    <row r="24" spans="1:1013" s="145" customFormat="1" ht="14.25" customHeight="1" x14ac:dyDescent="0.2">
      <c r="A24" s="155">
        <v>19</v>
      </c>
      <c r="B24" s="155" t="s">
        <v>115</v>
      </c>
      <c r="C24" s="155" t="s">
        <v>381</v>
      </c>
      <c r="D24" s="345">
        <f>MC!C86</f>
        <v>0.02</v>
      </c>
      <c r="E24" s="818">
        <v>110.16</v>
      </c>
      <c r="F24" s="820">
        <f>'GEXCAS Limp.Ord.'!D149</f>
        <v>5.5853823187746041</v>
      </c>
      <c r="G24" s="826">
        <v>26.86</v>
      </c>
      <c r="H24" s="831">
        <f>'GEXCAS Limp.Ord.'!D155</f>
        <v>2.9788705700131222</v>
      </c>
      <c r="I24" s="829">
        <v>140.72999999999999</v>
      </c>
      <c r="J24" s="827">
        <f>'GEXCAS Limp.Ord.'!D161</f>
        <v>4.4683058550196826</v>
      </c>
      <c r="K24" s="588">
        <v>24.27</v>
      </c>
      <c r="L24" s="574">
        <f>'GEXCAS Limp.Ord.'!D167</f>
        <v>22.341529275098416</v>
      </c>
      <c r="M24" s="575">
        <v>186.47</v>
      </c>
      <c r="N24" s="574">
        <f>'GEXCAS Limp.Ord.'!D173</f>
        <v>2.4823921416776016</v>
      </c>
      <c r="O24" s="576">
        <v>1345</v>
      </c>
      <c r="P24" s="574">
        <f>'GEXCAS Limp.Ord.'!D176</f>
        <v>4.4683058550196837E-2</v>
      </c>
      <c r="Q24" s="576">
        <v>1041</v>
      </c>
      <c r="R24" s="574">
        <f>'GEXCAS Limp.Ord.'!D179</f>
        <v>0.49647842833552031</v>
      </c>
      <c r="S24" s="579">
        <v>0</v>
      </c>
      <c r="T24" s="574">
        <f>'GEXCAS Limp.Ord.'!D185</f>
        <v>0.2801770890785143</v>
      </c>
      <c r="U24" s="832">
        <v>116.27</v>
      </c>
      <c r="V24" s="574">
        <f>'GEXCAS Limp.Ord.'!D188</f>
        <v>1.2625007713554237</v>
      </c>
      <c r="W24" s="835">
        <v>116.27</v>
      </c>
      <c r="X24" s="573">
        <f>'GEXCAS Limp.Ord.'!D191</f>
        <v>1.2625007713554237</v>
      </c>
      <c r="Y24" s="571">
        <f t="shared" si="0"/>
        <v>3199.7581279072256</v>
      </c>
      <c r="Z24" s="432"/>
      <c r="AA24" s="429">
        <f>'Prod. GEXCAS'!R22*'GEXCAS Limp.Ord.'!C139</f>
        <v>129.85473326072349</v>
      </c>
      <c r="AB24" s="163">
        <f>'Prod. GEXCAS'!S22*'GEXCAS Covid'!C139</f>
        <v>125.10942864907072</v>
      </c>
      <c r="AC24" s="164"/>
      <c r="ALM24" s="162"/>
      <c r="ALN24" s="162"/>
      <c r="ALO24" s="162"/>
      <c r="ALP24" s="162"/>
      <c r="ALQ24" s="162"/>
      <c r="ALR24" s="162"/>
      <c r="ALS24" s="162"/>
      <c r="ALT24" s="162"/>
      <c r="ALU24" s="162"/>
      <c r="ALV24" s="162"/>
      <c r="ALW24" s="162"/>
      <c r="ALX24" s="162"/>
      <c r="ALY24" s="162"/>
    </row>
    <row r="25" spans="1:1013" s="145" customFormat="1" ht="14.25" customHeight="1" x14ac:dyDescent="0.2">
      <c r="A25" s="935" t="s">
        <v>382</v>
      </c>
      <c r="B25" s="936"/>
      <c r="C25" s="936"/>
      <c r="D25" s="937"/>
      <c r="E25" s="558">
        <f>SUM(E6:E24)</f>
        <v>10338.129999999997</v>
      </c>
      <c r="F25" s="555"/>
      <c r="G25" s="558">
        <f>SUM(G6:G24)</f>
        <v>7146.6299999999974</v>
      </c>
      <c r="H25" s="559"/>
      <c r="I25" s="558">
        <f>SUM(I6:I24)</f>
        <v>4681.9099999999989</v>
      </c>
      <c r="J25" s="559"/>
      <c r="K25" s="589">
        <f>SUM(K6:K24)</f>
        <v>858.61999999999989</v>
      </c>
      <c r="L25" s="593"/>
      <c r="M25" s="558">
        <f>SUM(M6:M24)</f>
        <v>4991.62</v>
      </c>
      <c r="N25" s="559"/>
      <c r="O25" s="558">
        <f>SUM(O6:O24)</f>
        <v>14344.869999999999</v>
      </c>
      <c r="P25" s="559"/>
      <c r="Q25" s="558">
        <f>SUM(Q6:Q24)</f>
        <v>5708.81</v>
      </c>
      <c r="R25" s="559"/>
      <c r="S25" s="570">
        <f>SUM(S6:S24)</f>
        <v>1661.71</v>
      </c>
      <c r="T25" s="797"/>
      <c r="U25" s="558">
        <f>SUM(U6:U24)</f>
        <v>2266.92</v>
      </c>
      <c r="V25" s="559"/>
      <c r="W25" s="581">
        <f>SUM(W6:W24)</f>
        <v>3928.6299999999997</v>
      </c>
      <c r="X25" s="559"/>
      <c r="Y25" s="166">
        <f>SUM(Y6:Y24)</f>
        <v>145051.40171883575</v>
      </c>
      <c r="Z25" s="430">
        <f>SUM(Z6:Z24)</f>
        <v>42782.423514416427</v>
      </c>
      <c r="AA25" s="167">
        <f>SUM(AA6:AA24)</f>
        <v>2500.0020001521671</v>
      </c>
      <c r="AB25" s="168">
        <f>SUM(AB6:AB24)</f>
        <v>2408.6439824459976</v>
      </c>
      <c r="AC25" s="166">
        <f>SUM(AC6:AC24)</f>
        <v>4043.6000000000004</v>
      </c>
      <c r="ALM25" s="162"/>
      <c r="ALN25" s="162"/>
      <c r="ALO25" s="162"/>
      <c r="ALP25" s="162"/>
      <c r="ALQ25" s="162"/>
      <c r="ALR25" s="162"/>
      <c r="ALS25" s="162"/>
      <c r="ALT25" s="162"/>
      <c r="ALU25" s="162"/>
      <c r="ALV25" s="162"/>
      <c r="ALW25" s="162"/>
      <c r="ALX25" s="162"/>
      <c r="ALY25" s="162"/>
    </row>
    <row r="26" spans="1:1013" s="145" customFormat="1" ht="12.75" x14ac:dyDescent="0.2">
      <c r="A26" s="148">
        <v>20</v>
      </c>
      <c r="B26" s="148" t="s">
        <v>79</v>
      </c>
      <c r="C26" s="148" t="s">
        <v>383</v>
      </c>
      <c r="D26" s="343">
        <f>MC!I68</f>
        <v>0.05</v>
      </c>
      <c r="E26" s="563">
        <v>822</v>
      </c>
      <c r="F26" s="149">
        <f>'GEXLON Limp.Ord. '!L149</f>
        <v>5.8437540433838029</v>
      </c>
      <c r="G26" s="563">
        <v>511</v>
      </c>
      <c r="H26" s="150">
        <f>'GEXLON Limp.Ord. '!L155</f>
        <v>3.1166688231380277</v>
      </c>
      <c r="I26" s="563">
        <v>0</v>
      </c>
      <c r="J26" s="150">
        <f>'GEXLON Limp.Ord. '!L161</f>
        <v>4.6750032347070425</v>
      </c>
      <c r="K26" s="563">
        <v>103</v>
      </c>
      <c r="L26" s="590">
        <f>'GEXLON Limp.Ord. '!L167</f>
        <v>23.375016173535212</v>
      </c>
      <c r="M26" s="563">
        <v>993</v>
      </c>
      <c r="N26" s="150">
        <f>'GEXLON Limp.Ord. '!L173</f>
        <v>1.7314826795211267</v>
      </c>
      <c r="O26" s="563">
        <v>6842</v>
      </c>
      <c r="P26" s="150">
        <f>'GEXLON Limp.Ord. '!L176</f>
        <v>4.6750032347070418E-2</v>
      </c>
      <c r="Q26" s="563">
        <v>190</v>
      </c>
      <c r="R26" s="150">
        <f>'GEXLON Limp.Ord. '!L179</f>
        <v>0.51944480385633807</v>
      </c>
      <c r="S26" s="563">
        <v>132</v>
      </c>
      <c r="T26" s="796">
        <f>'GEXLON Limp.Ord. '!L185</f>
        <v>0.29140876803573329</v>
      </c>
      <c r="U26" s="563">
        <v>115</v>
      </c>
      <c r="V26" s="150">
        <f>'GEXLON Limp.Ord. '!L188</f>
        <v>1.0428175538321103</v>
      </c>
      <c r="W26" s="563">
        <v>247</v>
      </c>
      <c r="X26" s="150">
        <f>'GEXLON Limp.Ord. '!L191</f>
        <v>1.0428175538321103</v>
      </c>
      <c r="Y26" s="151">
        <f t="shared" ref="Y26:Y40" si="1">(E26*F26)+(G26*H26)+(I26*J26)+(K26*L26)+(M26*N26)+(O26*P26)+(Q26*R26)+(S26*T26)+(U26*V26)+(W26*X26)</f>
        <v>11357.696704842921</v>
      </c>
      <c r="Z26" s="431"/>
      <c r="AA26" s="152">
        <f>'Prod. GEXLON'!S4*'GEXLON Limp.Ord. '!C143</f>
        <v>135.33034348577047</v>
      </c>
      <c r="AB26" s="153">
        <f>'Prod. GEXLON'!T4*'GEXLON Covid '!C143</f>
        <v>130.49357868363478</v>
      </c>
      <c r="AC26" s="154">
        <f>MC!I7*'Prod. GEXLON'!U4</f>
        <v>4043.6000000000004</v>
      </c>
      <c r="ALM26" s="162"/>
      <c r="ALN26" s="162"/>
      <c r="ALO26" s="162"/>
      <c r="ALP26" s="162"/>
      <c r="ALQ26" s="162"/>
      <c r="ALR26" s="162"/>
      <c r="ALS26" s="162"/>
      <c r="ALT26" s="162"/>
      <c r="ALU26" s="162"/>
      <c r="ALV26" s="162"/>
      <c r="ALW26" s="162"/>
      <c r="ALX26" s="162"/>
      <c r="ALY26" s="162"/>
    </row>
    <row r="27" spans="1:1013" s="145" customFormat="1" ht="12.75" x14ac:dyDescent="0.2">
      <c r="A27" s="155">
        <v>21</v>
      </c>
      <c r="B27" s="155" t="s">
        <v>81</v>
      </c>
      <c r="C27" s="155" t="s">
        <v>384</v>
      </c>
      <c r="D27" s="344">
        <f>MC!I69</f>
        <v>2.5000000000000001E-2</v>
      </c>
      <c r="E27" s="564">
        <v>773</v>
      </c>
      <c r="F27" s="156">
        <f>'GEXLON Limp.Ord. '!F149</f>
        <v>5.6840156776073973</v>
      </c>
      <c r="G27" s="564">
        <v>1519</v>
      </c>
      <c r="H27" s="157">
        <f>'GEXLON Limp.Ord. '!F155</f>
        <v>3.0314750280572782</v>
      </c>
      <c r="I27" s="564">
        <v>0</v>
      </c>
      <c r="J27" s="157">
        <f>'GEXLON Limp.Ord. '!F161</f>
        <v>4.5472125420859175</v>
      </c>
      <c r="K27" s="564">
        <v>153</v>
      </c>
      <c r="L27" s="591">
        <f>'GEXLON Limp.Ord. '!F167</f>
        <v>22.736062710429589</v>
      </c>
      <c r="M27" s="564">
        <v>712</v>
      </c>
      <c r="N27" s="157">
        <f>'GEXLON Limp.Ord. '!F173</f>
        <v>1.6841527933651546</v>
      </c>
      <c r="O27" s="564">
        <v>1008</v>
      </c>
      <c r="P27" s="157">
        <f>'GEXLON Limp.Ord. '!F176</f>
        <v>4.5472125420859176E-2</v>
      </c>
      <c r="Q27" s="564">
        <v>316</v>
      </c>
      <c r="R27" s="157">
        <f>'GEXLON Limp.Ord. '!F179</f>
        <v>0.50524583800954637</v>
      </c>
      <c r="S27" s="564">
        <v>265</v>
      </c>
      <c r="T27" s="157">
        <f>'GEXLON Limp.Ord. '!F185</f>
        <v>0.28464199160304482</v>
      </c>
      <c r="U27" s="564">
        <v>78</v>
      </c>
      <c r="V27" s="157">
        <f>'GEXLON Limp.Ord. '!F188</f>
        <v>1.0143122521689292</v>
      </c>
      <c r="W27" s="564">
        <v>343</v>
      </c>
      <c r="X27" s="157">
        <f>'GEXLON Limp.Ord. '!F191</f>
        <v>1.0143122521689292</v>
      </c>
      <c r="Y27" s="158">
        <f t="shared" si="1"/>
        <v>14384.238243154408</v>
      </c>
      <c r="Z27" s="431">
        <f>'Prod. GEXLON'!Q5*'GEXLON Covid '!D135</f>
        <v>7014.9949527294739</v>
      </c>
      <c r="AA27" s="159">
        <f>'Prod. GEXLON'!S5*'GEXLON Limp.Ord. '!C140</f>
        <v>131.49662270713674</v>
      </c>
      <c r="AB27" s="160">
        <f>'Prod. GEXLON'!T5*'GEXLON Covid '!C140</f>
        <v>126.79687673792274</v>
      </c>
      <c r="AC27" s="161"/>
      <c r="ALM27" s="162"/>
      <c r="ALN27" s="162"/>
      <c r="ALO27" s="162"/>
      <c r="ALP27" s="162"/>
      <c r="ALQ27" s="162"/>
      <c r="ALR27" s="162"/>
      <c r="ALS27" s="162"/>
      <c r="ALT27" s="162"/>
      <c r="ALU27" s="162"/>
      <c r="ALV27" s="162"/>
      <c r="ALW27" s="162"/>
      <c r="ALX27" s="162"/>
      <c r="ALY27" s="162"/>
    </row>
    <row r="28" spans="1:1013" s="145" customFormat="1" ht="12.75" x14ac:dyDescent="0.2">
      <c r="A28" s="155">
        <v>22</v>
      </c>
      <c r="B28" s="155" t="s">
        <v>83</v>
      </c>
      <c r="C28" s="155" t="s">
        <v>385</v>
      </c>
      <c r="D28" s="344">
        <f>MC!I70</f>
        <v>0.05</v>
      </c>
      <c r="E28" s="564">
        <v>787</v>
      </c>
      <c r="F28" s="156">
        <f>'GEXLON Limp.Ord. '!L149</f>
        <v>5.8437540433838029</v>
      </c>
      <c r="G28" s="564">
        <v>2256</v>
      </c>
      <c r="H28" s="157">
        <f>'GEXLON Limp.Ord. '!L155</f>
        <v>3.1166688231380277</v>
      </c>
      <c r="I28" s="564">
        <v>0</v>
      </c>
      <c r="J28" s="150">
        <f>'GEXLON Limp.Ord. '!L161</f>
        <v>4.6750032347070425</v>
      </c>
      <c r="K28" s="564">
        <v>121</v>
      </c>
      <c r="L28" s="591">
        <f>'GEXLON Limp.Ord. '!L167</f>
        <v>23.375016173535212</v>
      </c>
      <c r="M28" s="564">
        <v>1989</v>
      </c>
      <c r="N28" s="157">
        <f>'GEXLON Limp.Ord. '!L173</f>
        <v>1.7314826795211267</v>
      </c>
      <c r="O28" s="564">
        <v>2171</v>
      </c>
      <c r="P28" s="157">
        <f>'GEXLON Limp.Ord. '!L176</f>
        <v>4.6750032347070418E-2</v>
      </c>
      <c r="Q28" s="564">
        <v>643</v>
      </c>
      <c r="R28" s="157">
        <f>'GEXLON Limp.Ord. '!L179</f>
        <v>0.51944480385633807</v>
      </c>
      <c r="S28" s="564">
        <v>92</v>
      </c>
      <c r="T28" s="671">
        <f>'GEXLON Limp.Ord. '!L185</f>
        <v>0.29140876803573329</v>
      </c>
      <c r="U28" s="564">
        <v>640</v>
      </c>
      <c r="V28" s="157">
        <f>'GEXLON Limp.Ord. '!L188</f>
        <v>1.0428175538321103</v>
      </c>
      <c r="W28" s="564">
        <v>732</v>
      </c>
      <c r="X28" s="157">
        <f>'GEXLON Limp.Ord. '!L191</f>
        <v>1.0428175538321103</v>
      </c>
      <c r="Y28" s="158">
        <f t="shared" si="1"/>
        <v>19795.587923329786</v>
      </c>
      <c r="Z28" s="431">
        <f>'Prod. GEXLON'!R6*'GEXLON Covid '!C138</f>
        <v>4349.785956121159</v>
      </c>
      <c r="AA28" s="159">
        <f>'Prod. GEXLON'!S6*'GEXLON Limp.Ord. '!C143</f>
        <v>135.33034348577047</v>
      </c>
      <c r="AB28" s="160">
        <f>'Prod. GEXLON'!T6*'GEXLON Covid '!C143</f>
        <v>130.49357868363478</v>
      </c>
      <c r="AC28" s="161"/>
      <c r="ALM28" s="162"/>
      <c r="ALN28" s="162"/>
      <c r="ALO28" s="162"/>
      <c r="ALP28" s="162"/>
      <c r="ALQ28" s="162"/>
      <c r="ALR28" s="162"/>
      <c r="ALS28" s="162"/>
      <c r="ALT28" s="162"/>
      <c r="ALU28" s="162"/>
      <c r="ALV28" s="162"/>
      <c r="ALW28" s="162"/>
      <c r="ALX28" s="162"/>
      <c r="ALY28" s="162"/>
    </row>
    <row r="29" spans="1:1013" s="145" customFormat="1" ht="12.75" x14ac:dyDescent="0.2">
      <c r="A29" s="155">
        <v>23</v>
      </c>
      <c r="B29" s="155" t="s">
        <v>85</v>
      </c>
      <c r="C29" s="155" t="s">
        <v>386</v>
      </c>
      <c r="D29" s="344">
        <f>MC!I71</f>
        <v>0.05</v>
      </c>
      <c r="E29" s="564">
        <v>551</v>
      </c>
      <c r="F29" s="156">
        <f>'GEXLON Limp.Ord. '!L149</f>
        <v>5.8437540433838029</v>
      </c>
      <c r="G29" s="564">
        <v>233</v>
      </c>
      <c r="H29" s="157">
        <f>'GEXLON Limp.Ord. '!L155</f>
        <v>3.1166688231380277</v>
      </c>
      <c r="I29" s="564">
        <v>0</v>
      </c>
      <c r="J29" s="157">
        <f>'GEXLON Limp.Ord. '!L161</f>
        <v>4.6750032347070425</v>
      </c>
      <c r="K29" s="564">
        <v>92</v>
      </c>
      <c r="L29" s="591">
        <f>'GEXLON Limp.Ord. '!L167</f>
        <v>23.375016173535212</v>
      </c>
      <c r="M29" s="564">
        <v>888</v>
      </c>
      <c r="N29" s="157">
        <f>'GEXLON Limp.Ord. '!L173</f>
        <v>1.7314826795211267</v>
      </c>
      <c r="O29" s="564">
        <v>545</v>
      </c>
      <c r="P29" s="157">
        <f>'GEXLON Limp.Ord. '!L176</f>
        <v>4.6750032347070418E-2</v>
      </c>
      <c r="Q29" s="564">
        <v>308</v>
      </c>
      <c r="R29" s="157">
        <f>'GEXLON Limp.Ord. '!L179</f>
        <v>0.51944480385633807</v>
      </c>
      <c r="S29" s="564">
        <v>0</v>
      </c>
      <c r="T29" s="671">
        <f>'GEXLON Limp.Ord. '!L185</f>
        <v>0.29140876803573329</v>
      </c>
      <c r="U29" s="564">
        <v>261</v>
      </c>
      <c r="V29" s="157">
        <f>'GEXLON Limp.Ord. '!L188</f>
        <v>1.0428175538321103</v>
      </c>
      <c r="W29" s="564">
        <v>261</v>
      </c>
      <c r="X29" s="157">
        <f>'GEXLON Limp.Ord. '!L191</f>
        <v>1.0428175538321103</v>
      </c>
      <c r="Y29" s="158">
        <f t="shared" si="1"/>
        <v>8363.9689513929043</v>
      </c>
      <c r="Z29" s="431">
        <f>'Prod. GEXLON'!Q7*'GEXLON Covid '!D138</f>
        <v>3609.7568780080242</v>
      </c>
      <c r="AA29" s="159">
        <f>'Prod. GEXLON'!S7*'GEXLON Limp.Ord. '!C143</f>
        <v>135.33034348577047</v>
      </c>
      <c r="AB29" s="160">
        <f>'Prod. GEXLON'!T7*'GEXLON Covid '!C143</f>
        <v>130.49357868363478</v>
      </c>
      <c r="AC29" s="161"/>
      <c r="ALM29" s="162"/>
      <c r="ALN29" s="162"/>
      <c r="ALO29" s="162"/>
      <c r="ALP29" s="162"/>
      <c r="ALQ29" s="162"/>
      <c r="ALR29" s="162"/>
      <c r="ALS29" s="162"/>
      <c r="ALT29" s="162"/>
      <c r="ALU29" s="162"/>
      <c r="ALV29" s="162"/>
      <c r="ALW29" s="162"/>
      <c r="ALX29" s="162"/>
      <c r="ALY29" s="162"/>
    </row>
    <row r="30" spans="1:1013" s="145" customFormat="1" ht="12.75" x14ac:dyDescent="0.2">
      <c r="A30" s="155">
        <v>24</v>
      </c>
      <c r="B30" s="155" t="s">
        <v>87</v>
      </c>
      <c r="C30" s="155" t="s">
        <v>387</v>
      </c>
      <c r="D30" s="344">
        <f>MC!I72</f>
        <v>0.04</v>
      </c>
      <c r="E30" s="564">
        <v>701</v>
      </c>
      <c r="F30" s="156">
        <f>'GEXLON Limp.Ord. '!J149</f>
        <v>5.7787538784050465</v>
      </c>
      <c r="G30" s="564">
        <v>634</v>
      </c>
      <c r="H30" s="157">
        <f>'GEXLON Limp.Ord. '!J155</f>
        <v>3.0820020684826912</v>
      </c>
      <c r="I30" s="564">
        <v>0</v>
      </c>
      <c r="J30" s="157">
        <f>'GEXLON Limp.Ord. '!J161</f>
        <v>4.623003102724037</v>
      </c>
      <c r="K30" s="564">
        <v>84</v>
      </c>
      <c r="L30" s="591">
        <f>'GEXLON Limp.Ord. '!J167</f>
        <v>23.115015513620186</v>
      </c>
      <c r="M30" s="564">
        <v>230</v>
      </c>
      <c r="N30" s="157">
        <f>'GEXLON Limp.Ord. '!J173</f>
        <v>1.7122233713792727</v>
      </c>
      <c r="O30" s="564">
        <v>91</v>
      </c>
      <c r="P30" s="157">
        <f>'GEXLON Limp.Ord. '!J176</f>
        <v>4.6230031027240368E-2</v>
      </c>
      <c r="Q30" s="564">
        <v>404</v>
      </c>
      <c r="R30" s="157">
        <f>'GEXLON Limp.Ord. '!J179</f>
        <v>0.5136670114137819</v>
      </c>
      <c r="S30" s="564">
        <v>133</v>
      </c>
      <c r="T30" s="157">
        <f>'GEXLON Limp.Ord. '!J185</f>
        <v>0.28865525555073152</v>
      </c>
      <c r="U30" s="564">
        <v>86</v>
      </c>
      <c r="V30" s="157">
        <f>'GEXLON Limp.Ord. '!J188</f>
        <v>1.0312182783426544</v>
      </c>
      <c r="W30" s="564">
        <v>219</v>
      </c>
      <c r="X30" s="157">
        <f>'GEXLON Limp.Ord. '!J191</f>
        <v>1.0312182783426544</v>
      </c>
      <c r="Y30" s="158">
        <f t="shared" si="1"/>
        <v>8905.0095880586978</v>
      </c>
      <c r="Z30" s="431">
        <f>'Prod. GEXLON'!Q8*'GEXLON Covid '!D137</f>
        <v>3568.1458477139831</v>
      </c>
      <c r="AA30" s="159">
        <f>'Prod. GEXLON'!S8*'GEXLON Limp.Ord. '!C142</f>
        <v>133.77033952628028</v>
      </c>
      <c r="AB30" s="160">
        <f>'Prod. GEXLON'!T8*'GEXLON Covid '!C142</f>
        <v>128.98932993800207</v>
      </c>
      <c r="AC30" s="161"/>
      <c r="ALM30" s="162"/>
      <c r="ALN30" s="162"/>
      <c r="ALO30" s="162"/>
      <c r="ALP30" s="162"/>
      <c r="ALQ30" s="162"/>
      <c r="ALR30" s="162"/>
      <c r="ALS30" s="162"/>
      <c r="ALT30" s="162"/>
      <c r="ALU30" s="162"/>
      <c r="ALV30" s="162"/>
      <c r="ALW30" s="162"/>
      <c r="ALX30" s="162"/>
      <c r="ALY30" s="162"/>
    </row>
    <row r="31" spans="1:1013" s="145" customFormat="1" ht="12.75" x14ac:dyDescent="0.2">
      <c r="A31" s="155">
        <v>25</v>
      </c>
      <c r="B31" s="155" t="s">
        <v>90</v>
      </c>
      <c r="C31" s="155" t="s">
        <v>388</v>
      </c>
      <c r="D31" s="344">
        <f>MC!I73</f>
        <v>0.05</v>
      </c>
      <c r="E31" s="564">
        <v>714</v>
      </c>
      <c r="F31" s="156">
        <f>'GEXLON Limp.Ord. '!L149</f>
        <v>5.8437540433838029</v>
      </c>
      <c r="G31" s="564">
        <v>1920</v>
      </c>
      <c r="H31" s="157">
        <f>'GEXLON Limp.Ord. '!L155</f>
        <v>3.1166688231380277</v>
      </c>
      <c r="I31" s="564">
        <v>0</v>
      </c>
      <c r="J31" s="157">
        <f>'GEXLON Limp.Ord. '!L161</f>
        <v>4.6750032347070425</v>
      </c>
      <c r="K31" s="564">
        <v>114</v>
      </c>
      <c r="L31" s="591">
        <f>'GEXLON Limp.Ord. '!L167</f>
        <v>23.375016173535212</v>
      </c>
      <c r="M31" s="564">
        <v>688</v>
      </c>
      <c r="N31" s="157">
        <f>'GEXLON Limp.Ord. '!L173</f>
        <v>1.7314826795211267</v>
      </c>
      <c r="O31" s="564">
        <v>89</v>
      </c>
      <c r="P31" s="157">
        <f>'GEXLON Limp.Ord. '!L176</f>
        <v>4.6750032347070418E-2</v>
      </c>
      <c r="Q31" s="564">
        <v>476</v>
      </c>
      <c r="R31" s="157">
        <f>'GEXLON Limp.Ord. '!L179</f>
        <v>0.51944480385633807</v>
      </c>
      <c r="S31" s="564">
        <v>1027</v>
      </c>
      <c r="T31" s="157">
        <f>'GEXLON Limp.Ord. '!L185</f>
        <v>0.29140876803573329</v>
      </c>
      <c r="U31" s="564">
        <v>0</v>
      </c>
      <c r="V31" s="157">
        <f>'GEXLON Limp.Ord. '!L188</f>
        <v>1.0428175538321103</v>
      </c>
      <c r="W31" s="564">
        <v>1027</v>
      </c>
      <c r="X31" s="157">
        <f>'GEXLON Limp.Ord. '!L191</f>
        <v>1.0428175538321103</v>
      </c>
      <c r="Y31" s="158">
        <f t="shared" si="1"/>
        <v>15634.123366767379</v>
      </c>
      <c r="Z31" s="431">
        <f>'Prod. GEXLON'!R9*'GEXLON Covid '!C138</f>
        <v>4349.785956121159</v>
      </c>
      <c r="AA31" s="159">
        <f>'Prod. GEXLON'!S9*'GEXLON Limp.Ord. '!C143</f>
        <v>135.33034348577047</v>
      </c>
      <c r="AB31" s="160">
        <f>'Prod. GEXLON'!T9*'GEXLON Covid '!C143</f>
        <v>130.49357868363478</v>
      </c>
      <c r="AC31" s="161"/>
      <c r="ALM31" s="162"/>
      <c r="ALN31" s="162"/>
      <c r="ALO31" s="162"/>
      <c r="ALP31" s="162"/>
      <c r="ALQ31" s="162"/>
      <c r="ALR31" s="162"/>
      <c r="ALS31" s="162"/>
      <c r="ALT31" s="162"/>
      <c r="ALU31" s="162"/>
      <c r="ALV31" s="162"/>
      <c r="ALW31" s="162"/>
      <c r="ALX31" s="162"/>
      <c r="ALY31" s="162"/>
    </row>
    <row r="32" spans="1:1013" s="145" customFormat="1" ht="12.75" x14ac:dyDescent="0.2">
      <c r="A32" s="155">
        <v>26</v>
      </c>
      <c r="B32" s="155" t="s">
        <v>92</v>
      </c>
      <c r="C32" s="155" t="s">
        <v>389</v>
      </c>
      <c r="D32" s="344">
        <f>MC!I74</f>
        <v>0.03</v>
      </c>
      <c r="E32" s="564">
        <v>289</v>
      </c>
      <c r="F32" s="156">
        <f>'GEXLON Limp.Ord. '!H149</f>
        <v>5.7152351986679708</v>
      </c>
      <c r="G32" s="564">
        <v>21</v>
      </c>
      <c r="H32" s="157">
        <f>'GEXLON Limp.Ord. '!H155</f>
        <v>3.0481254392895845</v>
      </c>
      <c r="I32" s="564">
        <v>0</v>
      </c>
      <c r="J32" s="157">
        <f>'GEXLON Limp.Ord. '!H161</f>
        <v>4.5721881589343774</v>
      </c>
      <c r="K32" s="564">
        <v>24.4</v>
      </c>
      <c r="L32" s="591">
        <f>'GEXLON Limp.Ord. '!H167</f>
        <v>22.860940794671883</v>
      </c>
      <c r="M32" s="564">
        <v>584</v>
      </c>
      <c r="N32" s="157">
        <f>'GEXLON Limp.Ord. '!H173</f>
        <v>1.6934030218275469</v>
      </c>
      <c r="O32" s="564">
        <v>244</v>
      </c>
      <c r="P32" s="157">
        <f>'GEXLON Limp.Ord. '!H176</f>
        <v>4.5721881589343767E-2</v>
      </c>
      <c r="Q32" s="564">
        <v>179</v>
      </c>
      <c r="R32" s="157">
        <f>'GEXLON Limp.Ord. '!H179</f>
        <v>0.50802090654826404</v>
      </c>
      <c r="S32" s="564">
        <v>0</v>
      </c>
      <c r="T32" s="157">
        <f>'GEXLON Limp.Ord. '!H185</f>
        <v>0.28596450118504607</v>
      </c>
      <c r="U32" s="564">
        <v>141</v>
      </c>
      <c r="V32" s="157">
        <f>'GEXLON Limp.Ord. '!H188</f>
        <v>1.0198833738045252</v>
      </c>
      <c r="W32" s="564">
        <v>141</v>
      </c>
      <c r="X32" s="157">
        <f>'GEXLON Limp.Ord. '!H191</f>
        <v>1.0198833738045252</v>
      </c>
      <c r="Y32" s="158">
        <f t="shared" si="1"/>
        <v>3652.1669195702216</v>
      </c>
      <c r="Z32" s="431"/>
      <c r="AA32" s="159">
        <f>'Prod. GEXLON'!S10*'GEXLON Limp.Ord. '!C141</f>
        <v>132.24589121259049</v>
      </c>
      <c r="AB32" s="160">
        <f>'Prod. GEXLON'!T10*'GEXLON Covid '!C141</f>
        <v>127.51936606406474</v>
      </c>
      <c r="AC32" s="161"/>
      <c r="ALM32" s="162"/>
      <c r="ALN32" s="162"/>
      <c r="ALO32" s="162"/>
      <c r="ALP32" s="162"/>
      <c r="ALQ32" s="162"/>
      <c r="ALR32" s="162"/>
      <c r="ALS32" s="162"/>
      <c r="ALT32" s="162"/>
      <c r="ALU32" s="162"/>
      <c r="ALV32" s="162"/>
      <c r="ALW32" s="162"/>
      <c r="ALX32" s="162"/>
      <c r="ALY32" s="162"/>
    </row>
    <row r="33" spans="1:1013" s="145" customFormat="1" ht="12.75" x14ac:dyDescent="0.2">
      <c r="A33" s="155">
        <v>27</v>
      </c>
      <c r="B33" s="155" t="s">
        <v>95</v>
      </c>
      <c r="C33" s="155" t="s">
        <v>390</v>
      </c>
      <c r="D33" s="344">
        <f>MC!I75</f>
        <v>0.03</v>
      </c>
      <c r="E33" s="564">
        <v>289</v>
      </c>
      <c r="F33" s="156">
        <f>'GEXLON Limp.Ord. '!H149</f>
        <v>5.7152351986679708</v>
      </c>
      <c r="G33" s="564">
        <v>21</v>
      </c>
      <c r="H33" s="157">
        <f>'GEXLON Limp.Ord. '!H155</f>
        <v>3.0481254392895845</v>
      </c>
      <c r="I33" s="564">
        <v>0</v>
      </c>
      <c r="J33" s="157">
        <f>'GEXLON Limp.Ord. '!H161</f>
        <v>4.5721881589343774</v>
      </c>
      <c r="K33" s="564">
        <v>24.4</v>
      </c>
      <c r="L33" s="591">
        <f>'GEXLON Limp.Ord. '!H167</f>
        <v>22.860940794671883</v>
      </c>
      <c r="M33" s="564">
        <v>521</v>
      </c>
      <c r="N33" s="157">
        <f>'GEXLON Limp.Ord. '!H173</f>
        <v>1.6934030218275469</v>
      </c>
      <c r="O33" s="564">
        <v>229</v>
      </c>
      <c r="P33" s="157">
        <f>'GEXLON Limp.Ord. '!H176</f>
        <v>4.5721881589343767E-2</v>
      </c>
      <c r="Q33" s="564">
        <v>62</v>
      </c>
      <c r="R33" s="157">
        <f>'GEXLON Limp.Ord. '!H179</f>
        <v>0.50802090654826404</v>
      </c>
      <c r="S33" s="564">
        <v>0</v>
      </c>
      <c r="T33" s="157">
        <f>'GEXLON Limp.Ord. '!H185</f>
        <v>0.28596450118504607</v>
      </c>
      <c r="U33" s="564">
        <v>141</v>
      </c>
      <c r="V33" s="157">
        <f>'GEXLON Limp.Ord. '!H188</f>
        <v>1.0198833738045252</v>
      </c>
      <c r="W33" s="564">
        <v>141</v>
      </c>
      <c r="X33" s="157">
        <f>'GEXLON Limp.Ord. '!H191</f>
        <v>1.0198833738045252</v>
      </c>
      <c r="Y33" s="158">
        <f t="shared" si="1"/>
        <v>3485.3582549050993</v>
      </c>
      <c r="Z33" s="431"/>
      <c r="AA33" s="159">
        <f>'Prod. GEXLON'!S11*'GEXLON Limp.Ord. '!C141</f>
        <v>132.24589121259049</v>
      </c>
      <c r="AB33" s="160">
        <f>'Prod. GEXLON'!T11*'GEXLON Covid '!C141</f>
        <v>127.51936606406474</v>
      </c>
      <c r="AC33" s="161"/>
      <c r="ALM33" s="162"/>
      <c r="ALN33" s="162"/>
      <c r="ALO33" s="162"/>
      <c r="ALP33" s="162"/>
      <c r="ALQ33" s="162"/>
      <c r="ALR33" s="162"/>
      <c r="ALS33" s="162"/>
      <c r="ALT33" s="162"/>
      <c r="ALU33" s="162"/>
      <c r="ALV33" s="162"/>
      <c r="ALW33" s="162"/>
      <c r="ALX33" s="162"/>
      <c r="ALY33" s="162"/>
    </row>
    <row r="34" spans="1:1013" s="145" customFormat="1" ht="12.75" x14ac:dyDescent="0.2">
      <c r="A34" s="155">
        <v>28</v>
      </c>
      <c r="B34" s="155" t="s">
        <v>97</v>
      </c>
      <c r="C34" s="155" t="s">
        <v>391</v>
      </c>
      <c r="D34" s="344">
        <f>MC!I76</f>
        <v>0.03</v>
      </c>
      <c r="E34" s="564">
        <v>289</v>
      </c>
      <c r="F34" s="156">
        <f>'GEXLON Limp.Ord. '!H149</f>
        <v>5.7152351986679708</v>
      </c>
      <c r="G34" s="564">
        <v>21</v>
      </c>
      <c r="H34" s="157">
        <f>'GEXLON Limp.Ord. '!H155</f>
        <v>3.0481254392895845</v>
      </c>
      <c r="I34" s="564">
        <v>0</v>
      </c>
      <c r="J34" s="157">
        <f>'GEXLON Limp.Ord. '!H161</f>
        <v>4.5721881589343774</v>
      </c>
      <c r="K34" s="564">
        <v>24.4</v>
      </c>
      <c r="L34" s="591">
        <f>'GEXLON Limp.Ord. '!H167</f>
        <v>22.860940794671883</v>
      </c>
      <c r="M34" s="564">
        <v>541</v>
      </c>
      <c r="N34" s="157">
        <f>'GEXLON Limp.Ord. '!H173</f>
        <v>1.6934030218275469</v>
      </c>
      <c r="O34" s="564">
        <v>618</v>
      </c>
      <c r="P34" s="157">
        <f>'GEXLON Limp.Ord. '!H176</f>
        <v>4.5721881589343767E-2</v>
      </c>
      <c r="Q34" s="564">
        <v>70</v>
      </c>
      <c r="R34" s="157">
        <f>'GEXLON Limp.Ord. '!H179</f>
        <v>0.50802090654826404</v>
      </c>
      <c r="S34" s="564">
        <v>0</v>
      </c>
      <c r="T34" s="157">
        <f>'GEXLON Limp.Ord. '!H185</f>
        <v>0.28596450118504607</v>
      </c>
      <c r="U34" s="564">
        <v>121</v>
      </c>
      <c r="V34" s="157">
        <f>'GEXLON Limp.Ord. '!H188</f>
        <v>1.0198833738045252</v>
      </c>
      <c r="W34" s="564">
        <v>121</v>
      </c>
      <c r="X34" s="157">
        <f>'GEXLON Limp.Ord. '!H191</f>
        <v>1.0198833738045252</v>
      </c>
      <c r="Y34" s="158">
        <f t="shared" si="1"/>
        <v>3500.28095958011</v>
      </c>
      <c r="Z34" s="431"/>
      <c r="AA34" s="159">
        <f>'Prod. GEXLON'!S12*'GEXLON Limp.Ord. '!C141</f>
        <v>132.24589121259049</v>
      </c>
      <c r="AB34" s="160">
        <f>'Prod. GEXLON'!T12*'GEXLON Covid '!C141</f>
        <v>127.51936606406474</v>
      </c>
      <c r="AC34" s="161"/>
      <c r="ALM34" s="162"/>
      <c r="ALN34" s="162"/>
      <c r="ALO34" s="162"/>
      <c r="ALP34" s="162"/>
      <c r="ALQ34" s="162"/>
      <c r="ALR34" s="162"/>
      <c r="ALS34" s="162"/>
      <c r="ALT34" s="162"/>
      <c r="ALU34" s="162"/>
      <c r="ALV34" s="162"/>
      <c r="ALW34" s="162"/>
      <c r="ALX34" s="162"/>
      <c r="ALY34" s="162"/>
    </row>
    <row r="35" spans="1:1013" s="145" customFormat="1" ht="12.75" x14ac:dyDescent="0.2">
      <c r="A35" s="155">
        <v>29</v>
      </c>
      <c r="B35" s="155" t="s">
        <v>99</v>
      </c>
      <c r="C35" s="155" t="s">
        <v>392</v>
      </c>
      <c r="D35" s="344">
        <f>MC!I77</f>
        <v>0.05</v>
      </c>
      <c r="E35" s="564">
        <v>933</v>
      </c>
      <c r="F35" s="156">
        <f>'GEXLON Limp.Ord. '!L149</f>
        <v>5.8437540433838029</v>
      </c>
      <c r="G35" s="564">
        <v>939</v>
      </c>
      <c r="H35" s="157">
        <f>'GEXLON Limp.Ord. '!L155</f>
        <v>3.1166688231380277</v>
      </c>
      <c r="I35" s="564">
        <v>0</v>
      </c>
      <c r="J35" s="157">
        <f>'GEXLON Limp.Ord. '!L161</f>
        <v>4.6750032347070425</v>
      </c>
      <c r="K35" s="564">
        <v>72</v>
      </c>
      <c r="L35" s="591">
        <f>'GEXLON Limp.Ord. '!L167</f>
        <v>23.375016173535212</v>
      </c>
      <c r="M35" s="564">
        <v>18</v>
      </c>
      <c r="N35" s="157">
        <f>'GEXLON Limp.Ord. '!L173</f>
        <v>1.7314826795211267</v>
      </c>
      <c r="O35" s="564">
        <v>0</v>
      </c>
      <c r="P35" s="157">
        <f>'GEXLON Limp.Ord. '!L176</f>
        <v>4.6750032347070418E-2</v>
      </c>
      <c r="Q35" s="564">
        <v>47</v>
      </c>
      <c r="R35" s="157">
        <f>'GEXLON Limp.Ord. '!L179</f>
        <v>0.51944480385633807</v>
      </c>
      <c r="S35" s="564">
        <v>241</v>
      </c>
      <c r="T35" s="157">
        <f>'GEXLON Limp.Ord. '!L185</f>
        <v>0.29140876803573329</v>
      </c>
      <c r="U35" s="564">
        <v>0</v>
      </c>
      <c r="V35" s="157">
        <f>'GEXLON Limp.Ord. '!L188</f>
        <v>1.0428175538321103</v>
      </c>
      <c r="W35" s="564">
        <v>241</v>
      </c>
      <c r="X35" s="157">
        <f>'GEXLON Limp.Ord. '!L191</f>
        <v>1.0428175538321103</v>
      </c>
      <c r="Y35" s="158">
        <f t="shared" si="1"/>
        <v>10438.90484948101</v>
      </c>
      <c r="Z35" s="431"/>
      <c r="AA35" s="159">
        <f>'Prod. GEXLON'!S13*'GEXLON Limp.Ord. '!C143</f>
        <v>135.33034348577047</v>
      </c>
      <c r="AB35" s="160">
        <f>'Prod. GEXLON'!T13*'GEXLON Covid '!C143</f>
        <v>130.49357868363478</v>
      </c>
      <c r="AC35" s="161"/>
      <c r="ALM35" s="162"/>
      <c r="ALN35" s="162"/>
      <c r="ALO35" s="162"/>
      <c r="ALP35" s="162"/>
      <c r="ALQ35" s="162"/>
      <c r="ALR35" s="162"/>
      <c r="ALS35" s="162"/>
      <c r="ALT35" s="162"/>
      <c r="ALU35" s="162"/>
      <c r="ALV35" s="162"/>
      <c r="ALW35" s="162"/>
      <c r="ALX35" s="162"/>
      <c r="ALY35" s="162"/>
    </row>
    <row r="36" spans="1:1013" s="145" customFormat="1" ht="12.75" x14ac:dyDescent="0.2">
      <c r="A36" s="155">
        <v>30</v>
      </c>
      <c r="B36" s="155" t="s">
        <v>101</v>
      </c>
      <c r="C36" s="155" t="s">
        <v>393</v>
      </c>
      <c r="D36" s="344">
        <f>MC!I78</f>
        <v>0.05</v>
      </c>
      <c r="E36" s="564">
        <v>690</v>
      </c>
      <c r="F36" s="156">
        <f>'GEXLON Limp.Ord. '!L149</f>
        <v>5.8437540433838029</v>
      </c>
      <c r="G36" s="564">
        <v>0</v>
      </c>
      <c r="H36" s="157">
        <f>'GEXLON Limp.Ord. '!L155</f>
        <v>3.1166688231380277</v>
      </c>
      <c r="I36" s="564">
        <v>0</v>
      </c>
      <c r="J36" s="157">
        <f>'GEXLON Limp.Ord. '!L161</f>
        <v>4.6750032347070425</v>
      </c>
      <c r="K36" s="564">
        <v>55</v>
      </c>
      <c r="L36" s="591">
        <f>'GEXLON Limp.Ord. '!L167</f>
        <v>23.375016173535212</v>
      </c>
      <c r="M36" s="564">
        <v>330</v>
      </c>
      <c r="N36" s="157">
        <f>'GEXLON Limp.Ord. '!L173</f>
        <v>1.7314826795211267</v>
      </c>
      <c r="O36" s="564">
        <v>40</v>
      </c>
      <c r="P36" s="157">
        <f>'GEXLON Limp.Ord. '!L176</f>
        <v>4.6750032347070418E-2</v>
      </c>
      <c r="Q36" s="564">
        <v>109</v>
      </c>
      <c r="R36" s="157">
        <f>'GEXLON Limp.Ord. '!L179</f>
        <v>0.51944480385633807</v>
      </c>
      <c r="S36" s="564">
        <v>0</v>
      </c>
      <c r="T36" s="157">
        <f>'GEXLON Limp.Ord. '!L185</f>
        <v>0.29140876803573329</v>
      </c>
      <c r="U36" s="564">
        <v>202</v>
      </c>
      <c r="V36" s="157">
        <f>'GEXLON Limp.Ord. '!L188</f>
        <v>1.0428175538321103</v>
      </c>
      <c r="W36" s="564">
        <v>202</v>
      </c>
      <c r="X36" s="157">
        <f>'GEXLON Limp.Ord. '!L191</f>
        <v>1.0428175538321103</v>
      </c>
      <c r="Y36" s="158">
        <f t="shared" si="1"/>
        <v>6368.9932403836292</v>
      </c>
      <c r="Z36" s="431">
        <f>('Prod. GEXLON'!Q14*'GEXLON Covid '!D138)+('Prod. GEXLON'!R14*'GEXLON Covid '!C138)</f>
        <v>15919.085668258365</v>
      </c>
      <c r="AA36" s="159">
        <f>'Prod. GEXLON'!S14*'GEXLON Limp.Ord. '!C143</f>
        <v>135.33034348577047</v>
      </c>
      <c r="AB36" s="160">
        <f>'Prod. GEXLON'!T14*'GEXLON Covid '!C143</f>
        <v>130.49357868363478</v>
      </c>
      <c r="AC36" s="161"/>
      <c r="ALM36" s="162"/>
      <c r="ALN36" s="162"/>
      <c r="ALO36" s="162"/>
      <c r="ALP36" s="162"/>
      <c r="ALQ36" s="162"/>
      <c r="ALR36" s="162"/>
      <c r="ALS36" s="162"/>
      <c r="ALT36" s="162"/>
      <c r="ALU36" s="162"/>
      <c r="ALV36" s="162"/>
      <c r="ALW36" s="162"/>
      <c r="ALX36" s="162"/>
      <c r="ALY36" s="162"/>
    </row>
    <row r="37" spans="1:1013" s="145" customFormat="1" ht="12.75" x14ac:dyDescent="0.2">
      <c r="A37" s="155">
        <v>31</v>
      </c>
      <c r="B37" s="155" t="s">
        <v>103</v>
      </c>
      <c r="C37" s="155" t="s">
        <v>394</v>
      </c>
      <c r="D37" s="344">
        <f>MC!I79</f>
        <v>0.05</v>
      </c>
      <c r="E37" s="564">
        <v>650</v>
      </c>
      <c r="F37" s="156">
        <f>'GEXLON Limp.Ord. '!L149</f>
        <v>5.8437540433838029</v>
      </c>
      <c r="G37" s="564">
        <v>189</v>
      </c>
      <c r="H37" s="157">
        <f>'GEXLON Limp.Ord. '!L155</f>
        <v>3.1166688231380277</v>
      </c>
      <c r="I37" s="564">
        <v>0</v>
      </c>
      <c r="J37" s="157">
        <f>'GEXLON Limp.Ord. '!L161</f>
        <v>4.6750032347070425</v>
      </c>
      <c r="K37" s="564">
        <v>57</v>
      </c>
      <c r="L37" s="591">
        <f>'GEXLON Limp.Ord. '!L167</f>
        <v>23.375016173535212</v>
      </c>
      <c r="M37" s="564">
        <v>102</v>
      </c>
      <c r="N37" s="157">
        <f>'GEXLON Limp.Ord. '!L173</f>
        <v>1.7314826795211267</v>
      </c>
      <c r="O37" s="564">
        <v>0</v>
      </c>
      <c r="P37" s="157">
        <f>'GEXLON Limp.Ord. '!L176</f>
        <v>4.6750032347070418E-2</v>
      </c>
      <c r="Q37" s="564">
        <v>70</v>
      </c>
      <c r="R37" s="157">
        <f>'GEXLON Limp.Ord. '!L179</f>
        <v>0.51944480385633807</v>
      </c>
      <c r="S37" s="564">
        <v>20</v>
      </c>
      <c r="T37" s="157">
        <f>'GEXLON Limp.Ord. '!L185</f>
        <v>0.29140876803573329</v>
      </c>
      <c r="U37" s="564">
        <v>79</v>
      </c>
      <c r="V37" s="157">
        <f>'GEXLON Limp.Ord. '!L188</f>
        <v>1.0428175538321103</v>
      </c>
      <c r="W37" s="564">
        <v>99</v>
      </c>
      <c r="X37" s="157">
        <f>'GEXLON Limp.Ord. '!L191</f>
        <v>1.0428175538321103</v>
      </c>
      <c r="Y37" s="158">
        <f t="shared" si="1"/>
        <v>6124.288527187995</v>
      </c>
      <c r="Z37" s="431">
        <f>'Prod. GEXLON'!Q15*'GEXLON Covid '!D138</f>
        <v>3609.7568780080242</v>
      </c>
      <c r="AA37" s="159">
        <f>'Prod. GEXLON'!S15*'GEXLON Limp.Ord. '!C143</f>
        <v>135.33034348577047</v>
      </c>
      <c r="AB37" s="160">
        <f>'Prod. GEXLON'!T15*'GEXLON Covid '!C143</f>
        <v>130.49357868363478</v>
      </c>
      <c r="AC37" s="161"/>
      <c r="ALM37" s="162"/>
      <c r="ALN37" s="162"/>
      <c r="ALO37" s="162"/>
      <c r="ALP37" s="162"/>
      <c r="ALQ37" s="162"/>
      <c r="ALR37" s="162"/>
      <c r="ALS37" s="162"/>
      <c r="ALT37" s="162"/>
      <c r="ALU37" s="162"/>
      <c r="ALV37" s="162"/>
      <c r="ALW37" s="162"/>
      <c r="ALX37" s="162"/>
      <c r="ALY37" s="162"/>
    </row>
    <row r="38" spans="1:1013" s="145" customFormat="1" ht="12.75" x14ac:dyDescent="0.2">
      <c r="A38" s="155">
        <v>32</v>
      </c>
      <c r="B38" s="155" t="s">
        <v>105</v>
      </c>
      <c r="C38" s="155" t="s">
        <v>395</v>
      </c>
      <c r="D38" s="344">
        <f>MC!I80</f>
        <v>0.05</v>
      </c>
      <c r="E38" s="564">
        <v>496</v>
      </c>
      <c r="F38" s="156">
        <f>'GEXLON Limp.Ord. '!L149</f>
        <v>5.8437540433838029</v>
      </c>
      <c r="G38" s="564">
        <v>0</v>
      </c>
      <c r="H38" s="157">
        <f>'GEXLON Limp.Ord. '!L155</f>
        <v>3.1166688231380277</v>
      </c>
      <c r="I38" s="564">
        <v>0</v>
      </c>
      <c r="J38" s="157">
        <f>'GEXLON Limp.Ord. '!L161</f>
        <v>4.6750032347070425</v>
      </c>
      <c r="K38" s="564">
        <v>45</v>
      </c>
      <c r="L38" s="591">
        <f>'GEXLON Limp.Ord. '!L167</f>
        <v>23.375016173535212</v>
      </c>
      <c r="M38" s="564">
        <v>569</v>
      </c>
      <c r="N38" s="157">
        <f>'GEXLON Limp.Ord. '!L173</f>
        <v>1.7314826795211267</v>
      </c>
      <c r="O38" s="564">
        <v>136</v>
      </c>
      <c r="P38" s="157">
        <f>'GEXLON Limp.Ord. '!L176</f>
        <v>4.6750032347070418E-2</v>
      </c>
      <c r="Q38" s="564">
        <v>122</v>
      </c>
      <c r="R38" s="157">
        <f>'GEXLON Limp.Ord. '!L179</f>
        <v>0.51944480385633807</v>
      </c>
      <c r="S38" s="564">
        <v>0</v>
      </c>
      <c r="T38" s="157">
        <f>'GEXLON Limp.Ord. '!L185</f>
        <v>0.29140876803573329</v>
      </c>
      <c r="U38" s="564">
        <v>157</v>
      </c>
      <c r="V38" s="157">
        <f>'GEXLON Limp.Ord. '!L188</f>
        <v>1.0428175538321103</v>
      </c>
      <c r="W38" s="564">
        <v>157</v>
      </c>
      <c r="X38" s="157">
        <f>'GEXLON Limp.Ord. '!L191</f>
        <v>1.0428175538321103</v>
      </c>
      <c r="Y38" s="158">
        <f t="shared" si="1"/>
        <v>5332.7663603479295</v>
      </c>
      <c r="Z38" s="431"/>
      <c r="AA38" s="159">
        <f>'Prod. GEXLON'!S16*'GEXLON Limp.Ord. '!C143</f>
        <v>135.33034348577047</v>
      </c>
      <c r="AB38" s="160">
        <f>'Prod. GEXLON'!T16*'GEXLON Covid '!C143</f>
        <v>130.49357868363478</v>
      </c>
      <c r="AC38" s="161"/>
      <c r="ALM38" s="162"/>
      <c r="ALN38" s="162"/>
      <c r="ALO38" s="162"/>
      <c r="ALP38" s="162"/>
      <c r="ALQ38" s="162"/>
      <c r="ALR38" s="162"/>
      <c r="ALS38" s="162"/>
      <c r="ALT38" s="162"/>
      <c r="ALU38" s="162"/>
      <c r="ALV38" s="162"/>
      <c r="ALW38" s="162"/>
      <c r="ALX38" s="162"/>
      <c r="ALY38" s="162"/>
    </row>
    <row r="39" spans="1:1013" s="145" customFormat="1" ht="12.75" x14ac:dyDescent="0.2">
      <c r="A39" s="155">
        <v>33</v>
      </c>
      <c r="B39" s="155" t="s">
        <v>107</v>
      </c>
      <c r="C39" s="155" t="s">
        <v>396</v>
      </c>
      <c r="D39" s="344">
        <f>MC!I81</f>
        <v>0.05</v>
      </c>
      <c r="E39" s="564">
        <v>397</v>
      </c>
      <c r="F39" s="156">
        <f>'GEXLON Limp.Ord. '!L149</f>
        <v>5.8437540433838029</v>
      </c>
      <c r="G39" s="564">
        <v>225</v>
      </c>
      <c r="H39" s="157">
        <f>'GEXLON Limp.Ord. '!L155</f>
        <v>3.1166688231380277</v>
      </c>
      <c r="I39" s="564">
        <v>0</v>
      </c>
      <c r="J39" s="157">
        <f>'GEXLON Limp.Ord. '!L161</f>
        <v>4.6750032347070425</v>
      </c>
      <c r="K39" s="564">
        <v>35</v>
      </c>
      <c r="L39" s="591">
        <f>'GEXLON Limp.Ord. '!L167</f>
        <v>23.375016173535212</v>
      </c>
      <c r="M39" s="564">
        <v>128</v>
      </c>
      <c r="N39" s="157">
        <f>'GEXLON Limp.Ord. '!L173</f>
        <v>1.7314826795211267</v>
      </c>
      <c r="O39" s="564">
        <v>0</v>
      </c>
      <c r="P39" s="157">
        <f>'GEXLON Limp.Ord. '!L176</f>
        <v>4.6750032347070418E-2</v>
      </c>
      <c r="Q39" s="564">
        <v>56</v>
      </c>
      <c r="R39" s="157">
        <f>'GEXLON Limp.Ord. '!L179</f>
        <v>0.51944480385633807</v>
      </c>
      <c r="S39" s="564">
        <v>0</v>
      </c>
      <c r="T39" s="157">
        <f>'GEXLON Limp.Ord. '!L185</f>
        <v>0.29140876803573329</v>
      </c>
      <c r="U39" s="564">
        <v>61</v>
      </c>
      <c r="V39" s="157">
        <f>'GEXLON Limp.Ord. '!L188</f>
        <v>1.0428175538321103</v>
      </c>
      <c r="W39" s="564">
        <v>61</v>
      </c>
      <c r="X39" s="157">
        <f>'GEXLON Limp.Ord. '!L191</f>
        <v>1.0428175538321103</v>
      </c>
      <c r="Y39" s="158">
        <f t="shared" si="1"/>
        <v>4217.2888400653346</v>
      </c>
      <c r="Z39" s="431">
        <f>'Prod. GEXLON'!Q17*'GEXLON Covid '!D138</f>
        <v>3609.7568780080242</v>
      </c>
      <c r="AA39" s="159">
        <f>'Prod. GEXLON'!S17*'GEXLON Limp.Ord. '!C143</f>
        <v>135.33034348577047</v>
      </c>
      <c r="AB39" s="160">
        <f>'Prod. GEXLON'!T17*'GEXLON Covid '!C143</f>
        <v>130.49357868363478</v>
      </c>
      <c r="AC39" s="161"/>
      <c r="ALM39" s="162"/>
      <c r="ALN39" s="162"/>
      <c r="ALO39" s="162"/>
      <c r="ALP39" s="162"/>
      <c r="ALQ39" s="162"/>
      <c r="ALR39" s="162"/>
      <c r="ALS39" s="162"/>
      <c r="ALT39" s="162"/>
      <c r="ALU39" s="162"/>
      <c r="ALV39" s="162"/>
      <c r="ALW39" s="162"/>
      <c r="ALX39" s="162"/>
      <c r="ALY39" s="162"/>
    </row>
    <row r="40" spans="1:1013" s="145" customFormat="1" ht="12.75" x14ac:dyDescent="0.2">
      <c r="A40" s="155">
        <v>34</v>
      </c>
      <c r="B40" s="155" t="s">
        <v>109</v>
      </c>
      <c r="C40" s="155" t="s">
        <v>397</v>
      </c>
      <c r="D40" s="344">
        <f>MC!I82</f>
        <v>0.05</v>
      </c>
      <c r="E40" s="565">
        <v>328</v>
      </c>
      <c r="F40" s="156">
        <f>'GEXLON Limp.Ord. '!L149</f>
        <v>5.8437540433838029</v>
      </c>
      <c r="G40" s="565">
        <v>0</v>
      </c>
      <c r="H40" s="157">
        <f>'GEXLON Limp.Ord. '!L155</f>
        <v>3.1166688231380277</v>
      </c>
      <c r="I40" s="565">
        <v>0</v>
      </c>
      <c r="J40" s="157">
        <f>'GEXLON Limp.Ord. '!L161</f>
        <v>4.6750032347070425</v>
      </c>
      <c r="K40" s="584">
        <v>10</v>
      </c>
      <c r="L40" s="592">
        <f>'GEXLON Limp.Ord. '!L167</f>
        <v>23.375016173535212</v>
      </c>
      <c r="M40" s="584">
        <v>0</v>
      </c>
      <c r="N40" s="157">
        <f>'GEXLON Limp.Ord. '!L173</f>
        <v>1.7314826795211267</v>
      </c>
      <c r="O40" s="584">
        <v>0</v>
      </c>
      <c r="P40" s="157">
        <f>'GEXLON Limp.Ord. '!L176</f>
        <v>4.6750032347070418E-2</v>
      </c>
      <c r="Q40" s="584">
        <v>0</v>
      </c>
      <c r="R40" s="157">
        <f>'GEXLON Limp.Ord. '!L179</f>
        <v>0.51944480385633807</v>
      </c>
      <c r="S40" s="584">
        <v>72</v>
      </c>
      <c r="T40" s="157">
        <f>'GEXLON Limp.Ord. '!L185</f>
        <v>0.29140876803573329</v>
      </c>
      <c r="U40" s="584">
        <v>0</v>
      </c>
      <c r="V40" s="157">
        <f>'GEXLON Limp.Ord. '!L188</f>
        <v>1.0428175538321103</v>
      </c>
      <c r="W40" s="584">
        <v>72</v>
      </c>
      <c r="X40" s="157">
        <f>'GEXLON Limp.Ord. '!L191</f>
        <v>1.0428175538321103</v>
      </c>
      <c r="Y40" s="158">
        <f t="shared" si="1"/>
        <v>2246.5657831397243</v>
      </c>
      <c r="Z40" s="431"/>
      <c r="AA40" s="159">
        <f>'Prod. GEXLON'!S18*'GEXLON Limp.Ord. '!C143</f>
        <v>135.33034348577047</v>
      </c>
      <c r="AB40" s="160">
        <f>'Prod. GEXLON'!T18*'GEXLON Covid '!C143</f>
        <v>130.49357868363478</v>
      </c>
      <c r="AC40" s="161"/>
      <c r="ALM40" s="162"/>
      <c r="ALN40" s="162"/>
      <c r="ALO40" s="162"/>
      <c r="ALP40" s="162"/>
      <c r="ALQ40" s="162"/>
      <c r="ALR40" s="162"/>
      <c r="ALS40" s="162"/>
      <c r="ALT40" s="162"/>
      <c r="ALU40" s="162"/>
      <c r="ALV40" s="162"/>
      <c r="ALW40" s="162"/>
      <c r="ALX40" s="162"/>
      <c r="ALY40" s="162"/>
    </row>
    <row r="41" spans="1:1013" s="145" customFormat="1" ht="12.75" x14ac:dyDescent="0.2">
      <c r="A41" s="938" t="s">
        <v>398</v>
      </c>
      <c r="B41" s="939"/>
      <c r="C41" s="939"/>
      <c r="D41" s="940"/>
      <c r="E41" s="594">
        <f>SUM(E26:E40)</f>
        <v>8709</v>
      </c>
      <c r="F41" s="166"/>
      <c r="G41" s="165">
        <f>SUM(G26:G40)</f>
        <v>8489</v>
      </c>
      <c r="H41" s="166"/>
      <c r="I41" s="165">
        <f>SUM(I26:I40)</f>
        <v>0</v>
      </c>
      <c r="J41" s="166"/>
      <c r="K41" s="558">
        <f>SUM(K26:K40)</f>
        <v>1014.1999999999999</v>
      </c>
      <c r="L41" s="559"/>
      <c r="M41" s="170">
        <f>SUM(M26:M40)</f>
        <v>8293</v>
      </c>
      <c r="N41" s="171"/>
      <c r="O41" s="170">
        <f>SUM(O26:O40)</f>
        <v>12013</v>
      </c>
      <c r="P41" s="166"/>
      <c r="Q41" s="165">
        <f>SUM(Q26:Q40)</f>
        <v>3052</v>
      </c>
      <c r="R41" s="166"/>
      <c r="S41" s="165">
        <f>SUM(S26:S40)</f>
        <v>1982</v>
      </c>
      <c r="T41" s="798"/>
      <c r="U41" s="170">
        <f>SUM(U26:U40)</f>
        <v>2082</v>
      </c>
      <c r="V41" s="166"/>
      <c r="W41" s="167">
        <f>SUM(W26:W40)</f>
        <v>4064</v>
      </c>
      <c r="X41" s="166"/>
      <c r="Y41" s="166">
        <f>SUM(Y26:Y40)</f>
        <v>123807.23851220716</v>
      </c>
      <c r="Z41" s="168">
        <f>SUM(Z26:Z40)</f>
        <v>46031.06901496822</v>
      </c>
      <c r="AA41" s="167">
        <f>SUM(AA26:AA40)</f>
        <v>2015.3080707288937</v>
      </c>
      <c r="AB41" s="168">
        <f>SUM(AB26:AB40)</f>
        <v>1943.2800917044667</v>
      </c>
      <c r="AC41" s="670">
        <f>SUM(AC26:AC40)</f>
        <v>4043.6000000000004</v>
      </c>
      <c r="ALM41" s="162"/>
      <c r="ALN41" s="162"/>
      <c r="ALO41" s="162"/>
      <c r="ALP41" s="162"/>
      <c r="ALQ41" s="162"/>
      <c r="ALR41" s="162"/>
      <c r="ALS41" s="162"/>
      <c r="ALT41" s="162"/>
      <c r="ALU41" s="162"/>
      <c r="ALV41" s="162"/>
      <c r="ALW41" s="162"/>
      <c r="ALX41" s="162"/>
      <c r="ALY41" s="162"/>
    </row>
    <row r="42" spans="1:1013" s="145" customFormat="1" ht="12.75" x14ac:dyDescent="0.2">
      <c r="A42" s="148">
        <v>35</v>
      </c>
      <c r="B42" s="148" t="s">
        <v>117</v>
      </c>
      <c r="C42" s="148" t="s">
        <v>399</v>
      </c>
      <c r="D42" s="343">
        <f>MC!C91</f>
        <v>0.03</v>
      </c>
      <c r="E42" s="563">
        <v>2205.4899999999998</v>
      </c>
      <c r="F42" s="368">
        <f>'GEXMRG Limp.Ord. '!F149</f>
        <v>5.7295021055041753</v>
      </c>
      <c r="G42" s="585">
        <v>782.2</v>
      </c>
      <c r="H42" s="368">
        <f>'GEXMRG Limp.Ord. '!H155</f>
        <v>3.0624527262330807</v>
      </c>
      <c r="I42" s="563">
        <v>0</v>
      </c>
      <c r="J42" s="368">
        <f>'GEXMRG Limp.Ord. '!F161</f>
        <v>3.0557344562688931</v>
      </c>
      <c r="K42" s="563">
        <v>144.51</v>
      </c>
      <c r="L42" s="368">
        <f>'GEXMRG Limp.Ord. '!F167</f>
        <v>22.918008422016701</v>
      </c>
      <c r="M42" s="563">
        <v>4.75</v>
      </c>
      <c r="N42" s="368">
        <f>'GEXMRG Limp.Ord. '!F173</f>
        <v>1.6976302534827186</v>
      </c>
      <c r="O42" s="563">
        <v>0</v>
      </c>
      <c r="P42" s="368">
        <f>'GEXMRG Limp.Ord. '!F176</f>
        <v>4.5836016844033406E-2</v>
      </c>
      <c r="Q42" s="563">
        <v>571.12</v>
      </c>
      <c r="R42" s="368">
        <f>'GEXMRG Limp.Ord. '!F179</f>
        <v>0.50928907604481555</v>
      </c>
      <c r="S42" s="563">
        <v>295.14</v>
      </c>
      <c r="T42" s="368">
        <f>'GEXMRG Limp.Ord. '!F185</f>
        <v>0.28495075766256434</v>
      </c>
      <c r="U42" s="563">
        <v>243.21</v>
      </c>
      <c r="V42" s="368">
        <f>'GEXMRG Limp.Ord. '!F188</f>
        <v>1.0224293024622391</v>
      </c>
      <c r="W42" s="563">
        <v>538.35</v>
      </c>
      <c r="X42" s="368">
        <f>'GEXMRG Limp.Ord. '!F191</f>
        <v>1.0224293024622391</v>
      </c>
      <c r="Y42" s="151">
        <f t="shared" ref="Y42:Y55" si="2">(E42*F42)+(G42*H42)+(I42*J42)+(K42*L42)+(M42*N42)+(O42*P42)+(Q42*R42)+(S42*T42)+(U42*V42)+(W42*X42)</f>
        <v>19525.810651257227</v>
      </c>
      <c r="Z42" s="431">
        <f>('Prod. GEXMRG'!P4*'GEXMRG Covid '!D135)+('Prod. GEXMRG'!Q4*'GEXMRG Covid '!C135)</f>
        <v>11315.16439147864</v>
      </c>
      <c r="AA42" s="427">
        <f>'Prod. GEXMRG'!R4*'GEXMRG Limp.Ord. '!C140</f>
        <v>132.34152045703897</v>
      </c>
      <c r="AB42" s="668">
        <f>'Prod. GEXMRG'!S4*'GEXMRG Covid '!C140</f>
        <v>127.61489028474679</v>
      </c>
      <c r="AC42" s="666">
        <f>MC!I7*'Prod. GEXMRG'!T4</f>
        <v>4043.6000000000004</v>
      </c>
      <c r="ALM42" s="162"/>
      <c r="ALN42" s="162"/>
      <c r="ALO42" s="162"/>
      <c r="ALP42" s="162"/>
      <c r="ALQ42" s="162"/>
      <c r="ALR42" s="162"/>
      <c r="ALS42" s="162"/>
      <c r="ALT42" s="162"/>
      <c r="ALU42" s="162"/>
      <c r="ALV42" s="162"/>
      <c r="ALW42" s="162"/>
      <c r="ALX42" s="162"/>
      <c r="ALY42" s="162"/>
    </row>
    <row r="43" spans="1:1013" s="145" customFormat="1" ht="12.75" x14ac:dyDescent="0.2">
      <c r="A43" s="155">
        <v>36</v>
      </c>
      <c r="B43" s="155" t="s">
        <v>118</v>
      </c>
      <c r="C43" s="155" t="s">
        <v>400</v>
      </c>
      <c r="D43" s="344">
        <f>MC!C92</f>
        <v>0.05</v>
      </c>
      <c r="E43" s="564">
        <v>2160.0700000000002</v>
      </c>
      <c r="F43" s="369">
        <f>'GEXMRG Limp.Ord. '!L149</f>
        <v>5.8581138843739895</v>
      </c>
      <c r="G43" s="586">
        <v>341.41</v>
      </c>
      <c r="H43" s="369">
        <f>'GEXMRG Limp.Ord. '!L155</f>
        <v>3.1243274049994607</v>
      </c>
      <c r="I43" s="564">
        <v>0</v>
      </c>
      <c r="J43" s="369">
        <f>'GEXMRG Limp.Ord. '!L161</f>
        <v>3.1243274049994607</v>
      </c>
      <c r="K43" s="564">
        <v>73.11</v>
      </c>
      <c r="L43" s="369">
        <f>'GEXMRG Limp.Ord. '!L167</f>
        <v>23.432455537495958</v>
      </c>
      <c r="M43" s="564">
        <v>0</v>
      </c>
      <c r="N43" s="369">
        <f>'GEXMRG Limp.Ord. '!L173</f>
        <v>1.7357374472219227</v>
      </c>
      <c r="O43" s="564">
        <v>780</v>
      </c>
      <c r="P43" s="369">
        <f>'GEXMRG Limp.Ord. '!L176</f>
        <v>4.6864911074991918E-2</v>
      </c>
      <c r="Q43" s="564">
        <v>1150</v>
      </c>
      <c r="R43" s="369">
        <f>'GEXMRG Limp.Ord. '!L179</f>
        <v>0.5207212341665769</v>
      </c>
      <c r="S43" s="564">
        <v>271.55</v>
      </c>
      <c r="T43" s="369">
        <f>'GEXMRG Limp.Ord. '!L185</f>
        <v>0.29039866459567515</v>
      </c>
      <c r="U43" s="564">
        <v>139.62</v>
      </c>
      <c r="V43" s="369">
        <f>'GEXMRG Limp.Ord. '!L188</f>
        <v>1.0453800665839532</v>
      </c>
      <c r="W43" s="564">
        <v>411.17</v>
      </c>
      <c r="X43" s="369">
        <f>'GEXMRG Limp.Ord. '!L191</f>
        <v>1.0453800665839532</v>
      </c>
      <c r="Y43" s="151">
        <f t="shared" si="2"/>
        <v>16723.786196081706</v>
      </c>
      <c r="Z43" s="431">
        <f>'Prod. GEXMRG'!Q5*'GEXMRG Covid '!C138</f>
        <v>4353.0443624826175</v>
      </c>
      <c r="AA43" s="428">
        <f>'Prod. GEXMRG'!R5*'GEXMRG Limp.Ord. '!C143</f>
        <v>135.42820314991451</v>
      </c>
      <c r="AB43" s="669">
        <f>'Prod. GEXMRG'!S5*'GEXMRG Covid '!C143</f>
        <v>130.59133087447853</v>
      </c>
      <c r="AC43" s="525"/>
      <c r="ALM43" s="162"/>
      <c r="ALN43" s="162"/>
      <c r="ALO43" s="162"/>
      <c r="ALP43" s="162"/>
      <c r="ALQ43" s="162"/>
      <c r="ALR43" s="162"/>
      <c r="ALS43" s="162"/>
      <c r="ALT43" s="162"/>
      <c r="ALU43" s="162"/>
      <c r="ALV43" s="162"/>
      <c r="ALW43" s="162"/>
      <c r="ALX43" s="162"/>
      <c r="ALY43" s="162"/>
    </row>
    <row r="44" spans="1:1013" s="145" customFormat="1" ht="12.75" x14ac:dyDescent="0.2">
      <c r="A44" s="155">
        <v>37</v>
      </c>
      <c r="B44" s="155" t="s">
        <v>119</v>
      </c>
      <c r="C44" s="155" t="s">
        <v>401</v>
      </c>
      <c r="D44" s="344">
        <f>MC!C93</f>
        <v>0.05</v>
      </c>
      <c r="E44" s="564">
        <v>711.71</v>
      </c>
      <c r="F44" s="369">
        <f>'GEXMRG Limp.Ord. '!L149</f>
        <v>5.8581138843739895</v>
      </c>
      <c r="G44" s="586">
        <v>300</v>
      </c>
      <c r="H44" s="369">
        <f>'GEXMRG Limp.Ord. '!L155</f>
        <v>3.1243274049994607</v>
      </c>
      <c r="I44" s="564">
        <v>0</v>
      </c>
      <c r="J44" s="369">
        <f>'GEXMRG Limp.Ord. '!L161</f>
        <v>3.1243274049994607</v>
      </c>
      <c r="K44" s="564">
        <v>69.25</v>
      </c>
      <c r="L44" s="369">
        <f>'GEXMRG Limp.Ord. '!L167</f>
        <v>23.432455537495958</v>
      </c>
      <c r="M44" s="564">
        <v>40.380000000000003</v>
      </c>
      <c r="N44" s="369">
        <f>'GEXMRG Limp.Ord. '!L173</f>
        <v>1.7357374472219227</v>
      </c>
      <c r="O44" s="564">
        <v>910.34</v>
      </c>
      <c r="P44" s="369">
        <f>'GEXMRG Limp.Ord. '!L176</f>
        <v>4.6864911074991918E-2</v>
      </c>
      <c r="Q44" s="564">
        <v>1439.53</v>
      </c>
      <c r="R44" s="369">
        <f>'GEXMRG Limp.Ord. '!L179</f>
        <v>0.5207212341665769</v>
      </c>
      <c r="S44" s="564">
        <v>0</v>
      </c>
      <c r="T44" s="369">
        <f>'GEXMRG Limp.Ord. '!L185</f>
        <v>0.29039866459567515</v>
      </c>
      <c r="U44" s="564">
        <v>307.14999999999998</v>
      </c>
      <c r="V44" s="369">
        <f>'GEXMRG Limp.Ord. '!L188</f>
        <v>1.0453800665839532</v>
      </c>
      <c r="W44" s="564">
        <v>307.14999999999998</v>
      </c>
      <c r="X44" s="369">
        <f>'GEXMRG Limp.Ord. '!L191</f>
        <v>1.0453800665839532</v>
      </c>
      <c r="Y44" s="151">
        <f t="shared" si="2"/>
        <v>8233.7968945084103</v>
      </c>
      <c r="Z44" s="431">
        <f>'Prod. GEXMRG'!Q6*'GEXMRG Covid '!C138</f>
        <v>4353.0443624826175</v>
      </c>
      <c r="AA44" s="428">
        <f>'Prod. GEXMRG'!R6*'GEXMRG Limp.Ord. '!C143</f>
        <v>135.42820314991451</v>
      </c>
      <c r="AB44" s="669">
        <f>'Prod. GEXMRG'!S6*'GEXMRG Covid '!C143</f>
        <v>130.59133087447853</v>
      </c>
      <c r="AC44" s="525"/>
      <c r="ALM44" s="162"/>
      <c r="ALN44" s="162"/>
      <c r="ALO44" s="162"/>
      <c r="ALP44" s="162"/>
      <c r="ALQ44" s="162"/>
      <c r="ALR44" s="162"/>
      <c r="ALS44" s="162"/>
      <c r="ALT44" s="162"/>
      <c r="ALU44" s="162"/>
      <c r="ALV44" s="162"/>
      <c r="ALW44" s="162"/>
      <c r="ALX44" s="162"/>
      <c r="ALY44" s="162"/>
    </row>
    <row r="45" spans="1:1013" s="145" customFormat="1" ht="12.75" x14ac:dyDescent="0.2">
      <c r="A45" s="155">
        <v>38</v>
      </c>
      <c r="B45" s="155" t="s">
        <v>120</v>
      </c>
      <c r="C45" s="155" t="s">
        <v>402</v>
      </c>
      <c r="D45" s="344">
        <f>MC!C94</f>
        <v>0.04</v>
      </c>
      <c r="E45" s="564">
        <v>683.3</v>
      </c>
      <c r="F45" s="369">
        <f>'GEXMRG Limp.Ord. '!J149</f>
        <v>5.7930667166747041</v>
      </c>
      <c r="G45" s="586">
        <v>150</v>
      </c>
      <c r="H45" s="369">
        <f>'GEXMRG Limp.Ord. '!J155</f>
        <v>3.0896355822265082</v>
      </c>
      <c r="I45" s="564">
        <v>0</v>
      </c>
      <c r="J45" s="369">
        <f>'GEXMRG Limp.Ord. '!J161</f>
        <v>3.0896355822265082</v>
      </c>
      <c r="K45" s="564">
        <v>43.18</v>
      </c>
      <c r="L45" s="369">
        <f>'GEXMRG Limp.Ord. '!J167</f>
        <v>23.172266866698816</v>
      </c>
      <c r="M45" s="564">
        <v>15</v>
      </c>
      <c r="N45" s="369">
        <f>'GEXMRG Limp.Ord. '!J173</f>
        <v>1.7164642123480602</v>
      </c>
      <c r="O45" s="564">
        <v>777</v>
      </c>
      <c r="P45" s="369">
        <f>'GEXMRG Limp.Ord. '!J176</f>
        <v>4.6344533733397635E-2</v>
      </c>
      <c r="Q45" s="564">
        <v>1053</v>
      </c>
      <c r="R45" s="369">
        <f>'GEXMRG Limp.Ord. '!J179</f>
        <v>0.51493926370441812</v>
      </c>
      <c r="S45" s="564">
        <v>92.17</v>
      </c>
      <c r="T45" s="369">
        <f>'GEXMRG Limp.Ord. '!J185</f>
        <v>0.28764331108915941</v>
      </c>
      <c r="U45" s="564">
        <v>96.79</v>
      </c>
      <c r="V45" s="369">
        <f>'GEXMRG Limp.Ord. '!J188</f>
        <v>1.033772403461876</v>
      </c>
      <c r="W45" s="564">
        <v>188.96</v>
      </c>
      <c r="X45" s="369">
        <f>'GEXMRG Limp.Ord. '!J191</f>
        <v>1.033772403461876</v>
      </c>
      <c r="Y45" s="151">
        <f t="shared" si="2"/>
        <v>6348.3265669909988</v>
      </c>
      <c r="Z45" s="431"/>
      <c r="AA45" s="428">
        <f>'Prod. GEXMRG'!R7*'GEXMRG Limp.Ord. '!C142</f>
        <v>133.86707112513164</v>
      </c>
      <c r="AB45" s="669">
        <f>'Prod. GEXMRG'!S7*'GEXMRG Covid '!C142</f>
        <v>129.08595530243841</v>
      </c>
      <c r="AC45" s="525"/>
      <c r="ALM45" s="162"/>
      <c r="ALN45" s="162"/>
      <c r="ALO45" s="162"/>
      <c r="ALP45" s="162"/>
      <c r="ALQ45" s="162"/>
      <c r="ALR45" s="162"/>
      <c r="ALS45" s="162"/>
      <c r="ALT45" s="162"/>
      <c r="ALU45" s="162"/>
      <c r="ALV45" s="162"/>
      <c r="ALW45" s="162"/>
      <c r="ALX45" s="162"/>
      <c r="ALY45" s="162"/>
    </row>
    <row r="46" spans="1:1013" s="145" customFormat="1" ht="12.75" x14ac:dyDescent="0.2">
      <c r="A46" s="155">
        <v>39</v>
      </c>
      <c r="B46" s="155" t="s">
        <v>121</v>
      </c>
      <c r="C46" s="155" t="s">
        <v>403</v>
      </c>
      <c r="D46" s="344">
        <f>MC!C95</f>
        <v>0.03</v>
      </c>
      <c r="E46" s="564">
        <v>800</v>
      </c>
      <c r="F46" s="369">
        <f>'GEXMRG Limp.Ord. '!F149</f>
        <v>5.7295021055041753</v>
      </c>
      <c r="G46" s="586">
        <v>0</v>
      </c>
      <c r="H46" s="369">
        <f>'GEXMRG Limp.Ord. '!H155</f>
        <v>3.0624527262330807</v>
      </c>
      <c r="I46" s="564">
        <v>0</v>
      </c>
      <c r="J46" s="369">
        <f>'GEXMRG Limp.Ord. '!F161</f>
        <v>3.0557344562688931</v>
      </c>
      <c r="K46" s="564">
        <v>0</v>
      </c>
      <c r="L46" s="369">
        <f>'GEXMRG Limp.Ord. '!F167</f>
        <v>22.918008422016701</v>
      </c>
      <c r="M46" s="564">
        <v>0</v>
      </c>
      <c r="N46" s="369">
        <f>'GEXMRG Limp.Ord. '!F173</f>
        <v>1.6976302534827186</v>
      </c>
      <c r="O46" s="564">
        <v>0</v>
      </c>
      <c r="P46" s="369">
        <f>'GEXMRG Limp.Ord. '!F176</f>
        <v>4.5836016844033406E-2</v>
      </c>
      <c r="Q46" s="564">
        <v>0</v>
      </c>
      <c r="R46" s="369">
        <f>'GEXMRG Limp.Ord. '!F179</f>
        <v>0.50928907604481555</v>
      </c>
      <c r="S46" s="564">
        <v>0</v>
      </c>
      <c r="T46" s="369">
        <f>'GEXMRG Limp.Ord. '!F185</f>
        <v>0.28495075766256434</v>
      </c>
      <c r="U46" s="564">
        <v>0</v>
      </c>
      <c r="V46" s="369">
        <f>'GEXMRG Limp.Ord. '!F188</f>
        <v>1.0224293024622391</v>
      </c>
      <c r="W46" s="564">
        <v>0</v>
      </c>
      <c r="X46" s="369">
        <f>'GEXMRG Limp.Ord. '!F191</f>
        <v>1.0224293024622391</v>
      </c>
      <c r="Y46" s="151">
        <f t="shared" si="2"/>
        <v>4583.6016844033402</v>
      </c>
      <c r="Z46" s="431">
        <f>'Prod. GEXMRG'!Q8*'GEXMRG Covid '!C135</f>
        <v>4253.8296761582269</v>
      </c>
      <c r="AA46" s="428">
        <f>'Prod. GEXMRG'!R8*'GEXMRG Limp.Ord. '!C140</f>
        <v>132.34152045703897</v>
      </c>
      <c r="AB46" s="669">
        <f>'Prod. GEXMRG'!S8*'GEXMRG Covid '!C140</f>
        <v>127.61489028474679</v>
      </c>
      <c r="AC46" s="525"/>
      <c r="ALM46" s="162"/>
      <c r="ALN46" s="162"/>
      <c r="ALO46" s="162"/>
      <c r="ALP46" s="162"/>
      <c r="ALQ46" s="162"/>
      <c r="ALR46" s="162"/>
      <c r="ALS46" s="162"/>
      <c r="ALT46" s="162"/>
      <c r="ALU46" s="162"/>
      <c r="ALV46" s="162"/>
      <c r="ALW46" s="162"/>
      <c r="ALX46" s="162"/>
      <c r="ALY46" s="162"/>
    </row>
    <row r="47" spans="1:1013" s="145" customFormat="1" ht="12.75" x14ac:dyDescent="0.2">
      <c r="A47" s="155">
        <v>40</v>
      </c>
      <c r="B47" s="155" t="s">
        <v>122</v>
      </c>
      <c r="C47" s="155" t="s">
        <v>404</v>
      </c>
      <c r="D47" s="344">
        <f>MC!C96</f>
        <v>0.04</v>
      </c>
      <c r="E47" s="564">
        <v>1910.9</v>
      </c>
      <c r="F47" s="369">
        <f>'GEXMRG Limp.Ord. '!J149</f>
        <v>5.7930667166747041</v>
      </c>
      <c r="G47" s="586">
        <v>450</v>
      </c>
      <c r="H47" s="369">
        <f>'GEXMRG Limp.Ord. '!J155</f>
        <v>3.0896355822265082</v>
      </c>
      <c r="I47" s="564">
        <v>500</v>
      </c>
      <c r="J47" s="369">
        <f>'GEXMRG Limp.Ord. '!J161</f>
        <v>3.0896355822265082</v>
      </c>
      <c r="K47" s="564">
        <v>75.099999999999994</v>
      </c>
      <c r="L47" s="369">
        <f>'GEXMRG Limp.Ord. '!J167</f>
        <v>23.172266866698816</v>
      </c>
      <c r="M47" s="564">
        <v>32.799999999999997</v>
      </c>
      <c r="N47" s="369">
        <f>'GEXMRG Limp.Ord. '!J173</f>
        <v>1.7164642123480602</v>
      </c>
      <c r="O47" s="564">
        <v>300</v>
      </c>
      <c r="P47" s="369">
        <f>'GEXMRG Limp.Ord. '!J176</f>
        <v>4.6344533733397635E-2</v>
      </c>
      <c r="Q47" s="564">
        <v>1160.5</v>
      </c>
      <c r="R47" s="369">
        <f>'GEXMRG Limp.Ord. '!J179</f>
        <v>0.51493926370441812</v>
      </c>
      <c r="S47" s="564">
        <v>505.8</v>
      </c>
      <c r="T47" s="369">
        <f>'GEXMRG Limp.Ord. '!J185</f>
        <v>0.28764331108915941</v>
      </c>
      <c r="U47" s="564">
        <v>156.74</v>
      </c>
      <c r="V47" s="369">
        <f>'GEXMRG Limp.Ord. '!J188</f>
        <v>1.033772403461876</v>
      </c>
      <c r="W47" s="564">
        <v>662.54</v>
      </c>
      <c r="X47" s="369">
        <f>'GEXMRG Limp.Ord. '!J191</f>
        <v>1.033772403461876</v>
      </c>
      <c r="Y47" s="151">
        <f t="shared" si="2"/>
        <v>17405.59167696911</v>
      </c>
      <c r="Z47" s="431">
        <f>'Prod. GEXMRG'!Q9*'GEXMRG Covid '!C137</f>
        <v>4302.8651767479469</v>
      </c>
      <c r="AA47" s="428">
        <f>'Prod. GEXMRG'!R9*'GEXMRG Limp.Ord. '!C142</f>
        <v>133.86707112513164</v>
      </c>
      <c r="AB47" s="669">
        <f>'Prod. GEXMRG'!S9*'GEXMRG Covid '!C142</f>
        <v>129.08595530243841</v>
      </c>
      <c r="AC47" s="525"/>
      <c r="ALM47" s="162"/>
      <c r="ALN47" s="162"/>
      <c r="ALO47" s="162"/>
      <c r="ALP47" s="162"/>
      <c r="ALQ47" s="162"/>
      <c r="ALR47" s="162"/>
      <c r="ALS47" s="162"/>
      <c r="ALT47" s="162"/>
      <c r="ALU47" s="162"/>
      <c r="ALV47" s="162"/>
      <c r="ALW47" s="162"/>
      <c r="ALX47" s="162"/>
      <c r="ALY47" s="162"/>
    </row>
    <row r="48" spans="1:1013" s="145" customFormat="1" ht="12.75" x14ac:dyDescent="0.2">
      <c r="A48" s="155">
        <v>41</v>
      </c>
      <c r="B48" s="155" t="s">
        <v>123</v>
      </c>
      <c r="C48" s="155" t="s">
        <v>405</v>
      </c>
      <c r="D48" s="344">
        <f>MC!C97</f>
        <v>0.05</v>
      </c>
      <c r="E48" s="564">
        <v>2191.5300000000002</v>
      </c>
      <c r="F48" s="369">
        <f>'GEXMRG Limp.Ord. '!L149</f>
        <v>5.8581138843739895</v>
      </c>
      <c r="G48" s="586">
        <v>1200</v>
      </c>
      <c r="H48" s="369">
        <f>'GEXMRG Limp.Ord. '!L155</f>
        <v>3.1243274049994607</v>
      </c>
      <c r="I48" s="564">
        <v>0</v>
      </c>
      <c r="J48" s="369">
        <f>'GEXMRG Limp.Ord. '!L161</f>
        <v>3.1243274049994607</v>
      </c>
      <c r="K48" s="564">
        <v>90.25</v>
      </c>
      <c r="L48" s="369">
        <f>'GEXMRG Limp.Ord. '!L167</f>
        <v>23.432455537495958</v>
      </c>
      <c r="M48" s="564">
        <v>0</v>
      </c>
      <c r="N48" s="369">
        <f>'GEXMRG Limp.Ord. '!L173</f>
        <v>1.7357374472219227</v>
      </c>
      <c r="O48" s="564">
        <v>493.82</v>
      </c>
      <c r="P48" s="369">
        <f>'GEXMRG Limp.Ord. '!L176</f>
        <v>4.6864911074991918E-2</v>
      </c>
      <c r="Q48" s="564">
        <v>885.4</v>
      </c>
      <c r="R48" s="369">
        <f>'GEXMRG Limp.Ord. '!L179</f>
        <v>0.5207212341665769</v>
      </c>
      <c r="S48" s="564">
        <v>463.96</v>
      </c>
      <c r="T48" s="369">
        <f>'GEXMRG Limp.Ord. '!L185</f>
        <v>0.29039866459567515</v>
      </c>
      <c r="U48" s="564">
        <v>179.04</v>
      </c>
      <c r="V48" s="369">
        <f>'GEXMRG Limp.Ord. '!L188</f>
        <v>1.0453800665839532</v>
      </c>
      <c r="W48" s="564">
        <v>643</v>
      </c>
      <c r="X48" s="369">
        <f>'GEXMRG Limp.Ord. '!L191</f>
        <v>1.0453800665839532</v>
      </c>
      <c r="Y48" s="151">
        <f t="shared" si="2"/>
        <v>20180.471324759117</v>
      </c>
      <c r="Z48" s="431">
        <f>'Prod. GEXMRG'!P10*'GEXMRG Covid '!D138</f>
        <v>3613.0152843694832</v>
      </c>
      <c r="AA48" s="428">
        <f>'Prod. GEXMRG'!R10*'GEXMRG Limp.Ord. '!C143</f>
        <v>135.42820314991451</v>
      </c>
      <c r="AB48" s="669">
        <f>'Prod. GEXMRG'!S10*'GEXMRG Covid '!C143</f>
        <v>130.59133087447853</v>
      </c>
      <c r="AC48" s="525"/>
      <c r="ALM48" s="162"/>
      <c r="ALN48" s="162"/>
      <c r="ALO48" s="162"/>
      <c r="ALP48" s="162"/>
      <c r="ALQ48" s="162"/>
      <c r="ALR48" s="162"/>
      <c r="ALS48" s="162"/>
      <c r="ALT48" s="162"/>
      <c r="ALU48" s="162"/>
      <c r="ALV48" s="162"/>
      <c r="ALW48" s="162"/>
      <c r="ALX48" s="162"/>
      <c r="ALY48" s="162"/>
    </row>
    <row r="49" spans="1:1013" s="145" customFormat="1" ht="12.75" x14ac:dyDescent="0.2">
      <c r="A49" s="155">
        <v>42</v>
      </c>
      <c r="B49" s="155" t="s">
        <v>406</v>
      </c>
      <c r="C49" s="155" t="s">
        <v>407</v>
      </c>
      <c r="D49" s="344">
        <f>MC!C98</f>
        <v>0.04</v>
      </c>
      <c r="E49" s="564">
        <v>800</v>
      </c>
      <c r="F49" s="369">
        <f>'GEXMRG Limp.Ord. '!J149</f>
        <v>5.7930667166747041</v>
      </c>
      <c r="G49" s="586">
        <v>0</v>
      </c>
      <c r="H49" s="369">
        <f>'GEXMRG Limp.Ord. '!J155</f>
        <v>3.0896355822265082</v>
      </c>
      <c r="I49" s="564">
        <v>0</v>
      </c>
      <c r="J49" s="369">
        <f>'GEXMRG Limp.Ord. '!J161</f>
        <v>3.0896355822265082</v>
      </c>
      <c r="K49" s="564">
        <v>0</v>
      </c>
      <c r="L49" s="369">
        <f>'GEXMRG Limp.Ord. '!J167</f>
        <v>23.172266866698816</v>
      </c>
      <c r="M49" s="564">
        <v>0</v>
      </c>
      <c r="N49" s="369">
        <f>'GEXMRG Limp.Ord. '!J173</f>
        <v>1.7164642123480602</v>
      </c>
      <c r="O49" s="564">
        <v>0</v>
      </c>
      <c r="P49" s="369">
        <f>'GEXMRG Limp.Ord. '!J176</f>
        <v>4.6344533733397635E-2</v>
      </c>
      <c r="Q49" s="564">
        <v>0</v>
      </c>
      <c r="R49" s="369">
        <f>'GEXMRG Limp.Ord. '!J179</f>
        <v>0.51493926370441812</v>
      </c>
      <c r="S49" s="564">
        <v>0</v>
      </c>
      <c r="T49" s="369">
        <f>'GEXMRG Limp.Ord. '!J185</f>
        <v>0.28764331108915941</v>
      </c>
      <c r="U49" s="564">
        <v>0</v>
      </c>
      <c r="V49" s="369">
        <f>'GEXMRG Limp.Ord. '!J188</f>
        <v>1.033772403461876</v>
      </c>
      <c r="W49" s="564">
        <v>0</v>
      </c>
      <c r="X49" s="369">
        <f>'GEXMRG Limp.Ord. '!J191</f>
        <v>1.033772403461876</v>
      </c>
      <c r="Y49" s="151">
        <f t="shared" si="2"/>
        <v>4634.4533733397629</v>
      </c>
      <c r="Z49" s="431"/>
      <c r="AA49" s="428">
        <f>'Prod. GEXMRG'!R11*'GEXMRG Limp.Ord. '!C142</f>
        <v>133.86707112513164</v>
      </c>
      <c r="AB49" s="669">
        <f>'Prod. GEXMRG'!S11*'GEXMRG Covid '!C142</f>
        <v>129.08595530243841</v>
      </c>
      <c r="AC49" s="525"/>
      <c r="ALM49" s="162"/>
      <c r="ALN49" s="162"/>
      <c r="ALO49" s="162"/>
      <c r="ALP49" s="162"/>
      <c r="ALQ49" s="162"/>
      <c r="ALR49" s="162"/>
      <c r="ALS49" s="162"/>
      <c r="ALT49" s="162"/>
      <c r="ALU49" s="162"/>
      <c r="ALV49" s="162"/>
      <c r="ALW49" s="162"/>
      <c r="ALX49" s="162"/>
      <c r="ALY49" s="162"/>
    </row>
    <row r="50" spans="1:1013" s="145" customFormat="1" ht="12.75" x14ac:dyDescent="0.2">
      <c r="A50" s="155">
        <v>43</v>
      </c>
      <c r="B50" s="155" t="s">
        <v>125</v>
      </c>
      <c r="C50" s="155" t="s">
        <v>408</v>
      </c>
      <c r="D50" s="344">
        <f>MC!C99</f>
        <v>3.2000000000000001E-2</v>
      </c>
      <c r="E50" s="564">
        <v>800</v>
      </c>
      <c r="F50" s="369">
        <f>'GEXMRG Limp.Ord. '!H149</f>
        <v>5.742098861687027</v>
      </c>
      <c r="G50" s="586">
        <v>0</v>
      </c>
      <c r="H50" s="369">
        <f>'GEXMRG Limp.Ord. '!H155</f>
        <v>3.0624527262330807</v>
      </c>
      <c r="I50" s="564">
        <v>0</v>
      </c>
      <c r="J50" s="369">
        <f>'GEXMRG Limp.Ord. '!H161</f>
        <v>3.0624527262330807</v>
      </c>
      <c r="K50" s="564">
        <v>0</v>
      </c>
      <c r="L50" s="369">
        <f>'GEXMRG Limp.Ord. '!H167</f>
        <v>22.968395446748108</v>
      </c>
      <c r="M50" s="564">
        <v>0</v>
      </c>
      <c r="N50" s="369">
        <f>'GEXMRG Limp.Ord. '!H173</f>
        <v>1.7013626256850449</v>
      </c>
      <c r="O50" s="564">
        <v>0</v>
      </c>
      <c r="P50" s="369">
        <f>'GEXMRG Limp.Ord. '!H176</f>
        <v>4.593679089349622E-2</v>
      </c>
      <c r="Q50" s="564">
        <v>0</v>
      </c>
      <c r="R50" s="369">
        <f>'GEXMRG Limp.Ord. '!H179</f>
        <v>0.51040878770551357</v>
      </c>
      <c r="S50" s="564">
        <v>0</v>
      </c>
      <c r="T50" s="369">
        <f>'GEXMRG Limp.Ord. '!H185</f>
        <v>0.28548434763345437</v>
      </c>
      <c r="U50" s="564">
        <v>0</v>
      </c>
      <c r="V50" s="369">
        <f>'GEXMRG Limp.Ord. '!H188</f>
        <v>1.0246771928373812</v>
      </c>
      <c r="W50" s="564">
        <v>0</v>
      </c>
      <c r="X50" s="369">
        <f>'GEXMRG Limp.Ord. '!H191</f>
        <v>1.0246771928373812</v>
      </c>
      <c r="Y50" s="151">
        <f t="shared" si="2"/>
        <v>4593.6790893496218</v>
      </c>
      <c r="Z50" s="431"/>
      <c r="AA50" s="428">
        <f>'Prod. GEXMRG'!R12*'GEXMRG Limp.Ord. '!C141</f>
        <v>132.64384260542741</v>
      </c>
      <c r="AB50" s="669">
        <f>'Prod. GEXMRG'!S12*'GEXMRG Covid '!C141</f>
        <v>127.90641487705918</v>
      </c>
      <c r="AC50" s="525"/>
      <c r="ALM50" s="162"/>
      <c r="ALN50" s="162"/>
      <c r="ALO50" s="162"/>
      <c r="ALP50" s="162"/>
      <c r="ALQ50" s="162"/>
      <c r="ALR50" s="162"/>
      <c r="ALS50" s="162"/>
      <c r="ALT50" s="162"/>
      <c r="ALU50" s="162"/>
      <c r="ALV50" s="162"/>
      <c r="ALW50" s="162"/>
      <c r="ALX50" s="162"/>
      <c r="ALY50" s="162"/>
    </row>
    <row r="51" spans="1:1013" s="145" customFormat="1" ht="12.75" x14ac:dyDescent="0.2">
      <c r="A51" s="155">
        <v>44</v>
      </c>
      <c r="B51" s="155" t="s">
        <v>126</v>
      </c>
      <c r="C51" s="155" t="s">
        <v>409</v>
      </c>
      <c r="D51" s="344">
        <f>MC!C100</f>
        <v>0.03</v>
      </c>
      <c r="E51" s="564">
        <v>800</v>
      </c>
      <c r="F51" s="369">
        <f>'GEXMRG Limp.Ord. '!F149</f>
        <v>5.7295021055041753</v>
      </c>
      <c r="G51" s="586">
        <v>0</v>
      </c>
      <c r="H51" s="369">
        <f>'GEXMRG Limp.Ord. '!H155</f>
        <v>3.0624527262330807</v>
      </c>
      <c r="I51" s="564">
        <v>0</v>
      </c>
      <c r="J51" s="369">
        <f>'GEXMRG Limp.Ord. '!F161</f>
        <v>3.0557344562688931</v>
      </c>
      <c r="K51" s="564">
        <v>0</v>
      </c>
      <c r="L51" s="369">
        <f>'GEXMRG Limp.Ord. '!F167</f>
        <v>22.918008422016701</v>
      </c>
      <c r="M51" s="564">
        <v>0</v>
      </c>
      <c r="N51" s="369">
        <f>'GEXMRG Limp.Ord. '!F173</f>
        <v>1.6976302534827186</v>
      </c>
      <c r="O51" s="564">
        <v>0</v>
      </c>
      <c r="P51" s="369">
        <f>'GEXMRG Limp.Ord. '!F176</f>
        <v>4.5836016844033406E-2</v>
      </c>
      <c r="Q51" s="564">
        <v>0</v>
      </c>
      <c r="R51" s="369">
        <f>'GEXMRG Limp.Ord. '!F179</f>
        <v>0.50928907604481555</v>
      </c>
      <c r="S51" s="564">
        <v>0</v>
      </c>
      <c r="T51" s="369">
        <f>'GEXMRG Limp.Ord. '!F185</f>
        <v>0.28495075766256434</v>
      </c>
      <c r="U51" s="564">
        <v>0</v>
      </c>
      <c r="V51" s="369">
        <f>'GEXMRG Limp.Ord. '!F188</f>
        <v>1.0224293024622391</v>
      </c>
      <c r="W51" s="564">
        <v>0</v>
      </c>
      <c r="X51" s="369">
        <f>'GEXMRG Limp.Ord. '!F191</f>
        <v>1.0224293024622391</v>
      </c>
      <c r="Y51" s="151">
        <f t="shared" si="2"/>
        <v>4583.6016844033402</v>
      </c>
      <c r="Z51" s="431"/>
      <c r="AA51" s="428">
        <f>'Prod. GEXMRG'!R13*'GEXMRG Limp.Ord. '!C140</f>
        <v>132.34152045703897</v>
      </c>
      <c r="AB51" s="669">
        <f>'Prod. GEXMRG'!S13*'GEXMRG Covid '!C140</f>
        <v>127.61489028474679</v>
      </c>
      <c r="AC51" s="525"/>
      <c r="ALM51" s="162"/>
      <c r="ALN51" s="162"/>
      <c r="ALO51" s="162"/>
      <c r="ALP51" s="162"/>
      <c r="ALQ51" s="162"/>
      <c r="ALR51" s="162"/>
      <c r="ALS51" s="162"/>
      <c r="ALT51" s="162"/>
      <c r="ALU51" s="162"/>
      <c r="ALV51" s="162"/>
      <c r="ALW51" s="162"/>
      <c r="ALX51" s="162"/>
      <c r="ALY51" s="162"/>
    </row>
    <row r="52" spans="1:1013" s="145" customFormat="1" ht="12.75" x14ac:dyDescent="0.2">
      <c r="A52" s="155">
        <v>45</v>
      </c>
      <c r="B52" s="155" t="s">
        <v>127</v>
      </c>
      <c r="C52" s="155" t="s">
        <v>410</v>
      </c>
      <c r="D52" s="344">
        <f>MC!C101</f>
        <v>0.04</v>
      </c>
      <c r="E52" s="564">
        <v>800</v>
      </c>
      <c r="F52" s="369">
        <f>'GEXMRG Limp.Ord. '!J149</f>
        <v>5.7930667166747041</v>
      </c>
      <c r="G52" s="586">
        <v>0</v>
      </c>
      <c r="H52" s="369">
        <f>'GEXMRG Limp.Ord. '!J155</f>
        <v>3.0896355822265082</v>
      </c>
      <c r="I52" s="564">
        <v>0</v>
      </c>
      <c r="J52" s="369">
        <f>'GEXMRG Limp.Ord. '!J161</f>
        <v>3.0896355822265082</v>
      </c>
      <c r="K52" s="564">
        <v>0</v>
      </c>
      <c r="L52" s="369">
        <f>'GEXMRG Limp.Ord. '!J167</f>
        <v>23.172266866698816</v>
      </c>
      <c r="M52" s="564">
        <v>0</v>
      </c>
      <c r="N52" s="369">
        <f>'GEXMRG Limp.Ord. '!J173</f>
        <v>1.7164642123480602</v>
      </c>
      <c r="O52" s="564">
        <v>0</v>
      </c>
      <c r="P52" s="369">
        <f>'GEXMRG Limp.Ord. '!J176</f>
        <v>4.6344533733397635E-2</v>
      </c>
      <c r="Q52" s="564">
        <v>0</v>
      </c>
      <c r="R52" s="369">
        <f>'GEXMRG Limp.Ord. '!J179</f>
        <v>0.51493926370441812</v>
      </c>
      <c r="S52" s="564">
        <v>0</v>
      </c>
      <c r="T52" s="369">
        <f>'GEXMRG Limp.Ord. '!J185</f>
        <v>0.28764331108915941</v>
      </c>
      <c r="U52" s="564">
        <v>0</v>
      </c>
      <c r="V52" s="369">
        <f>'GEXMRG Limp.Ord. '!J188</f>
        <v>1.033772403461876</v>
      </c>
      <c r="W52" s="564">
        <v>0</v>
      </c>
      <c r="X52" s="369">
        <f>'GEXMRG Limp.Ord. '!J191</f>
        <v>1.033772403461876</v>
      </c>
      <c r="Y52" s="151">
        <f t="shared" si="2"/>
        <v>4634.4533733397629</v>
      </c>
      <c r="Z52" s="431"/>
      <c r="AA52" s="428">
        <f>'Prod. GEXMRG'!R14*'GEXMRG Limp.Ord. '!C142</f>
        <v>133.86707112513164</v>
      </c>
      <c r="AB52" s="669">
        <f>'Prod. GEXMRG'!S14*'GEXMRG Covid '!C142</f>
        <v>129.08595530243841</v>
      </c>
      <c r="AC52" s="525"/>
      <c r="ALM52" s="162"/>
      <c r="ALN52" s="162"/>
      <c r="ALO52" s="162"/>
      <c r="ALP52" s="162"/>
      <c r="ALQ52" s="162"/>
      <c r="ALR52" s="162"/>
      <c r="ALS52" s="162"/>
      <c r="ALT52" s="162"/>
      <c r="ALU52" s="162"/>
      <c r="ALV52" s="162"/>
      <c r="ALW52" s="162"/>
      <c r="ALX52" s="162"/>
      <c r="ALY52" s="162"/>
    </row>
    <row r="53" spans="1:1013" s="145" customFormat="1" ht="12.75" x14ac:dyDescent="0.2">
      <c r="A53" s="155">
        <v>46</v>
      </c>
      <c r="B53" s="155" t="s">
        <v>128</v>
      </c>
      <c r="C53" s="155" t="s">
        <v>411</v>
      </c>
      <c r="D53" s="344">
        <f>MC!C102</f>
        <v>0.05</v>
      </c>
      <c r="E53" s="564">
        <v>800</v>
      </c>
      <c r="F53" s="369">
        <f>'GEXMRG Limp.Ord. '!L149</f>
        <v>5.8581138843739895</v>
      </c>
      <c r="G53" s="586">
        <v>0</v>
      </c>
      <c r="H53" s="369">
        <f>'GEXMRG Limp.Ord. '!L155</f>
        <v>3.1243274049994607</v>
      </c>
      <c r="I53" s="564">
        <v>0</v>
      </c>
      <c r="J53" s="369">
        <f>'GEXMRG Limp.Ord. '!L161</f>
        <v>3.1243274049994607</v>
      </c>
      <c r="K53" s="564">
        <v>0</v>
      </c>
      <c r="L53" s="369">
        <f>'GEXMRG Limp.Ord. '!L167</f>
        <v>23.432455537495958</v>
      </c>
      <c r="M53" s="564">
        <v>0</v>
      </c>
      <c r="N53" s="369">
        <f>'GEXMRG Limp.Ord. '!L173</f>
        <v>1.7357374472219227</v>
      </c>
      <c r="O53" s="564">
        <v>0</v>
      </c>
      <c r="P53" s="369">
        <f>'GEXMRG Limp.Ord. '!L176</f>
        <v>4.6864911074991918E-2</v>
      </c>
      <c r="Q53" s="564">
        <v>0</v>
      </c>
      <c r="R53" s="369">
        <f>'GEXMRG Limp.Ord. '!L179</f>
        <v>0.5207212341665769</v>
      </c>
      <c r="S53" s="564">
        <v>0</v>
      </c>
      <c r="T53" s="369">
        <f>'GEXMRG Limp.Ord. '!L185</f>
        <v>0.29039866459567515</v>
      </c>
      <c r="U53" s="564">
        <v>0</v>
      </c>
      <c r="V53" s="369">
        <f>'GEXMRG Limp.Ord. '!L188</f>
        <v>1.0453800665839532</v>
      </c>
      <c r="W53" s="564">
        <v>0</v>
      </c>
      <c r="X53" s="369">
        <f>'GEXMRG Limp.Ord. '!L191</f>
        <v>1.0453800665839532</v>
      </c>
      <c r="Y53" s="151">
        <f t="shared" si="2"/>
        <v>4686.4911074991915</v>
      </c>
      <c r="Z53" s="431"/>
      <c r="AA53" s="428">
        <f>'Prod. GEXMRG'!R15*'GEXMRG Limp.Ord. '!C143</f>
        <v>135.42820314991451</v>
      </c>
      <c r="AB53" s="669">
        <f>'Prod. GEXMRG'!S15*'GEXMRG Covid '!C143</f>
        <v>130.59133087447853</v>
      </c>
      <c r="AC53" s="525"/>
      <c r="ALM53" s="162"/>
      <c r="ALN53" s="162"/>
      <c r="ALO53" s="162"/>
      <c r="ALP53" s="162"/>
      <c r="ALQ53" s="162"/>
      <c r="ALR53" s="162"/>
      <c r="ALS53" s="162"/>
      <c r="ALT53" s="162"/>
      <c r="ALU53" s="162"/>
      <c r="ALV53" s="162"/>
      <c r="ALW53" s="162"/>
      <c r="ALX53" s="162"/>
      <c r="ALY53" s="162"/>
    </row>
    <row r="54" spans="1:1013" s="145" customFormat="1" ht="12.75" x14ac:dyDescent="0.2">
      <c r="A54" s="155">
        <v>47</v>
      </c>
      <c r="B54" s="155" t="s">
        <v>129</v>
      </c>
      <c r="C54" s="155" t="s">
        <v>412</v>
      </c>
      <c r="D54" s="344">
        <f>MC!C103</f>
        <v>0.03</v>
      </c>
      <c r="E54" s="564">
        <v>800</v>
      </c>
      <c r="F54" s="369">
        <f>'GEXMRG Limp.Ord. '!F149</f>
        <v>5.7295021055041753</v>
      </c>
      <c r="G54" s="586">
        <v>0</v>
      </c>
      <c r="H54" s="369">
        <f>'GEXMRG Limp.Ord. '!H155</f>
        <v>3.0624527262330807</v>
      </c>
      <c r="I54" s="564">
        <v>0</v>
      </c>
      <c r="J54" s="369">
        <f>'GEXMRG Limp.Ord. '!F161</f>
        <v>3.0557344562688931</v>
      </c>
      <c r="K54" s="564">
        <v>0</v>
      </c>
      <c r="L54" s="369">
        <f>'GEXMRG Limp.Ord. '!F167</f>
        <v>22.918008422016701</v>
      </c>
      <c r="M54" s="564">
        <v>0</v>
      </c>
      <c r="N54" s="369">
        <f>'GEXMRG Limp.Ord. '!F173</f>
        <v>1.6976302534827186</v>
      </c>
      <c r="O54" s="564">
        <v>0</v>
      </c>
      <c r="P54" s="369">
        <f>'GEXMRG Limp.Ord. '!F176</f>
        <v>4.5836016844033406E-2</v>
      </c>
      <c r="Q54" s="564">
        <v>0</v>
      </c>
      <c r="R54" s="369">
        <f>'GEXMRG Limp.Ord. '!F179</f>
        <v>0.50928907604481555</v>
      </c>
      <c r="S54" s="564">
        <v>0</v>
      </c>
      <c r="T54" s="369">
        <f>'GEXMRG Limp.Ord. '!F185</f>
        <v>0.28495075766256434</v>
      </c>
      <c r="U54" s="564">
        <v>0</v>
      </c>
      <c r="V54" s="369">
        <f>'GEXMRG Limp.Ord. '!F188</f>
        <v>1.0224293024622391</v>
      </c>
      <c r="W54" s="564">
        <v>0</v>
      </c>
      <c r="X54" s="369">
        <f>'GEXMRG Limp.Ord. '!F191</f>
        <v>1.0224293024622391</v>
      </c>
      <c r="Y54" s="151">
        <f t="shared" si="2"/>
        <v>4583.6016844033402</v>
      </c>
      <c r="Z54" s="431"/>
      <c r="AA54" s="428">
        <f>'Prod. GEXMRG'!R16*'GEXMRG Limp.Ord. '!C140</f>
        <v>132.34152045703897</v>
      </c>
      <c r="AB54" s="669">
        <f>'Prod. GEXMRG'!S16*'GEXMRG Covid '!C140</f>
        <v>127.61489028474679</v>
      </c>
      <c r="AC54" s="525"/>
      <c r="ALM54" s="162"/>
      <c r="ALN54" s="162"/>
      <c r="ALO54" s="162"/>
      <c r="ALP54" s="162"/>
      <c r="ALQ54" s="162"/>
      <c r="ALR54" s="162"/>
      <c r="ALS54" s="162"/>
      <c r="ALT54" s="162"/>
      <c r="ALU54" s="162"/>
      <c r="ALV54" s="162"/>
      <c r="ALW54" s="162"/>
      <c r="ALX54" s="162"/>
      <c r="ALY54" s="162"/>
    </row>
    <row r="55" spans="1:1013" s="145" customFormat="1" ht="12.75" x14ac:dyDescent="0.2">
      <c r="A55" s="155">
        <v>48</v>
      </c>
      <c r="B55" s="155" t="s">
        <v>130</v>
      </c>
      <c r="C55" s="155" t="s">
        <v>413</v>
      </c>
      <c r="D55" s="344">
        <f>MC!C104</f>
        <v>0.03</v>
      </c>
      <c r="E55" s="584">
        <v>165.39</v>
      </c>
      <c r="F55" s="369">
        <f>'GEXMRG Limp.Ord. '!F149</f>
        <v>5.7295021055041753</v>
      </c>
      <c r="G55" s="586">
        <v>943.86</v>
      </c>
      <c r="H55" s="369">
        <f>'GEXMRG Limp.Ord. '!H155</f>
        <v>3.0624527262330807</v>
      </c>
      <c r="I55" s="564">
        <v>0</v>
      </c>
      <c r="J55" s="369">
        <f>'GEXMRG Limp.Ord. '!F161</f>
        <v>3.0557344562688931</v>
      </c>
      <c r="K55" s="584">
        <v>9.49</v>
      </c>
      <c r="L55" s="369">
        <f>'GEXMRG Limp.Ord. '!F167</f>
        <v>22.918008422016701</v>
      </c>
      <c r="M55" s="564">
        <v>0</v>
      </c>
      <c r="N55" s="369">
        <f>'GEXMRG Limp.Ord. '!F173</f>
        <v>1.6976302534827186</v>
      </c>
      <c r="O55" s="564">
        <v>0</v>
      </c>
      <c r="P55" s="369">
        <f>'GEXMRG Limp.Ord. '!F176</f>
        <v>4.5836016844033406E-2</v>
      </c>
      <c r="Q55" s="564">
        <v>120</v>
      </c>
      <c r="R55" s="369">
        <f>'GEXMRG Limp.Ord. '!F179</f>
        <v>0.50928907604481555</v>
      </c>
      <c r="S55" s="564">
        <v>12.12</v>
      </c>
      <c r="T55" s="369">
        <f>'GEXMRG Limp.Ord. '!F185</f>
        <v>0.28495075766256434</v>
      </c>
      <c r="U55" s="564">
        <v>19.68</v>
      </c>
      <c r="V55" s="369">
        <f>'GEXMRG Limp.Ord. '!F188</f>
        <v>1.0224293024622391</v>
      </c>
      <c r="W55" s="564">
        <v>31.8</v>
      </c>
      <c r="X55" s="369">
        <f>'GEXMRG Limp.Ord. '!F191</f>
        <v>1.0224293024622391</v>
      </c>
      <c r="Y55" s="151">
        <f t="shared" si="2"/>
        <v>4172.8238361356334</v>
      </c>
      <c r="Z55" s="431"/>
      <c r="AA55" s="428">
        <f>'Prod. GEXMRG'!R17*'GEXMRG Limp.Ord. '!C140</f>
        <v>132.34152045703897</v>
      </c>
      <c r="AB55" s="669">
        <f>'Prod. GEXMRG'!S17*'GEXMRG Covid '!C140</f>
        <v>127.61489028474679</v>
      </c>
      <c r="AC55" s="667"/>
      <c r="ALM55" s="162"/>
      <c r="ALN55" s="162"/>
      <c r="ALO55" s="162"/>
      <c r="ALP55" s="162"/>
      <c r="ALQ55" s="162"/>
      <c r="ALR55" s="162"/>
      <c r="ALS55" s="162"/>
      <c r="ALT55" s="162"/>
      <c r="ALU55" s="162"/>
      <c r="ALV55" s="162"/>
      <c r="ALW55" s="162"/>
      <c r="ALX55" s="162"/>
      <c r="ALY55" s="162"/>
    </row>
    <row r="56" spans="1:1013" s="145" customFormat="1" ht="12.75" x14ac:dyDescent="0.2">
      <c r="A56" s="938" t="s">
        <v>414</v>
      </c>
      <c r="B56" s="939"/>
      <c r="C56" s="939"/>
      <c r="D56" s="940"/>
      <c r="E56" s="374">
        <f>SUM(E42:E55)</f>
        <v>15628.39</v>
      </c>
      <c r="F56" s="375"/>
      <c r="G56" s="165">
        <f>SUM(G42:G55)</f>
        <v>4167.47</v>
      </c>
      <c r="H56" s="166"/>
      <c r="I56" s="165">
        <f>SUM(I42:I55)</f>
        <v>500</v>
      </c>
      <c r="J56" s="166"/>
      <c r="K56" s="165">
        <f>SUM(K42:K55)</f>
        <v>504.89</v>
      </c>
      <c r="L56" s="166"/>
      <c r="M56" s="165">
        <f>SUM(M42:M55)</f>
        <v>92.93</v>
      </c>
      <c r="N56" s="166"/>
      <c r="O56" s="165">
        <f>SUM(O42:O55)</f>
        <v>3261.1600000000003</v>
      </c>
      <c r="P56" s="166"/>
      <c r="Q56" s="165">
        <f>SUM(Q42:Q55)</f>
        <v>6379.5499999999993</v>
      </c>
      <c r="R56" s="166"/>
      <c r="S56" s="165">
        <f>SUM(S42:S55)</f>
        <v>1640.74</v>
      </c>
      <c r="T56" s="798"/>
      <c r="U56" s="165">
        <f>SUM(U42:U55)</f>
        <v>1142.23</v>
      </c>
      <c r="V56" s="166"/>
      <c r="W56" s="167">
        <f>SUM(W42:W55)</f>
        <v>2782.9700000000003</v>
      </c>
      <c r="X56" s="166"/>
      <c r="Y56" s="166">
        <f>SUM(Y42:Y55)</f>
        <v>124890.48914344059</v>
      </c>
      <c r="Z56" s="430">
        <f>SUM(Z42:Z55)</f>
        <v>32190.963253719536</v>
      </c>
      <c r="AA56" s="167">
        <f>SUM(AA42:AA55)</f>
        <v>1871.5325419908067</v>
      </c>
      <c r="AB56" s="168">
        <f>SUM(AB42:AB55)</f>
        <v>1804.6900110084605</v>
      </c>
      <c r="AC56" s="559">
        <f>SUM(AC42:AC55)</f>
        <v>4043.6000000000004</v>
      </c>
      <c r="ALM56" s="162"/>
      <c r="ALN56" s="162"/>
      <c r="ALO56" s="162"/>
      <c r="ALP56" s="162"/>
      <c r="ALQ56" s="162"/>
      <c r="ALR56" s="162"/>
      <c r="ALS56" s="162"/>
      <c r="ALT56" s="162"/>
      <c r="ALU56" s="162"/>
      <c r="ALV56" s="162"/>
      <c r="ALW56" s="162"/>
      <c r="ALX56" s="162"/>
      <c r="ALY56" s="162"/>
    </row>
    <row r="57" spans="1:1013" s="145" customFormat="1" ht="15" x14ac:dyDescent="0.25">
      <c r="A57"/>
      <c r="B57" s="172"/>
      <c r="C57" s="172"/>
      <c r="D57" s="172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4"/>
      <c r="Z57" s="174"/>
      <c r="AA57" s="174"/>
      <c r="AB57" s="174"/>
      <c r="AC57" s="175"/>
      <c r="ALP57" s="175"/>
      <c r="ALQ57" s="175"/>
      <c r="ALR57" s="175"/>
      <c r="ALS57" s="175"/>
      <c r="ALT57" s="175"/>
      <c r="ALU57" s="175"/>
      <c r="ALV57" s="175"/>
      <c r="ALW57" s="175"/>
      <c r="ALX57" s="175"/>
      <c r="ALY57" s="175"/>
    </row>
    <row r="58" spans="1:1013" ht="15" x14ac:dyDescent="0.2">
      <c r="A58" s="176"/>
      <c r="B58" s="949" t="s">
        <v>415</v>
      </c>
      <c r="C58" s="949"/>
      <c r="D58" s="949"/>
      <c r="E58" s="949"/>
      <c r="F58" s="949"/>
      <c r="G58" s="949"/>
      <c r="H58" s="949"/>
      <c r="I58" s="949"/>
      <c r="J58" s="949"/>
      <c r="K58" s="949"/>
      <c r="L58" s="949"/>
      <c r="M58" s="949"/>
      <c r="N58" s="949"/>
      <c r="O58" s="949"/>
      <c r="P58" s="949"/>
      <c r="Q58" s="949"/>
      <c r="R58" s="949"/>
      <c r="S58" s="949"/>
      <c r="T58" s="949"/>
      <c r="U58" s="949"/>
      <c r="V58" s="949"/>
      <c r="W58" s="949"/>
      <c r="X58" s="949"/>
      <c r="Y58" s="177">
        <f>ROUND(SUM(Y25,Y41,Y56),2)</f>
        <v>393749.13</v>
      </c>
      <c r="Z58" s="177">
        <f>ROUND(SUM(Z25,Z41,Z56),2)</f>
        <v>121004.46</v>
      </c>
      <c r="AA58" s="177">
        <f>ROUND(SUM(AA25,AA41,AA56),2)</f>
        <v>6386.84</v>
      </c>
      <c r="AB58" s="177">
        <f>ROUND(SUM(AB25,AB41,AB56),2)</f>
        <v>6156.61</v>
      </c>
      <c r="AC58" s="177">
        <f>ROUND(SUM(AC25,AC41,AC56),2)</f>
        <v>12130.8</v>
      </c>
    </row>
    <row r="59" spans="1:1013" ht="15" x14ac:dyDescent="0.2">
      <c r="A59" s="176"/>
      <c r="B59" s="178"/>
      <c r="C59" s="178"/>
      <c r="D59" s="178"/>
      <c r="E59" s="179"/>
      <c r="F59" s="180"/>
      <c r="G59" s="179"/>
      <c r="H59" s="179"/>
      <c r="I59" s="177"/>
      <c r="J59" s="177"/>
      <c r="K59" s="177"/>
      <c r="L59" s="177"/>
      <c r="M59" s="177"/>
      <c r="N59" s="177"/>
      <c r="O59" s="177"/>
      <c r="P59" s="181"/>
      <c r="Q59" s="182"/>
      <c r="R59" s="179"/>
      <c r="S59" s="180"/>
      <c r="T59" s="179"/>
      <c r="U59" s="179"/>
      <c r="V59" s="177"/>
      <c r="W59" s="177"/>
      <c r="X59" s="177"/>
      <c r="Y59" s="177"/>
      <c r="Z59" s="177"/>
      <c r="AA59" s="179"/>
      <c r="AB59" s="177"/>
      <c r="AC59" s="177"/>
    </row>
    <row r="60" spans="1:1013" x14ac:dyDescent="0.2">
      <c r="A60" s="183"/>
      <c r="B60" s="184"/>
      <c r="C60" s="184"/>
      <c r="D60" s="184"/>
      <c r="E60" s="185"/>
      <c r="F60" s="185"/>
      <c r="G60" s="185"/>
      <c r="H60" s="185"/>
      <c r="I60" s="186"/>
      <c r="J60" s="186"/>
      <c r="K60" s="186"/>
      <c r="L60" s="186"/>
      <c r="M60" s="186"/>
      <c r="N60" s="185"/>
      <c r="O60" s="185"/>
      <c r="P60" s="185"/>
      <c r="Q60" s="186"/>
      <c r="R60" s="186"/>
      <c r="S60" s="185"/>
      <c r="T60" s="185"/>
      <c r="U60" s="185"/>
      <c r="V60" s="186"/>
      <c r="W60" s="186"/>
      <c r="X60" s="186"/>
      <c r="Y60" s="186"/>
      <c r="Z60" s="186"/>
      <c r="AA60" s="185"/>
      <c r="AB60" s="941" t="s">
        <v>55</v>
      </c>
      <c r="AC60" s="181">
        <f>SUM(Y58:AC58)</f>
        <v>539427.84000000008</v>
      </c>
    </row>
    <row r="61" spans="1:1013" x14ac:dyDescent="0.2">
      <c r="A61" s="187"/>
      <c r="B61" s="188"/>
      <c r="C61" s="188"/>
      <c r="D61" s="188"/>
      <c r="E61" s="189"/>
      <c r="F61" s="189"/>
      <c r="G61" s="189"/>
      <c r="H61" s="189"/>
      <c r="I61" s="190"/>
      <c r="J61" s="190"/>
      <c r="K61" s="190"/>
      <c r="L61" s="190"/>
      <c r="M61" s="190"/>
      <c r="N61" s="189"/>
      <c r="O61" s="189"/>
      <c r="P61" s="189"/>
      <c r="Q61" s="190"/>
      <c r="R61" s="190"/>
      <c r="S61" s="189"/>
      <c r="T61" s="189"/>
      <c r="U61" s="189"/>
      <c r="V61" s="190"/>
      <c r="W61" s="190"/>
      <c r="X61" s="190"/>
      <c r="Y61" s="190"/>
      <c r="Z61" s="190"/>
      <c r="AA61" s="595"/>
      <c r="AB61" s="941"/>
      <c r="AC61" s="181">
        <f>AC60*12</f>
        <v>6473134.080000001</v>
      </c>
    </row>
    <row r="62" spans="1:1013" x14ac:dyDescent="0.2">
      <c r="E62" s="191" t="s">
        <v>416</v>
      </c>
      <c r="AB62" s="514"/>
      <c r="AC62" s="514"/>
    </row>
  </sheetData>
  <mergeCells count="28">
    <mergeCell ref="A1:AC1"/>
    <mergeCell ref="A2:B2"/>
    <mergeCell ref="E2:L2"/>
    <mergeCell ref="M2:R2"/>
    <mergeCell ref="S2:X2"/>
    <mergeCell ref="AC3:AC4"/>
    <mergeCell ref="B58:X58"/>
    <mergeCell ref="U3:V4"/>
    <mergeCell ref="W3:X4"/>
    <mergeCell ref="Y3:Y4"/>
    <mergeCell ref="AA3:AA4"/>
    <mergeCell ref="K3:L4"/>
    <mergeCell ref="M3:N4"/>
    <mergeCell ref="O3:P4"/>
    <mergeCell ref="Q3:R4"/>
    <mergeCell ref="S3:T4"/>
    <mergeCell ref="B3:B5"/>
    <mergeCell ref="E3:F4"/>
    <mergeCell ref="G3:H4"/>
    <mergeCell ref="I3:J4"/>
    <mergeCell ref="D3:D5"/>
    <mergeCell ref="Z3:Z4"/>
    <mergeCell ref="A25:D25"/>
    <mergeCell ref="A41:D41"/>
    <mergeCell ref="AB60:AB61"/>
    <mergeCell ref="AB3:AB4"/>
    <mergeCell ref="A3:A5"/>
    <mergeCell ref="A56:D56"/>
  </mergeCells>
  <pageMargins left="0" right="0" top="0.39374999999999999" bottom="0.39374999999999999" header="0" footer="0"/>
  <pageSetup paperSize="0" scale="0" firstPageNumber="0" orientation="portrait" usePrinterDefaults="0" horizontalDpi="0" verticalDpi="0" copies="0"/>
  <headerFooter>
    <oddHeader>&amp;C&amp;A</oddHeader>
    <oddFooter>&amp;CPágina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85724"/>
  </sheetPr>
  <dimension ref="A1:AMD43"/>
  <sheetViews>
    <sheetView zoomScale="80" zoomScaleNormal="80" workbookViewId="0">
      <pane xSplit="2" ySplit="3" topLeftCell="H4" activePane="bottomRight" state="frozen"/>
      <selection pane="topRight"/>
      <selection pane="bottomLeft"/>
      <selection pane="bottomRight" activeCell="I25" sqref="I25"/>
    </sheetView>
  </sheetViews>
  <sheetFormatPr defaultRowHeight="14.25" x14ac:dyDescent="0.2"/>
  <cols>
    <col min="1" max="1" width="34.5"/>
    <col min="4" max="4" width="13.625"/>
    <col min="5" max="5" width="9.625"/>
    <col min="6" max="6" width="11.625"/>
    <col min="8" max="8" width="13.5"/>
    <col min="9" max="9" width="11.125"/>
    <col min="10" max="10" width="9.875"/>
    <col min="11" max="11" width="12.25"/>
    <col min="12" max="12" width="12.5"/>
    <col min="13" max="17" width="9.25"/>
    <col min="18" max="18" width="10.875" customWidth="1"/>
    <col min="19" max="19" width="10.625" customWidth="1"/>
    <col min="20" max="20" width="12.25" customWidth="1"/>
    <col min="21" max="21" width="11.625"/>
    <col min="22" max="22" width="9.25"/>
    <col min="23" max="1019" width="10.625"/>
  </cols>
  <sheetData>
    <row r="1" spans="1:22" ht="15" customHeight="1" x14ac:dyDescent="0.2">
      <c r="A1" s="172"/>
      <c r="B1" s="172"/>
      <c r="C1" s="980" t="s">
        <v>334</v>
      </c>
      <c r="D1" s="980"/>
      <c r="E1" s="980"/>
      <c r="F1" s="980"/>
      <c r="G1" s="981" t="s">
        <v>335</v>
      </c>
      <c r="H1" s="981"/>
      <c r="I1" s="981"/>
      <c r="J1" s="982" t="s">
        <v>336</v>
      </c>
      <c r="K1" s="982"/>
      <c r="L1" s="982"/>
      <c r="M1" s="172"/>
      <c r="N1" s="172"/>
      <c r="O1" s="172"/>
      <c r="P1" s="172"/>
      <c r="Q1" s="172"/>
      <c r="R1" s="973"/>
      <c r="S1" s="973"/>
      <c r="T1" s="973"/>
      <c r="U1" s="172"/>
      <c r="V1" s="145"/>
    </row>
    <row r="2" spans="1:22" ht="60" customHeight="1" x14ac:dyDescent="0.2">
      <c r="A2" s="976" t="s">
        <v>343</v>
      </c>
      <c r="B2" s="978" t="s">
        <v>417</v>
      </c>
      <c r="C2" s="977" t="s">
        <v>345</v>
      </c>
      <c r="D2" s="955" t="s">
        <v>346</v>
      </c>
      <c r="E2" s="961" t="s">
        <v>347</v>
      </c>
      <c r="F2" s="977" t="s">
        <v>418</v>
      </c>
      <c r="G2" s="983" t="s">
        <v>349</v>
      </c>
      <c r="H2" s="984" t="s">
        <v>419</v>
      </c>
      <c r="I2" s="986" t="s">
        <v>351</v>
      </c>
      <c r="J2" s="970" t="s">
        <v>352</v>
      </c>
      <c r="K2" s="950" t="s">
        <v>353</v>
      </c>
      <c r="L2" s="971" t="s">
        <v>354</v>
      </c>
      <c r="M2" s="972" t="s">
        <v>420</v>
      </c>
      <c r="N2" s="974" t="s">
        <v>421</v>
      </c>
      <c r="O2" s="974"/>
      <c r="P2" s="975" t="s">
        <v>422</v>
      </c>
      <c r="Q2" s="975"/>
      <c r="R2" s="503" t="s">
        <v>423</v>
      </c>
      <c r="S2" s="504" t="s">
        <v>424</v>
      </c>
      <c r="T2" s="836" t="s">
        <v>425</v>
      </c>
      <c r="U2" s="193" t="s">
        <v>426</v>
      </c>
      <c r="V2" s="146"/>
    </row>
    <row r="3" spans="1:22" x14ac:dyDescent="0.2">
      <c r="A3" s="976"/>
      <c r="B3" s="979"/>
      <c r="C3" s="977"/>
      <c r="D3" s="955"/>
      <c r="E3" s="961"/>
      <c r="F3" s="977"/>
      <c r="G3" s="983"/>
      <c r="H3" s="985"/>
      <c r="I3" s="986"/>
      <c r="J3" s="970"/>
      <c r="K3" s="950"/>
      <c r="L3" s="971"/>
      <c r="M3" s="972"/>
      <c r="N3" s="192" t="s">
        <v>427</v>
      </c>
      <c r="O3" s="194" t="s">
        <v>428</v>
      </c>
      <c r="P3" s="195" t="s">
        <v>427</v>
      </c>
      <c r="Q3" s="501" t="s">
        <v>428</v>
      </c>
      <c r="R3" s="523" t="s">
        <v>429</v>
      </c>
      <c r="S3" s="505" t="s">
        <v>429</v>
      </c>
      <c r="T3" s="837" t="s">
        <v>430</v>
      </c>
      <c r="U3" s="193" t="s">
        <v>428</v>
      </c>
      <c r="V3" s="146"/>
    </row>
    <row r="4" spans="1:22" x14ac:dyDescent="0.2">
      <c r="A4" s="596" t="s">
        <v>78</v>
      </c>
      <c r="B4" s="676">
        <f>MC!C68</f>
        <v>0.03</v>
      </c>
      <c r="C4" s="801">
        <v>2054.1999999999998</v>
      </c>
      <c r="D4" s="804">
        <v>819.31</v>
      </c>
      <c r="E4" s="804">
        <v>201.39</v>
      </c>
      <c r="F4" s="601">
        <v>60.56</v>
      </c>
      <c r="G4" s="804">
        <v>92.89</v>
      </c>
      <c r="H4" s="601">
        <v>17.11</v>
      </c>
      <c r="I4" s="601">
        <v>58.39</v>
      </c>
      <c r="J4" s="602">
        <v>203.15</v>
      </c>
      <c r="K4" s="806">
        <v>137.85</v>
      </c>
      <c r="L4" s="812">
        <v>341</v>
      </c>
      <c r="M4" s="196">
        <f>C4/$C$24+D4/$D$24+E4/$E$24+F4/$F$24+G4/$G$24+H4/$H$24+I4/$I$24+K4/$K$24*16*1/188.76+L4/$L$24*16*1/188.76</f>
        <v>3.811708126206117</v>
      </c>
      <c r="N4" s="747" t="s">
        <v>432</v>
      </c>
      <c r="O4" s="748">
        <v>3</v>
      </c>
      <c r="P4" s="749">
        <v>0</v>
      </c>
      <c r="Q4" s="750">
        <v>0</v>
      </c>
      <c r="R4" s="518">
        <v>6</v>
      </c>
      <c r="S4" s="530">
        <v>6</v>
      </c>
      <c r="T4" s="838">
        <v>22</v>
      </c>
      <c r="U4" s="845">
        <v>1</v>
      </c>
      <c r="V4" s="145"/>
    </row>
    <row r="5" spans="1:22" x14ac:dyDescent="0.2">
      <c r="A5" s="596" t="s">
        <v>80</v>
      </c>
      <c r="B5" s="676">
        <f>MC!C69</f>
        <v>0.04</v>
      </c>
      <c r="C5" s="800">
        <v>136.41</v>
      </c>
      <c r="D5" s="804">
        <v>160.57</v>
      </c>
      <c r="E5" s="804">
        <v>136.59</v>
      </c>
      <c r="F5" s="601">
        <v>32</v>
      </c>
      <c r="G5" s="804">
        <v>114.18</v>
      </c>
      <c r="H5" s="601">
        <v>1212.3599999999999</v>
      </c>
      <c r="I5" s="601">
        <v>373</v>
      </c>
      <c r="J5" s="602" t="s">
        <v>432</v>
      </c>
      <c r="K5" s="806">
        <v>77.81</v>
      </c>
      <c r="L5" s="813">
        <v>77.81</v>
      </c>
      <c r="M5" s="196">
        <f t="shared" ref="M5:M22" si="0">C5/$C$24+D5/$D$24+E5/$E$24+F5/$F$24+G5/$G$24+H5/$H$24+I5/$I$24+K5/$K$24*16*1/188.76+L5/$L$24*16*1/188.76</f>
        <v>0.73512031205057571</v>
      </c>
      <c r="N5" s="751" t="s">
        <v>432</v>
      </c>
      <c r="O5" s="752">
        <v>1</v>
      </c>
      <c r="P5" s="749" t="s">
        <v>432</v>
      </c>
      <c r="Q5" s="750" t="s">
        <v>432</v>
      </c>
      <c r="R5" s="519">
        <v>6</v>
      </c>
      <c r="S5" s="526">
        <v>6</v>
      </c>
      <c r="T5" s="839"/>
      <c r="U5" s="846"/>
      <c r="V5" s="145"/>
    </row>
    <row r="6" spans="1:22" x14ac:dyDescent="0.2">
      <c r="A6" s="596" t="s">
        <v>82</v>
      </c>
      <c r="B6" s="676">
        <f>MC!C70</f>
        <v>0.03</v>
      </c>
      <c r="C6" s="801">
        <v>1570.02</v>
      </c>
      <c r="D6" s="805">
        <v>1341.31</v>
      </c>
      <c r="E6" s="804">
        <v>751.5</v>
      </c>
      <c r="F6" s="601">
        <v>125.26</v>
      </c>
      <c r="G6" s="804">
        <v>323.77</v>
      </c>
      <c r="H6" s="601">
        <v>137</v>
      </c>
      <c r="I6" s="601">
        <v>353</v>
      </c>
      <c r="J6" s="602">
        <v>302</v>
      </c>
      <c r="K6" s="806">
        <v>364</v>
      </c>
      <c r="L6" s="813">
        <v>666</v>
      </c>
      <c r="M6" s="196">
        <f t="shared" si="0"/>
        <v>4.7460182203150394</v>
      </c>
      <c r="N6" s="751" t="s">
        <v>432</v>
      </c>
      <c r="O6" s="752">
        <v>4</v>
      </c>
      <c r="P6" s="749" t="s">
        <v>432</v>
      </c>
      <c r="Q6" s="750">
        <v>2</v>
      </c>
      <c r="R6" s="519">
        <v>6</v>
      </c>
      <c r="S6" s="526">
        <v>6</v>
      </c>
      <c r="T6" s="840"/>
      <c r="U6" s="846"/>
      <c r="V6" s="145"/>
    </row>
    <row r="7" spans="1:22" x14ac:dyDescent="0.2">
      <c r="A7" s="596" t="s">
        <v>84</v>
      </c>
      <c r="B7" s="676">
        <f>MC!C71</f>
        <v>0.04</v>
      </c>
      <c r="C7" s="800">
        <v>973</v>
      </c>
      <c r="D7" s="807">
        <v>1111.5</v>
      </c>
      <c r="E7" s="806">
        <v>770</v>
      </c>
      <c r="F7" s="603">
        <v>100.85</v>
      </c>
      <c r="G7" s="805">
        <v>1293</v>
      </c>
      <c r="H7" s="601">
        <v>5607</v>
      </c>
      <c r="I7" s="601">
        <v>81</v>
      </c>
      <c r="J7" s="602">
        <v>421.84</v>
      </c>
      <c r="K7" s="806">
        <v>256.16000000000003</v>
      </c>
      <c r="L7" s="813">
        <v>678</v>
      </c>
      <c r="M7" s="196">
        <f t="shared" si="0"/>
        <v>4.2788462590944416</v>
      </c>
      <c r="N7" s="751" t="s">
        <v>432</v>
      </c>
      <c r="O7" s="752">
        <v>4</v>
      </c>
      <c r="P7" s="749" t="s">
        <v>432</v>
      </c>
      <c r="Q7" s="750">
        <v>1</v>
      </c>
      <c r="R7" s="519">
        <v>6</v>
      </c>
      <c r="S7" s="526">
        <v>6</v>
      </c>
      <c r="T7" s="840"/>
      <c r="U7" s="846"/>
      <c r="V7" s="145"/>
    </row>
    <row r="8" spans="1:22" x14ac:dyDescent="0.2">
      <c r="A8" s="596" t="s">
        <v>86</v>
      </c>
      <c r="B8" s="676">
        <f>MC!C72</f>
        <v>0.03</v>
      </c>
      <c r="C8" s="801">
        <v>1301.03</v>
      </c>
      <c r="D8" s="804">
        <v>983.92</v>
      </c>
      <c r="E8" s="804">
        <v>131.74</v>
      </c>
      <c r="F8" s="601">
        <v>106.07</v>
      </c>
      <c r="G8" s="804">
        <v>210</v>
      </c>
      <c r="H8" s="601">
        <v>381</v>
      </c>
      <c r="I8" s="601">
        <v>126</v>
      </c>
      <c r="J8" s="602">
        <v>256.05</v>
      </c>
      <c r="K8" s="806">
        <v>149.84</v>
      </c>
      <c r="L8" s="813">
        <v>405.89</v>
      </c>
      <c r="M8" s="196">
        <f t="shared" si="0"/>
        <v>3.2358199758070212</v>
      </c>
      <c r="N8" s="751" t="s">
        <v>432</v>
      </c>
      <c r="O8" s="752">
        <v>3</v>
      </c>
      <c r="P8" s="749" t="s">
        <v>432</v>
      </c>
      <c r="Q8" s="750">
        <v>1</v>
      </c>
      <c r="R8" s="519">
        <v>6</v>
      </c>
      <c r="S8" s="526">
        <v>6</v>
      </c>
      <c r="T8" s="840"/>
      <c r="U8" s="846"/>
      <c r="V8" s="145"/>
    </row>
    <row r="9" spans="1:22" x14ac:dyDescent="0.2">
      <c r="A9" s="596" t="s">
        <v>89</v>
      </c>
      <c r="B9" s="676">
        <f>MC!C73</f>
        <v>0.03</v>
      </c>
      <c r="C9" s="800">
        <v>243.96</v>
      </c>
      <c r="D9" s="804">
        <v>524</v>
      </c>
      <c r="E9" s="804">
        <v>466.81</v>
      </c>
      <c r="F9" s="601">
        <v>21.28</v>
      </c>
      <c r="G9" s="809">
        <v>24.85</v>
      </c>
      <c r="H9" s="604">
        <v>0</v>
      </c>
      <c r="I9" s="604">
        <v>160</v>
      </c>
      <c r="J9" s="602" t="s">
        <v>432</v>
      </c>
      <c r="K9" s="806">
        <v>95.75</v>
      </c>
      <c r="L9" s="812">
        <v>95.75</v>
      </c>
      <c r="M9" s="196">
        <f t="shared" si="0"/>
        <v>1.3131841753196296</v>
      </c>
      <c r="N9" s="751" t="s">
        <v>432</v>
      </c>
      <c r="O9" s="752">
        <v>1</v>
      </c>
      <c r="P9" s="749">
        <v>1</v>
      </c>
      <c r="Q9" s="750" t="s">
        <v>432</v>
      </c>
      <c r="R9" s="519">
        <v>6</v>
      </c>
      <c r="S9" s="526">
        <v>6</v>
      </c>
      <c r="T9" s="840"/>
      <c r="U9" s="846"/>
      <c r="V9" s="145"/>
    </row>
    <row r="10" spans="1:22" x14ac:dyDescent="0.2">
      <c r="A10" s="596" t="s">
        <v>91</v>
      </c>
      <c r="B10" s="676">
        <f>MC!C74</f>
        <v>0.02</v>
      </c>
      <c r="C10" s="801">
        <v>1187.0999999999999</v>
      </c>
      <c r="D10" s="804">
        <v>857.82</v>
      </c>
      <c r="E10" s="804">
        <v>144.71</v>
      </c>
      <c r="F10" s="601">
        <v>104.8</v>
      </c>
      <c r="G10" s="809">
        <v>612.47</v>
      </c>
      <c r="H10" s="604">
        <v>2104.5</v>
      </c>
      <c r="I10" s="604">
        <v>205</v>
      </c>
      <c r="J10" s="602">
        <v>263</v>
      </c>
      <c r="K10" s="806">
        <v>137</v>
      </c>
      <c r="L10" s="813">
        <v>400</v>
      </c>
      <c r="M10" s="196">
        <f t="shared" si="0"/>
        <v>3.2602759497068585</v>
      </c>
      <c r="N10" s="751" t="s">
        <v>432</v>
      </c>
      <c r="O10" s="752">
        <v>3</v>
      </c>
      <c r="P10" s="749">
        <v>1</v>
      </c>
      <c r="Q10" s="750">
        <v>1</v>
      </c>
      <c r="R10" s="519">
        <v>6</v>
      </c>
      <c r="S10" s="526">
        <v>6</v>
      </c>
      <c r="T10" s="840"/>
      <c r="U10" s="846"/>
      <c r="V10" s="145"/>
    </row>
    <row r="11" spans="1:22" x14ac:dyDescent="0.2">
      <c r="A11" s="596" t="s">
        <v>93</v>
      </c>
      <c r="B11" s="676">
        <f>MC!C75</f>
        <v>0.03</v>
      </c>
      <c r="C11" s="802">
        <v>263.98</v>
      </c>
      <c r="D11" s="804">
        <v>102.61</v>
      </c>
      <c r="E11" s="804">
        <v>192.03</v>
      </c>
      <c r="F11" s="601">
        <v>13.84</v>
      </c>
      <c r="G11" s="809">
        <v>0</v>
      </c>
      <c r="H11" s="604">
        <v>0</v>
      </c>
      <c r="I11" s="604">
        <v>38</v>
      </c>
      <c r="J11" s="602" t="s">
        <v>432</v>
      </c>
      <c r="K11" s="806">
        <v>35.93</v>
      </c>
      <c r="L11" s="812">
        <v>35.93</v>
      </c>
      <c r="M11" s="196">
        <f t="shared" si="0"/>
        <v>0.68413762555626201</v>
      </c>
      <c r="N11" s="751" t="s">
        <v>432</v>
      </c>
      <c r="O11" s="752">
        <v>1</v>
      </c>
      <c r="P11" s="749" t="s">
        <v>432</v>
      </c>
      <c r="Q11" s="750" t="s">
        <v>432</v>
      </c>
      <c r="R11" s="519">
        <v>6</v>
      </c>
      <c r="S11" s="526">
        <v>6</v>
      </c>
      <c r="T11" s="840"/>
      <c r="U11" s="846"/>
      <c r="V11" s="145"/>
    </row>
    <row r="12" spans="1:22" x14ac:dyDescent="0.2">
      <c r="A12" s="596" t="s">
        <v>96</v>
      </c>
      <c r="B12" s="676">
        <f>MC!C76</f>
        <v>0.03</v>
      </c>
      <c r="C12" s="801">
        <v>1130.76</v>
      </c>
      <c r="D12" s="804">
        <v>571.33000000000004</v>
      </c>
      <c r="E12" s="804">
        <v>542.57000000000005</v>
      </c>
      <c r="F12" s="601">
        <v>80.760000000000005</v>
      </c>
      <c r="G12" s="809">
        <v>826</v>
      </c>
      <c r="H12" s="603">
        <v>397</v>
      </c>
      <c r="I12" s="604">
        <v>158.38999999999999</v>
      </c>
      <c r="J12" s="602">
        <v>209.15</v>
      </c>
      <c r="K12" s="806">
        <v>265.85000000000002</v>
      </c>
      <c r="L12" s="813">
        <v>475</v>
      </c>
      <c r="M12" s="196">
        <f t="shared" si="0"/>
        <v>3.4304884537684539</v>
      </c>
      <c r="N12" s="751" t="s">
        <v>432</v>
      </c>
      <c r="O12" s="752">
        <v>3</v>
      </c>
      <c r="P12" s="749" t="s">
        <v>432</v>
      </c>
      <c r="Q12" s="750">
        <v>1</v>
      </c>
      <c r="R12" s="519">
        <v>6</v>
      </c>
      <c r="S12" s="526">
        <v>6</v>
      </c>
      <c r="T12" s="840"/>
      <c r="U12" s="846"/>
      <c r="V12" s="145"/>
    </row>
    <row r="13" spans="1:22" x14ac:dyDescent="0.2">
      <c r="A13" s="596" t="s">
        <v>98</v>
      </c>
      <c r="B13" s="676">
        <f>MC!C77</f>
        <v>0.04</v>
      </c>
      <c r="C13" s="800">
        <v>159.47999999999999</v>
      </c>
      <c r="D13" s="804">
        <v>168.26</v>
      </c>
      <c r="E13" s="804">
        <v>206.27</v>
      </c>
      <c r="F13" s="601">
        <v>34.35</v>
      </c>
      <c r="G13" s="809">
        <v>163.52000000000001</v>
      </c>
      <c r="H13" s="604">
        <v>694.07</v>
      </c>
      <c r="I13" s="604">
        <v>365</v>
      </c>
      <c r="J13" s="602" t="s">
        <v>432</v>
      </c>
      <c r="K13" s="806">
        <v>89.98</v>
      </c>
      <c r="L13" s="812">
        <v>89.98</v>
      </c>
      <c r="M13" s="196">
        <f t="shared" si="0"/>
        <v>0.87873096418026431</v>
      </c>
      <c r="N13" s="751" t="s">
        <v>432</v>
      </c>
      <c r="O13" s="752">
        <v>1</v>
      </c>
      <c r="P13" s="749">
        <v>1</v>
      </c>
      <c r="Q13" s="750" t="s">
        <v>432</v>
      </c>
      <c r="R13" s="519">
        <v>6</v>
      </c>
      <c r="S13" s="526">
        <v>6</v>
      </c>
      <c r="T13" s="840"/>
      <c r="U13" s="846"/>
      <c r="V13" s="145"/>
    </row>
    <row r="14" spans="1:22" x14ac:dyDescent="0.2">
      <c r="A14" s="596" t="s">
        <v>100</v>
      </c>
      <c r="B14" s="676">
        <f>MC!C78</f>
        <v>0.03</v>
      </c>
      <c r="C14" s="800">
        <v>74.900000000000006</v>
      </c>
      <c r="D14" s="804">
        <v>21.16</v>
      </c>
      <c r="E14" s="804">
        <v>60.5</v>
      </c>
      <c r="F14" s="601">
        <v>14.99</v>
      </c>
      <c r="G14" s="809">
        <v>0</v>
      </c>
      <c r="H14" s="604">
        <v>0</v>
      </c>
      <c r="I14" s="604">
        <v>46.51</v>
      </c>
      <c r="J14" s="602" t="s">
        <v>432</v>
      </c>
      <c r="K14" s="806">
        <v>34.06</v>
      </c>
      <c r="L14" s="813">
        <v>34.06</v>
      </c>
      <c r="M14" s="196">
        <f t="shared" si="0"/>
        <v>0.26759646005509646</v>
      </c>
      <c r="N14" s="751">
        <v>1</v>
      </c>
      <c r="O14" s="752"/>
      <c r="P14" s="749" t="s">
        <v>432</v>
      </c>
      <c r="Q14" s="750" t="s">
        <v>432</v>
      </c>
      <c r="R14" s="519">
        <v>6</v>
      </c>
      <c r="S14" s="526">
        <v>6</v>
      </c>
      <c r="T14" s="840"/>
      <c r="U14" s="846"/>
      <c r="V14" s="145"/>
    </row>
    <row r="15" spans="1:22" x14ac:dyDescent="0.2">
      <c r="A15" s="596" t="s">
        <v>102</v>
      </c>
      <c r="B15" s="676">
        <f>MC!C79</f>
        <v>0.03</v>
      </c>
      <c r="C15" s="800">
        <v>541.91999999999996</v>
      </c>
      <c r="D15" s="804">
        <v>186.3</v>
      </c>
      <c r="E15" s="804">
        <v>236.46</v>
      </c>
      <c r="F15" s="601">
        <v>22.76</v>
      </c>
      <c r="G15" s="809">
        <v>82.75</v>
      </c>
      <c r="H15" s="604">
        <v>371.82</v>
      </c>
      <c r="I15" s="604">
        <v>154</v>
      </c>
      <c r="J15" s="602">
        <v>6.52</v>
      </c>
      <c r="K15" s="806">
        <v>70.72</v>
      </c>
      <c r="L15" s="812">
        <v>77.239999999999995</v>
      </c>
      <c r="M15" s="196">
        <f t="shared" si="0"/>
        <v>1.2604670005933463</v>
      </c>
      <c r="N15" s="751" t="s">
        <v>432</v>
      </c>
      <c r="O15" s="752">
        <v>1</v>
      </c>
      <c r="P15" s="749">
        <v>1</v>
      </c>
      <c r="Q15" s="750" t="s">
        <v>432</v>
      </c>
      <c r="R15" s="519">
        <v>6</v>
      </c>
      <c r="S15" s="526">
        <v>6</v>
      </c>
      <c r="T15" s="840"/>
      <c r="U15" s="846"/>
      <c r="V15" s="145"/>
    </row>
    <row r="16" spans="1:22" x14ac:dyDescent="0.2">
      <c r="A16" s="596" t="s">
        <v>104</v>
      </c>
      <c r="B16" s="676">
        <f>MC!C80</f>
        <v>0.03</v>
      </c>
      <c r="C16" s="800">
        <v>56.37</v>
      </c>
      <c r="D16" s="806">
        <v>70.95</v>
      </c>
      <c r="E16" s="804">
        <v>106.69</v>
      </c>
      <c r="F16" s="601">
        <v>20.32</v>
      </c>
      <c r="G16" s="809">
        <v>277</v>
      </c>
      <c r="H16" s="604">
        <v>455</v>
      </c>
      <c r="I16" s="604">
        <v>635</v>
      </c>
      <c r="J16" s="602" t="s">
        <v>432</v>
      </c>
      <c r="K16" s="806">
        <v>22.3</v>
      </c>
      <c r="L16" s="813">
        <v>22.3</v>
      </c>
      <c r="M16" s="196">
        <f t="shared" si="0"/>
        <v>0.56764848431871151</v>
      </c>
      <c r="N16" s="751" t="s">
        <v>432</v>
      </c>
      <c r="O16" s="752">
        <v>1</v>
      </c>
      <c r="P16" s="749">
        <v>1</v>
      </c>
      <c r="Q16" s="750" t="s">
        <v>432</v>
      </c>
      <c r="R16" s="519">
        <v>6</v>
      </c>
      <c r="S16" s="526">
        <v>6</v>
      </c>
      <c r="T16" s="840"/>
      <c r="U16" s="846"/>
      <c r="V16" s="145"/>
    </row>
    <row r="17" spans="1:1018" x14ac:dyDescent="0.2">
      <c r="A17" s="596" t="s">
        <v>106</v>
      </c>
      <c r="B17" s="676">
        <f>MC!C81</f>
        <v>0.03</v>
      </c>
      <c r="C17" s="800">
        <v>121.24</v>
      </c>
      <c r="D17" s="804">
        <v>85.67</v>
      </c>
      <c r="E17" s="804">
        <v>129.88999999999999</v>
      </c>
      <c r="F17" s="601">
        <v>16.649999999999999</v>
      </c>
      <c r="G17" s="809">
        <v>12</v>
      </c>
      <c r="H17" s="604">
        <v>0</v>
      </c>
      <c r="I17" s="604">
        <v>335</v>
      </c>
      <c r="J17" s="602" t="s">
        <v>432</v>
      </c>
      <c r="K17" s="806">
        <v>54.25</v>
      </c>
      <c r="L17" s="812">
        <v>54.25</v>
      </c>
      <c r="M17" s="196">
        <f t="shared" si="0"/>
        <v>0.49634843469661644</v>
      </c>
      <c r="N17" s="751">
        <v>1</v>
      </c>
      <c r="O17" s="752"/>
      <c r="P17" s="749" t="s">
        <v>432</v>
      </c>
      <c r="Q17" s="750" t="s">
        <v>432</v>
      </c>
      <c r="R17" s="520">
        <v>6</v>
      </c>
      <c r="S17" s="527">
        <v>6</v>
      </c>
      <c r="T17" s="841"/>
      <c r="U17" s="846"/>
      <c r="V17" s="145"/>
    </row>
    <row r="18" spans="1:1018" x14ac:dyDescent="0.2">
      <c r="A18" s="596" t="s">
        <v>108</v>
      </c>
      <c r="B18" s="676">
        <f>MC!C82</f>
        <v>0.03</v>
      </c>
      <c r="C18" s="800">
        <v>81.66</v>
      </c>
      <c r="D18" s="804">
        <v>34.479999999999997</v>
      </c>
      <c r="E18" s="804">
        <v>41.84</v>
      </c>
      <c r="F18" s="601">
        <v>7.05</v>
      </c>
      <c r="G18" s="804">
        <v>35</v>
      </c>
      <c r="H18" s="604">
        <v>0</v>
      </c>
      <c r="I18" s="601">
        <v>61</v>
      </c>
      <c r="J18" s="602" t="s">
        <v>432</v>
      </c>
      <c r="K18" s="806">
        <v>10.34</v>
      </c>
      <c r="L18" s="813">
        <v>10.34</v>
      </c>
      <c r="M18" s="196">
        <f t="shared" si="0"/>
        <v>0.23421693473193472</v>
      </c>
      <c r="N18" s="751">
        <v>1</v>
      </c>
      <c r="O18" s="752"/>
      <c r="P18" s="749" t="s">
        <v>432</v>
      </c>
      <c r="Q18" s="750" t="s">
        <v>432</v>
      </c>
      <c r="R18" s="520">
        <v>6</v>
      </c>
      <c r="S18" s="527">
        <v>6</v>
      </c>
      <c r="T18" s="841"/>
      <c r="U18" s="846"/>
      <c r="V18" s="145"/>
    </row>
    <row r="19" spans="1:1018" x14ac:dyDescent="0.2">
      <c r="A19" s="596" t="s">
        <v>110</v>
      </c>
      <c r="B19" s="676">
        <f>MC!C83</f>
        <v>0.03</v>
      </c>
      <c r="C19" s="800">
        <v>110.89</v>
      </c>
      <c r="D19" s="804">
        <v>26.86</v>
      </c>
      <c r="E19" s="806">
        <v>140.72999999999999</v>
      </c>
      <c r="F19" s="603">
        <v>24.27</v>
      </c>
      <c r="G19" s="809">
        <v>119.85</v>
      </c>
      <c r="H19" s="604">
        <v>1080</v>
      </c>
      <c r="I19" s="604">
        <v>739.76</v>
      </c>
      <c r="J19" s="602" t="s">
        <v>432</v>
      </c>
      <c r="K19" s="806">
        <v>116.27</v>
      </c>
      <c r="L19" s="813">
        <v>116.27</v>
      </c>
      <c r="M19" s="196">
        <f t="shared" si="0"/>
        <v>0.64388124125874135</v>
      </c>
      <c r="N19" s="751">
        <v>1</v>
      </c>
      <c r="O19" s="752"/>
      <c r="P19" s="749" t="s">
        <v>432</v>
      </c>
      <c r="Q19" s="750" t="s">
        <v>432</v>
      </c>
      <c r="R19" s="520">
        <v>6</v>
      </c>
      <c r="S19" s="527">
        <v>6</v>
      </c>
      <c r="T19" s="841"/>
      <c r="U19" s="846"/>
      <c r="V19" s="145"/>
    </row>
    <row r="20" spans="1:1018" s="145" customFormat="1" ht="12.75" x14ac:dyDescent="0.2">
      <c r="A20" s="596" t="s">
        <v>112</v>
      </c>
      <c r="B20" s="676">
        <f>MC!C84</f>
        <v>0.05</v>
      </c>
      <c r="C20" s="800">
        <v>110.89</v>
      </c>
      <c r="D20" s="804">
        <v>26.86</v>
      </c>
      <c r="E20" s="806">
        <v>140.72999999999999</v>
      </c>
      <c r="F20" s="603">
        <v>24.27</v>
      </c>
      <c r="G20" s="804">
        <v>498.5</v>
      </c>
      <c r="H20" s="601">
        <v>341.5</v>
      </c>
      <c r="I20" s="601">
        <v>207.92</v>
      </c>
      <c r="J20" s="602" t="s">
        <v>432</v>
      </c>
      <c r="K20" s="806">
        <v>116.27</v>
      </c>
      <c r="L20" s="813">
        <v>116.27</v>
      </c>
      <c r="M20" s="196">
        <f t="shared" si="0"/>
        <v>0.78776401903651905</v>
      </c>
      <c r="N20" s="751">
        <v>1</v>
      </c>
      <c r="O20" s="752"/>
      <c r="P20" s="749" t="s">
        <v>432</v>
      </c>
      <c r="Q20" s="750" t="s">
        <v>432</v>
      </c>
      <c r="R20" s="520">
        <v>6</v>
      </c>
      <c r="S20" s="527">
        <v>6</v>
      </c>
      <c r="T20" s="841"/>
      <c r="U20" s="846"/>
      <c r="ALR20" s="162"/>
      <c r="ALS20" s="162"/>
      <c r="ALT20" s="162"/>
      <c r="ALU20" s="162"/>
      <c r="ALV20" s="162"/>
      <c r="ALW20" s="162"/>
      <c r="ALX20" s="162"/>
      <c r="ALY20" s="162"/>
      <c r="ALZ20" s="162"/>
      <c r="AMA20" s="162"/>
      <c r="AMB20" s="162"/>
      <c r="AMC20" s="162"/>
      <c r="AMD20" s="162"/>
    </row>
    <row r="21" spans="1:1018" s="145" customFormat="1" ht="12.75" x14ac:dyDescent="0.2">
      <c r="A21" s="596" t="s">
        <v>114</v>
      </c>
      <c r="B21" s="676">
        <f>MC!C85</f>
        <v>0.03</v>
      </c>
      <c r="C21" s="800">
        <v>110.16</v>
      </c>
      <c r="D21" s="804">
        <v>26.86</v>
      </c>
      <c r="E21" s="804">
        <v>140.72999999999999</v>
      </c>
      <c r="F21" s="601">
        <v>24.27</v>
      </c>
      <c r="G21" s="809">
        <v>119.37</v>
      </c>
      <c r="H21" s="604">
        <v>201.51</v>
      </c>
      <c r="I21" s="604">
        <v>570.84</v>
      </c>
      <c r="J21" s="602" t="s">
        <v>432</v>
      </c>
      <c r="K21" s="806">
        <v>116.27</v>
      </c>
      <c r="L21" s="813">
        <v>116.27</v>
      </c>
      <c r="M21" s="196">
        <f t="shared" si="0"/>
        <v>0.6151482857031858</v>
      </c>
      <c r="N21" s="751">
        <v>1</v>
      </c>
      <c r="O21" s="752"/>
      <c r="P21" s="749" t="s">
        <v>432</v>
      </c>
      <c r="Q21" s="750" t="s">
        <v>432</v>
      </c>
      <c r="R21" s="521">
        <v>6</v>
      </c>
      <c r="S21" s="528">
        <v>6</v>
      </c>
      <c r="T21" s="842"/>
      <c r="U21" s="846"/>
      <c r="ALR21" s="162"/>
      <c r="ALS21" s="162"/>
      <c r="ALT21" s="162"/>
      <c r="ALU21" s="162"/>
      <c r="ALV21" s="162"/>
      <c r="ALW21" s="162"/>
      <c r="ALX21" s="162"/>
      <c r="ALY21" s="162"/>
      <c r="ALZ21" s="162"/>
      <c r="AMA21" s="162"/>
      <c r="AMB21" s="162"/>
      <c r="AMC21" s="162"/>
      <c r="AMD21" s="162"/>
    </row>
    <row r="22" spans="1:1018" s="145" customFormat="1" ht="12.75" x14ac:dyDescent="0.2">
      <c r="A22" s="597" t="s">
        <v>115</v>
      </c>
      <c r="B22" s="676">
        <f>MC!C86</f>
        <v>0.02</v>
      </c>
      <c r="C22" s="803">
        <v>110.16</v>
      </c>
      <c r="D22" s="808">
        <v>26.86</v>
      </c>
      <c r="E22" s="808">
        <v>140.72999999999999</v>
      </c>
      <c r="F22" s="605">
        <v>24.27</v>
      </c>
      <c r="G22" s="810">
        <v>186.47</v>
      </c>
      <c r="H22" s="606">
        <v>1345</v>
      </c>
      <c r="I22" s="606">
        <v>1041</v>
      </c>
      <c r="J22" s="607" t="s">
        <v>432</v>
      </c>
      <c r="K22" s="811">
        <v>116.27</v>
      </c>
      <c r="L22" s="814">
        <v>116.27</v>
      </c>
      <c r="M22" s="196">
        <f t="shared" si="0"/>
        <v>0.71610096348096364</v>
      </c>
      <c r="N22" s="753">
        <v>1</v>
      </c>
      <c r="O22" s="754"/>
      <c r="P22" s="755" t="s">
        <v>432</v>
      </c>
      <c r="Q22" s="750" t="s">
        <v>432</v>
      </c>
      <c r="R22" s="522">
        <v>6</v>
      </c>
      <c r="S22" s="529">
        <v>6</v>
      </c>
      <c r="T22" s="843"/>
      <c r="U22" s="847"/>
      <c r="ALR22" s="162"/>
      <c r="ALS22" s="162"/>
      <c r="ALT22" s="162"/>
      <c r="ALU22" s="162"/>
      <c r="ALV22" s="162"/>
      <c r="ALW22" s="162"/>
      <c r="ALX22" s="162"/>
      <c r="ALY22" s="162"/>
      <c r="ALZ22" s="162"/>
      <c r="AMA22" s="162"/>
      <c r="AMB22" s="162"/>
      <c r="AMC22" s="162"/>
      <c r="AMD22" s="162"/>
    </row>
    <row r="23" spans="1:1018" s="145" customFormat="1" ht="12.75" x14ac:dyDescent="0.2">
      <c r="A23" s="197" t="s">
        <v>433</v>
      </c>
      <c r="B23" s="197"/>
      <c r="C23" s="198">
        <f t="shared" ref="C23:U23" si="1">SUM(C4:C22)</f>
        <v>10338.129999999997</v>
      </c>
      <c r="D23" s="199">
        <f t="shared" si="1"/>
        <v>7146.6299999999974</v>
      </c>
      <c r="E23" s="199">
        <f t="shared" si="1"/>
        <v>4681.9099999999989</v>
      </c>
      <c r="F23" s="199">
        <f t="shared" si="1"/>
        <v>858.61999999999989</v>
      </c>
      <c r="G23" s="199">
        <f t="shared" si="1"/>
        <v>4991.62</v>
      </c>
      <c r="H23" s="199">
        <f t="shared" si="1"/>
        <v>14344.869999999999</v>
      </c>
      <c r="I23" s="199">
        <f t="shared" si="1"/>
        <v>5708.81</v>
      </c>
      <c r="J23" s="199">
        <f t="shared" si="1"/>
        <v>1661.71</v>
      </c>
      <c r="K23" s="199">
        <f t="shared" si="1"/>
        <v>2266.92</v>
      </c>
      <c r="L23" s="200">
        <f t="shared" si="1"/>
        <v>3928.6299999999997</v>
      </c>
      <c r="M23" s="201">
        <f t="shared" si="1"/>
        <v>31.963501885879779</v>
      </c>
      <c r="N23" s="202">
        <f t="shared" si="1"/>
        <v>7</v>
      </c>
      <c r="O23" s="202">
        <f t="shared" si="1"/>
        <v>26</v>
      </c>
      <c r="P23" s="608">
        <f t="shared" si="1"/>
        <v>5</v>
      </c>
      <c r="Q23" s="609">
        <f t="shared" si="1"/>
        <v>6</v>
      </c>
      <c r="R23" s="524">
        <f t="shared" si="1"/>
        <v>114</v>
      </c>
      <c r="S23" s="502">
        <f t="shared" si="1"/>
        <v>114</v>
      </c>
      <c r="T23" s="844">
        <f t="shared" si="1"/>
        <v>22</v>
      </c>
      <c r="U23" s="848">
        <f t="shared" si="1"/>
        <v>1</v>
      </c>
      <c r="ALR23" s="162"/>
      <c r="ALS23" s="162"/>
      <c r="ALT23" s="162"/>
      <c r="ALU23" s="162"/>
      <c r="ALV23" s="162"/>
      <c r="ALW23" s="162"/>
      <c r="ALX23" s="162"/>
      <c r="ALY23" s="162"/>
      <c r="ALZ23" s="162"/>
      <c r="AMA23" s="162"/>
      <c r="AMB23" s="162"/>
      <c r="AMC23" s="162"/>
      <c r="AMD23" s="162"/>
    </row>
    <row r="24" spans="1:1018" s="145" customFormat="1" ht="15" x14ac:dyDescent="0.25">
      <c r="A24" s="203" t="s">
        <v>434</v>
      </c>
      <c r="B24" s="172"/>
      <c r="C24" s="598">
        <v>800</v>
      </c>
      <c r="D24" s="599">
        <v>1500</v>
      </c>
      <c r="E24" s="599">
        <v>1000</v>
      </c>
      <c r="F24" s="599">
        <v>200</v>
      </c>
      <c r="G24" s="599">
        <v>1800</v>
      </c>
      <c r="H24" s="599">
        <v>100000</v>
      </c>
      <c r="I24" s="599">
        <v>9000</v>
      </c>
      <c r="J24" s="599">
        <v>160</v>
      </c>
      <c r="K24" s="599">
        <v>300</v>
      </c>
      <c r="L24" s="600">
        <v>300</v>
      </c>
      <c r="M24" s="204"/>
      <c r="N24" s="415" t="s">
        <v>435</v>
      </c>
      <c r="O24" s="413">
        <f>N23+O23</f>
        <v>33</v>
      </c>
      <c r="P24" s="610" t="s">
        <v>435</v>
      </c>
      <c r="Q24" s="414">
        <f>P23+Q23</f>
        <v>11</v>
      </c>
      <c r="R24" s="500"/>
      <c r="S24" s="500"/>
      <c r="T24" s="500"/>
      <c r="U24" s="174"/>
      <c r="V24" s="175"/>
      <c r="ALU24" s="175"/>
      <c r="ALV24" s="175"/>
      <c r="ALW24" s="175"/>
      <c r="ALX24" s="175"/>
      <c r="ALY24" s="175"/>
      <c r="ALZ24" s="175"/>
      <c r="AMA24" s="175"/>
      <c r="AMB24" s="175"/>
      <c r="AMC24" s="175"/>
      <c r="AMD24" s="175"/>
    </row>
    <row r="25" spans="1:1018" s="145" customFormat="1" ht="15" x14ac:dyDescent="0.25">
      <c r="A25" s="206" t="s">
        <v>436</v>
      </c>
      <c r="B25" s="206"/>
      <c r="C25" s="207">
        <f t="shared" ref="C25:I25" si="2">C23/C24</f>
        <v>12.922662499999996</v>
      </c>
      <c r="D25" s="208">
        <f t="shared" si="2"/>
        <v>4.7644199999999985</v>
      </c>
      <c r="E25" s="208">
        <f t="shared" si="2"/>
        <v>4.6819099999999993</v>
      </c>
      <c r="F25" s="208">
        <f t="shared" si="2"/>
        <v>4.293099999999999</v>
      </c>
      <c r="G25" s="208">
        <f t="shared" si="2"/>
        <v>2.7731222222222223</v>
      </c>
      <c r="H25" s="208">
        <f t="shared" si="2"/>
        <v>0.14344869999999998</v>
      </c>
      <c r="I25" s="208">
        <f t="shared" si="2"/>
        <v>0.63431222222222228</v>
      </c>
      <c r="J25" s="208">
        <f>1/J24*8*1/(30/7*44*6)*J23</f>
        <v>7.3434154040404057E-2</v>
      </c>
      <c r="K25" s="208">
        <f>1/K24*16*1/188.76*K23</f>
        <v>0.64050858232676422</v>
      </c>
      <c r="L25" s="209">
        <f>1/L24*16*1/188.76*L23</f>
        <v>1.1100176591085682</v>
      </c>
      <c r="M25" s="329">
        <f>SUM(C25:L25)-J25</f>
        <v>31.963501885879769</v>
      </c>
      <c r="N25" s="416" t="s">
        <v>437</v>
      </c>
      <c r="O25" s="414">
        <f>O23+(N23*0.85)</f>
        <v>31.95</v>
      </c>
      <c r="P25" s="205"/>
      <c r="Q25" s="174"/>
      <c r="R25" s="174"/>
      <c r="S25" s="174"/>
      <c r="T25" s="174"/>
      <c r="U25" s="174"/>
      <c r="V25" s="175"/>
      <c r="ALU25" s="175"/>
      <c r="ALV25" s="175"/>
      <c r="ALW25" s="175"/>
      <c r="ALX25" s="175"/>
      <c r="ALY25" s="175"/>
      <c r="ALZ25" s="175"/>
      <c r="AMA25" s="175"/>
      <c r="AMB25" s="175"/>
      <c r="AMC25" s="175"/>
      <c r="AMD25" s="175"/>
    </row>
    <row r="26" spans="1:1018" s="145" customFormat="1" ht="15" x14ac:dyDescent="0.25">
      <c r="A26" s="211" t="s">
        <v>438</v>
      </c>
      <c r="B26" s="211"/>
      <c r="C26" s="212">
        <f>C23/(M25*C24)</f>
        <v>0.40429432751574462</v>
      </c>
      <c r="D26" s="213">
        <f>D23/(M25*D24)</f>
        <v>0.14905813565142351</v>
      </c>
      <c r="E26" s="213">
        <f>E23/(M25*E24)</f>
        <v>0.14647675391501094</v>
      </c>
      <c r="F26" s="213">
        <f>F23/(M25*F24)</f>
        <v>0.1343125673565988</v>
      </c>
      <c r="G26" s="213">
        <f>G23/(M25*G24)</f>
        <v>8.6759023842981342E-2</v>
      </c>
      <c r="H26" s="213">
        <f>H23/(M25*H24)</f>
        <v>4.4878906107396832E-3</v>
      </c>
      <c r="I26" s="213">
        <f>I23/(M25*I24)</f>
        <v>1.9844891354111507E-2</v>
      </c>
      <c r="J26" s="213">
        <f>1/4*1/J24*8*1/1132.6*J23</f>
        <v>1.8339550591559249E-2</v>
      </c>
      <c r="K26" s="213">
        <f>1/M25*1/K24*16*1/188.76*K23</f>
        <v>2.0038748714505401E-2</v>
      </c>
      <c r="L26" s="214">
        <f>1/M25*1/L24*16*1/188.76*L23</f>
        <v>3.4727661038884187E-2</v>
      </c>
      <c r="M26" s="215">
        <f>SUM(C26:L26)-J26</f>
        <v>0.99999999999999989</v>
      </c>
      <c r="N26" s="174"/>
      <c r="O26" s="174"/>
      <c r="P26" s="174"/>
      <c r="Q26" s="174"/>
      <c r="R26" s="174"/>
      <c r="S26" s="174"/>
      <c r="T26" s="174"/>
      <c r="U26" s="175"/>
      <c r="V26" s="175"/>
      <c r="ALU26" s="175"/>
      <c r="ALV26" s="175"/>
      <c r="ALW26" s="175"/>
      <c r="ALX26" s="175"/>
      <c r="ALY26" s="175"/>
      <c r="ALZ26" s="175"/>
      <c r="AMA26" s="175"/>
      <c r="AMB26" s="175"/>
      <c r="AMC26" s="175"/>
      <c r="AMD26" s="175"/>
    </row>
    <row r="27" spans="1:1018" s="145" customFormat="1" ht="15" hidden="1" x14ac:dyDescent="0.25">
      <c r="A27" s="216" t="s">
        <v>439</v>
      </c>
      <c r="B27" s="216"/>
      <c r="C27" s="217">
        <f t="shared" ref="C27:I27" si="3">ROUND(1/C24,9)</f>
        <v>1.25E-3</v>
      </c>
      <c r="D27" s="218">
        <f t="shared" si="3"/>
        <v>6.6666700000000002E-4</v>
      </c>
      <c r="E27" s="218">
        <f t="shared" si="3"/>
        <v>1E-3</v>
      </c>
      <c r="F27" s="218">
        <f t="shared" si="3"/>
        <v>5.0000000000000001E-3</v>
      </c>
      <c r="G27" s="218">
        <f t="shared" si="3"/>
        <v>5.5555600000000002E-4</v>
      </c>
      <c r="H27" s="218">
        <f t="shared" si="3"/>
        <v>1.0000000000000001E-5</v>
      </c>
      <c r="I27" s="218">
        <f t="shared" si="3"/>
        <v>1.11111E-4</v>
      </c>
      <c r="J27" s="219">
        <f>(1/J24)*(1/L35)*8</f>
        <v>4.8611111111111115E-5</v>
      </c>
      <c r="K27" s="219">
        <f>(1/K24)*(1/L34)*16</f>
        <v>3.1111111111111113E-4</v>
      </c>
      <c r="L27" s="220">
        <f>(1/L24)*(1/L34)*16</f>
        <v>3.1111111111111113E-4</v>
      </c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ALU27" s="175"/>
      <c r="ALV27" s="175"/>
      <c r="ALW27" s="175"/>
      <c r="ALX27" s="175"/>
      <c r="ALY27" s="175"/>
      <c r="ALZ27" s="175"/>
      <c r="AMA27" s="175"/>
      <c r="AMB27" s="175"/>
      <c r="AMC27" s="175"/>
      <c r="AMD27" s="175"/>
    </row>
    <row r="28" spans="1:1018" s="145" customFormat="1" ht="15" hidden="1" x14ac:dyDescent="0.25">
      <c r="A28" s="221" t="s">
        <v>440</v>
      </c>
      <c r="B28" s="221"/>
      <c r="C28" s="222">
        <f t="shared" ref="C28:L28" si="4">C27/$U$23</f>
        <v>1.25E-3</v>
      </c>
      <c r="D28" s="223">
        <f t="shared" si="4"/>
        <v>6.6666700000000002E-4</v>
      </c>
      <c r="E28" s="223">
        <f t="shared" si="4"/>
        <v>1E-3</v>
      </c>
      <c r="F28" s="223">
        <f t="shared" si="4"/>
        <v>5.0000000000000001E-3</v>
      </c>
      <c r="G28" s="223">
        <f t="shared" si="4"/>
        <v>5.5555600000000002E-4</v>
      </c>
      <c r="H28" s="223">
        <f t="shared" si="4"/>
        <v>1.0000000000000001E-5</v>
      </c>
      <c r="I28" s="223">
        <f t="shared" si="4"/>
        <v>1.11111E-4</v>
      </c>
      <c r="J28" s="224">
        <f t="shared" si="4"/>
        <v>4.8611111111111115E-5</v>
      </c>
      <c r="K28" s="224">
        <f t="shared" si="4"/>
        <v>3.1111111111111113E-4</v>
      </c>
      <c r="L28" s="225">
        <f t="shared" si="4"/>
        <v>3.1111111111111113E-4</v>
      </c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ALU28" s="175"/>
      <c r="ALV28" s="175"/>
      <c r="ALW28" s="175"/>
      <c r="ALX28" s="175"/>
      <c r="ALY28" s="175"/>
      <c r="ALZ28" s="175"/>
      <c r="AMA28" s="175"/>
      <c r="AMB28" s="175"/>
      <c r="AMC28" s="175"/>
      <c r="AMD28" s="175"/>
    </row>
    <row r="29" spans="1:1018" s="145" customFormat="1" ht="15" hidden="1" x14ac:dyDescent="0.25">
      <c r="A29" s="226" t="s">
        <v>441</v>
      </c>
      <c r="B29" s="226"/>
      <c r="C29" s="227" t="s">
        <v>442</v>
      </c>
      <c r="D29" s="228" t="s">
        <v>443</v>
      </c>
      <c r="E29" s="228" t="s">
        <v>444</v>
      </c>
      <c r="F29" s="228" t="s">
        <v>445</v>
      </c>
      <c r="G29" s="229" t="s">
        <v>446</v>
      </c>
      <c r="H29" s="229" t="s">
        <v>446</v>
      </c>
      <c r="I29" s="229" t="s">
        <v>447</v>
      </c>
      <c r="J29" s="230" t="s">
        <v>448</v>
      </c>
      <c r="K29" s="230" t="s">
        <v>449</v>
      </c>
      <c r="L29" s="231" t="s">
        <v>449</v>
      </c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ALU29" s="175"/>
      <c r="ALV29" s="175"/>
      <c r="ALW29" s="175"/>
      <c r="ALX29" s="175"/>
      <c r="ALY29" s="175"/>
      <c r="ALZ29" s="175"/>
      <c r="AMA29" s="175"/>
      <c r="AMB29" s="175"/>
      <c r="AMC29" s="175"/>
      <c r="AMD29" s="175"/>
    </row>
    <row r="30" spans="1:1018" s="145" customFormat="1" ht="15" hidden="1" x14ac:dyDescent="0.25">
      <c r="A30" s="232"/>
      <c r="B30" s="232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ALR30" s="162"/>
      <c r="ALS30" s="162"/>
      <c r="ALT30" s="162"/>
      <c r="ALU30" s="162"/>
      <c r="ALV30" s="162"/>
      <c r="ALW30" s="162"/>
      <c r="ALX30" s="162"/>
      <c r="ALY30" s="162"/>
      <c r="ALZ30" s="162"/>
      <c r="AMA30" s="162"/>
      <c r="AMB30" s="162"/>
      <c r="AMC30" s="162"/>
      <c r="AMD30" s="162"/>
    </row>
    <row r="31" spans="1:1018" s="145" customFormat="1" ht="15" x14ac:dyDescent="0.25">
      <c r="A31" s="233" t="s">
        <v>441</v>
      </c>
      <c r="B31" s="675"/>
      <c r="C31" s="228" t="s">
        <v>442</v>
      </c>
      <c r="D31" s="228" t="s">
        <v>443</v>
      </c>
      <c r="E31" s="228" t="s">
        <v>444</v>
      </c>
      <c r="F31" s="228" t="s">
        <v>445</v>
      </c>
      <c r="G31" s="229" t="s">
        <v>446</v>
      </c>
      <c r="H31" s="234">
        <v>100000</v>
      </c>
      <c r="I31" s="229" t="s">
        <v>447</v>
      </c>
      <c r="J31" s="229" t="s">
        <v>448</v>
      </c>
      <c r="K31" s="230" t="s">
        <v>449</v>
      </c>
      <c r="L31" s="231" t="s">
        <v>449</v>
      </c>
      <c r="M31" s="175"/>
      <c r="N31" s="175"/>
      <c r="O31" s="175"/>
      <c r="P31" s="175"/>
      <c r="Q31" s="175"/>
      <c r="R31" s="175"/>
      <c r="S31" s="175"/>
      <c r="T31" s="175"/>
      <c r="U31" s="175"/>
      <c r="ALR31" s="162"/>
      <c r="ALS31" s="162"/>
      <c r="ALT31" s="162"/>
      <c r="ALU31" s="162"/>
      <c r="ALV31" s="162"/>
      <c r="ALW31" s="162"/>
      <c r="ALX31" s="162"/>
      <c r="ALY31" s="162"/>
      <c r="ALZ31" s="162"/>
      <c r="AMA31" s="162"/>
      <c r="AMB31" s="162"/>
      <c r="AMC31" s="162"/>
      <c r="AMD31" s="162"/>
    </row>
    <row r="32" spans="1:1018" s="145" customFormat="1" ht="15" hidden="1" x14ac:dyDescent="0.25">
      <c r="A32" s="235"/>
      <c r="B32" s="23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ALR32" s="162"/>
      <c r="ALS32" s="162"/>
      <c r="ALT32" s="162"/>
      <c r="ALU32" s="162"/>
      <c r="ALV32" s="162"/>
      <c r="ALW32" s="162"/>
      <c r="ALX32" s="162"/>
      <c r="ALY32" s="162"/>
      <c r="ALZ32" s="162"/>
      <c r="AMA32" s="162"/>
      <c r="AMB32" s="162"/>
      <c r="AMC32" s="162"/>
      <c r="AMD32" s="162"/>
    </row>
    <row r="33" spans="1:1018" s="145" customFormat="1" ht="15" hidden="1" x14ac:dyDescent="0.25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ALR33" s="162"/>
      <c r="ALS33" s="162"/>
      <c r="ALT33" s="162"/>
      <c r="ALU33" s="162"/>
      <c r="ALV33" s="162"/>
      <c r="ALW33" s="162"/>
      <c r="ALX33" s="162"/>
      <c r="ALY33" s="162"/>
      <c r="ALZ33" s="162"/>
      <c r="AMA33" s="162"/>
      <c r="AMB33" s="162"/>
      <c r="AMC33" s="162"/>
      <c r="AMD33" s="162"/>
    </row>
    <row r="34" spans="1:1018" s="145" customFormat="1" ht="15" hidden="1" x14ac:dyDescent="0.25">
      <c r="A34" s="175"/>
      <c r="B34" s="175"/>
      <c r="C34" s="175"/>
      <c r="D34" s="175"/>
      <c r="E34" s="175"/>
      <c r="F34" s="175"/>
      <c r="G34" s="175"/>
      <c r="H34" s="175"/>
      <c r="I34" s="175"/>
      <c r="J34" s="84">
        <f>30/7</f>
        <v>4.2857142857142856</v>
      </c>
      <c r="K34" s="84">
        <v>40</v>
      </c>
      <c r="L34" s="84">
        <f>J34*K34</f>
        <v>171.42857142857142</v>
      </c>
      <c r="M34" s="84"/>
      <c r="N34" s="84"/>
      <c r="O34" s="84"/>
      <c r="P34" s="84"/>
      <c r="Q34" s="84"/>
      <c r="R34" s="84"/>
      <c r="S34" s="84"/>
      <c r="T34" s="84"/>
      <c r="U34" s="84"/>
      <c r="ALR34" s="162"/>
      <c r="ALS34" s="162"/>
      <c r="ALT34" s="162"/>
      <c r="ALU34" s="162"/>
      <c r="ALV34" s="162"/>
      <c r="ALW34" s="162"/>
      <c r="ALX34" s="162"/>
      <c r="ALY34" s="162"/>
      <c r="ALZ34" s="162"/>
      <c r="AMA34" s="162"/>
      <c r="AMB34" s="162"/>
      <c r="AMC34" s="162"/>
      <c r="AMD34" s="162"/>
    </row>
    <row r="35" spans="1:1018" s="145" customFormat="1" ht="15" hidden="1" x14ac:dyDescent="0.25">
      <c r="A35" s="175"/>
      <c r="B35" s="175"/>
      <c r="C35" s="175"/>
      <c r="D35" s="175"/>
      <c r="E35" s="175"/>
      <c r="F35" s="175"/>
      <c r="G35" s="175"/>
      <c r="H35" s="175"/>
      <c r="I35" s="175"/>
      <c r="J35" s="84"/>
      <c r="K35" s="84"/>
      <c r="L35" s="84">
        <f>L34*6</f>
        <v>1028.5714285714284</v>
      </c>
      <c r="M35" s="84" t="s">
        <v>450</v>
      </c>
      <c r="N35" s="84"/>
      <c r="O35" s="84"/>
      <c r="P35" s="84"/>
      <c r="Q35" s="84"/>
      <c r="R35" s="84"/>
      <c r="S35" s="84"/>
      <c r="T35" s="84"/>
      <c r="U35" s="84"/>
      <c r="ALR35" s="162"/>
      <c r="ALS35" s="162"/>
      <c r="ALT35" s="162"/>
      <c r="ALU35" s="162"/>
      <c r="ALV35" s="162"/>
      <c r="ALW35" s="162"/>
      <c r="ALX35" s="162"/>
      <c r="ALY35" s="162"/>
      <c r="ALZ35" s="162"/>
      <c r="AMA35" s="162"/>
      <c r="AMB35" s="162"/>
      <c r="AMC35" s="162"/>
      <c r="AMD35" s="162"/>
    </row>
    <row r="36" spans="1:1018" hidden="1" x14ac:dyDescent="0.2"/>
    <row r="42" spans="1:1018" hidden="1" x14ac:dyDescent="0.2"/>
    <row r="43" spans="1:1018" hidden="1" x14ac:dyDescent="0.2"/>
  </sheetData>
  <mergeCells count="19">
    <mergeCell ref="C1:F1"/>
    <mergeCell ref="G1:I1"/>
    <mergeCell ref="J1:L1"/>
    <mergeCell ref="G2:G3"/>
    <mergeCell ref="H2:H3"/>
    <mergeCell ref="I2:I3"/>
    <mergeCell ref="A2:A3"/>
    <mergeCell ref="C2:C3"/>
    <mergeCell ref="D2:D3"/>
    <mergeCell ref="E2:E3"/>
    <mergeCell ref="F2:F3"/>
    <mergeCell ref="B2:B3"/>
    <mergeCell ref="J2:J3"/>
    <mergeCell ref="K2:K3"/>
    <mergeCell ref="L2:L3"/>
    <mergeCell ref="M2:M3"/>
    <mergeCell ref="R1:T1"/>
    <mergeCell ref="N2:O2"/>
    <mergeCell ref="P2:Q2"/>
  </mergeCells>
  <pageMargins left="0" right="0" top="0.39374999999999999" bottom="0.39374999999999999" header="0" footer="0"/>
  <pageSetup paperSize="0" scale="0" firstPageNumber="0" orientation="portrait" usePrinterDefaults="0" horizontalDpi="0" verticalDpi="0" copies="0"/>
  <headerFooter>
    <oddHeader>&amp;C&amp;A</oddHeader>
    <oddFooter>&amp;CPágina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G192"/>
  <sheetViews>
    <sheetView zoomScale="80" zoomScaleNormal="80" workbookViewId="0">
      <pane xSplit="2" ySplit="10" topLeftCell="C62" activePane="bottomRight" state="frozen"/>
      <selection pane="topRight"/>
      <selection pane="bottomLeft"/>
      <selection pane="bottomRight" activeCell="F90" sqref="F90"/>
    </sheetView>
  </sheetViews>
  <sheetFormatPr defaultRowHeight="14.25" x14ac:dyDescent="0.2"/>
  <cols>
    <col min="1" max="1" width="58.125" style="84"/>
    <col min="2" max="2" width="15.375" style="84"/>
    <col min="3" max="5" width="14.5" style="84"/>
    <col min="6" max="6" width="15.75" style="84"/>
    <col min="7" max="7" width="13" style="84"/>
    <col min="8" max="8" width="15.625" style="84"/>
    <col min="9" max="9" width="10.5" style="84"/>
    <col min="10" max="10" width="15.125" style="84"/>
    <col min="11" max="11" width="10.5" style="84"/>
    <col min="12" max="12" width="14.25" style="84"/>
    <col min="13" max="1021" width="10.5" style="84"/>
    <col min="1022" max="1025" width="10.5"/>
  </cols>
  <sheetData>
    <row r="1" spans="1:6" ht="15.75" x14ac:dyDescent="0.2">
      <c r="A1" s="1013" t="s">
        <v>452</v>
      </c>
      <c r="B1" s="1013"/>
      <c r="C1" s="1013"/>
      <c r="D1" s="1013"/>
      <c r="E1" s="1013"/>
      <c r="F1" s="1013"/>
    </row>
    <row r="2" spans="1:6" ht="15.75" x14ac:dyDescent="0.2">
      <c r="A2" s="1014" t="s">
        <v>453</v>
      </c>
      <c r="B2" s="1014"/>
      <c r="C2" s="1014"/>
      <c r="D2" s="1014"/>
      <c r="E2" s="1014"/>
      <c r="F2" s="1014"/>
    </row>
    <row r="3" spans="1:6" ht="15.75" customHeight="1" x14ac:dyDescent="0.2">
      <c r="A3" s="1014" t="s">
        <v>454</v>
      </c>
      <c r="B3" s="1014"/>
      <c r="C3" s="1014"/>
      <c r="D3" s="1014"/>
      <c r="E3" s="1014"/>
      <c r="F3" s="1014"/>
    </row>
    <row r="4" spans="1:6" ht="15.75" x14ac:dyDescent="0.2">
      <c r="A4" s="85"/>
      <c r="B4" s="86"/>
      <c r="C4" s="87" t="s">
        <v>455</v>
      </c>
      <c r="D4" s="236" t="s">
        <v>456</v>
      </c>
      <c r="E4" s="237" t="s">
        <v>457</v>
      </c>
      <c r="F4" s="237" t="s">
        <v>458</v>
      </c>
    </row>
    <row r="5" spans="1:6" x14ac:dyDescent="0.2">
      <c r="A5" s="88"/>
      <c r="B5" s="89" t="s">
        <v>459</v>
      </c>
      <c r="C5" s="90">
        <f>MC!D11</f>
        <v>1315.3636363636363</v>
      </c>
      <c r="D5" s="238">
        <f>MC!E11</f>
        <v>986.52272727272725</v>
      </c>
      <c r="E5" s="239">
        <f>MC!C11</f>
        <v>1446.9</v>
      </c>
      <c r="F5" s="239">
        <f>MC!D12</f>
        <v>1712.2181818181818</v>
      </c>
    </row>
    <row r="6" spans="1:6" x14ac:dyDescent="0.2">
      <c r="A6" s="88"/>
      <c r="B6" s="89" t="s">
        <v>460</v>
      </c>
      <c r="C6" s="91">
        <f>MC!D8</f>
        <v>44593</v>
      </c>
      <c r="D6" s="240">
        <f>MC!D8</f>
        <v>44593</v>
      </c>
      <c r="E6" s="241">
        <f>MC!D8</f>
        <v>44593</v>
      </c>
      <c r="F6" s="241">
        <f>MC!D8</f>
        <v>44593</v>
      </c>
    </row>
    <row r="7" spans="1:6" x14ac:dyDescent="0.2">
      <c r="A7" s="88"/>
      <c r="B7" s="89" t="s">
        <v>461</v>
      </c>
      <c r="C7" s="91" t="str">
        <f>MC!C8</f>
        <v>PR000321/2022</v>
      </c>
      <c r="D7" s="240" t="str">
        <f>MC!C8</f>
        <v>PR000321/2022</v>
      </c>
      <c r="E7" s="241" t="str">
        <f>MC!C8</f>
        <v>PR000321/2022</v>
      </c>
      <c r="F7" s="241" t="str">
        <f>MC!C8</f>
        <v>PR000321/2022</v>
      </c>
    </row>
    <row r="8" spans="1:6" x14ac:dyDescent="0.2">
      <c r="A8" s="88"/>
      <c r="B8" s="89" t="s">
        <v>462</v>
      </c>
      <c r="C8" s="92" t="str">
        <f>MC!E8</f>
        <v>5143-20</v>
      </c>
      <c r="D8" s="242" t="str">
        <f>MC!E8</f>
        <v>5143-20</v>
      </c>
      <c r="E8" s="243" t="str">
        <f>MC!E8</f>
        <v>5143-20</v>
      </c>
      <c r="F8" s="243" t="str">
        <f>MC!E8</f>
        <v>5143-20</v>
      </c>
    </row>
    <row r="9" spans="1:6" x14ac:dyDescent="0.2">
      <c r="A9" s="1015"/>
      <c r="B9" s="1015"/>
      <c r="C9" s="1015"/>
      <c r="D9" s="1015"/>
      <c r="E9" s="1015"/>
      <c r="F9" s="1015"/>
    </row>
    <row r="10" spans="1:6" ht="66.75" customHeight="1" x14ac:dyDescent="0.2">
      <c r="A10" s="244" t="s">
        <v>463</v>
      </c>
      <c r="B10" s="245" t="s">
        <v>464</v>
      </c>
      <c r="C10" s="245" t="s">
        <v>465</v>
      </c>
      <c r="D10" s="322" t="s">
        <v>466</v>
      </c>
      <c r="E10" s="245" t="s">
        <v>467</v>
      </c>
      <c r="F10" s="245" t="s">
        <v>468</v>
      </c>
    </row>
    <row r="11" spans="1:6" ht="14.25" customHeight="1" x14ac:dyDescent="0.2">
      <c r="A11" s="395" t="s">
        <v>469</v>
      </c>
      <c r="B11" s="395"/>
      <c r="C11" s="395"/>
      <c r="D11" s="395"/>
      <c r="E11" s="395"/>
      <c r="F11" s="395"/>
    </row>
    <row r="12" spans="1:6" ht="15.75" customHeight="1" x14ac:dyDescent="0.2">
      <c r="A12" s="93" t="s">
        <v>470</v>
      </c>
      <c r="B12" s="94" t="s">
        <v>471</v>
      </c>
      <c r="C12" s="94" t="s">
        <v>472</v>
      </c>
      <c r="D12" s="94" t="s">
        <v>472</v>
      </c>
      <c r="E12" s="246"/>
      <c r="F12" s="95" t="s">
        <v>472</v>
      </c>
    </row>
    <row r="13" spans="1:6" ht="15.75" customHeight="1" x14ac:dyDescent="0.2">
      <c r="A13" s="96" t="s">
        <v>473</v>
      </c>
      <c r="B13" s="97"/>
      <c r="C13" s="98">
        <f>C5</f>
        <v>1315.3636363636363</v>
      </c>
      <c r="D13" s="247">
        <f>D5</f>
        <v>986.52272727272725</v>
      </c>
      <c r="E13" s="247">
        <f>E5</f>
        <v>1446.9</v>
      </c>
      <c r="F13" s="99">
        <f>F5</f>
        <v>1712.2181818181818</v>
      </c>
    </row>
    <row r="14" spans="1:6" ht="15.75" customHeight="1" x14ac:dyDescent="0.2">
      <c r="A14" s="96" t="s">
        <v>474</v>
      </c>
      <c r="B14" s="100">
        <v>0</v>
      </c>
      <c r="C14" s="98">
        <f>C13*$B$14</f>
        <v>0</v>
      </c>
      <c r="D14" s="98">
        <f>D13*$B$14</f>
        <v>0</v>
      </c>
      <c r="E14" s="98">
        <f>E13*$B$14</f>
        <v>0</v>
      </c>
      <c r="F14" s="99">
        <f>F13*$B$14</f>
        <v>0</v>
      </c>
    </row>
    <row r="15" spans="1:6" ht="15.75" customHeight="1" x14ac:dyDescent="0.2">
      <c r="A15" s="96" t="s">
        <v>475</v>
      </c>
      <c r="B15" s="101"/>
      <c r="C15" s="98"/>
      <c r="D15" s="247"/>
      <c r="E15" s="247"/>
      <c r="F15" s="99"/>
    </row>
    <row r="16" spans="1:6" ht="15.75" customHeight="1" x14ac:dyDescent="0.2">
      <c r="A16" s="96" t="s">
        <v>476</v>
      </c>
      <c r="B16" s="101"/>
      <c r="C16" s="98"/>
      <c r="D16" s="247"/>
      <c r="E16" s="247"/>
      <c r="F16" s="99"/>
    </row>
    <row r="17" spans="1:6" ht="15.75" customHeight="1" x14ac:dyDescent="0.2">
      <c r="A17" s="96" t="s">
        <v>477</v>
      </c>
      <c r="B17" s="101"/>
      <c r="C17" s="98"/>
      <c r="D17" s="247"/>
      <c r="E17" s="247"/>
      <c r="F17" s="99"/>
    </row>
    <row r="18" spans="1:6" ht="15.75" customHeight="1" x14ac:dyDescent="0.2">
      <c r="A18" s="96" t="s">
        <v>478</v>
      </c>
      <c r="B18" s="102"/>
      <c r="C18" s="98"/>
      <c r="D18" s="98"/>
      <c r="E18" s="247">
        <f>MC!C13</f>
        <v>33.9</v>
      </c>
      <c r="F18" s="99"/>
    </row>
    <row r="19" spans="1:6" ht="15.75" customHeight="1" x14ac:dyDescent="0.2">
      <c r="A19" s="103" t="s">
        <v>479</v>
      </c>
      <c r="B19" s="104"/>
      <c r="C19" s="113">
        <f>SUM(C13:C18)</f>
        <v>1315.3636363636363</v>
      </c>
      <c r="D19" s="248">
        <f>SUM(D13:D18)</f>
        <v>986.52272727272725</v>
      </c>
      <c r="E19" s="248">
        <f>SUM(E13:E18)</f>
        <v>1480.8000000000002</v>
      </c>
      <c r="F19" s="114">
        <f>SUM(F13:F18)</f>
        <v>1712.2181818181818</v>
      </c>
    </row>
    <row r="20" spans="1:6" ht="15.75" customHeight="1" x14ac:dyDescent="0.2">
      <c r="A20" s="1007"/>
      <c r="B20" s="1007"/>
      <c r="C20" s="106"/>
      <c r="D20" s="249"/>
      <c r="E20" s="249"/>
      <c r="F20" s="107"/>
    </row>
    <row r="21" spans="1:6" ht="14.25" customHeight="1" x14ac:dyDescent="0.2">
      <c r="A21" s="1012" t="s">
        <v>480</v>
      </c>
      <c r="B21" s="1012"/>
      <c r="C21" s="1012"/>
      <c r="D21" s="1012"/>
      <c r="E21" s="1012"/>
      <c r="F21" s="1012"/>
    </row>
    <row r="22" spans="1:6" ht="28.35" customHeight="1" x14ac:dyDescent="0.2">
      <c r="A22" s="108" t="s">
        <v>481</v>
      </c>
      <c r="B22" s="109" t="s">
        <v>471</v>
      </c>
      <c r="C22" s="109" t="s">
        <v>472</v>
      </c>
      <c r="D22" s="109" t="s">
        <v>472</v>
      </c>
      <c r="E22" s="109" t="s">
        <v>472</v>
      </c>
      <c r="F22" s="110" t="s">
        <v>472</v>
      </c>
    </row>
    <row r="23" spans="1:6" ht="15.75" customHeight="1" x14ac:dyDescent="0.2">
      <c r="A23" s="111" t="s">
        <v>482</v>
      </c>
      <c r="B23" s="100">
        <f>1/12</f>
        <v>8.3333333333333329E-2</v>
      </c>
      <c r="C23" s="98">
        <f>ROUND($B23*C$19,2)</f>
        <v>109.61</v>
      </c>
      <c r="D23" s="98">
        <f>ROUND($B23*D$19,2)</f>
        <v>82.21</v>
      </c>
      <c r="E23" s="98">
        <f>ROUND($B23*E$19,2)</f>
        <v>123.4</v>
      </c>
      <c r="F23" s="99">
        <f>ROUND($B23*F$19,2)</f>
        <v>142.68</v>
      </c>
    </row>
    <row r="24" spans="1:6" x14ac:dyDescent="0.2">
      <c r="A24" s="111" t="s">
        <v>483</v>
      </c>
      <c r="B24" s="100">
        <f>1/3*1/12</f>
        <v>2.7777777777777776E-2</v>
      </c>
      <c r="C24" s="98">
        <f>C$19*$B$24</f>
        <v>36.537878787878782</v>
      </c>
      <c r="D24" s="98">
        <f>D$19*$B$24</f>
        <v>27.40340909090909</v>
      </c>
      <c r="E24" s="98">
        <f>E$19*$B$24</f>
        <v>41.133333333333333</v>
      </c>
      <c r="F24" s="99">
        <f>F$19*$B$24</f>
        <v>47.561616161616158</v>
      </c>
    </row>
    <row r="25" spans="1:6" ht="14.25" customHeight="1" x14ac:dyDescent="0.2">
      <c r="A25" s="103" t="s">
        <v>479</v>
      </c>
      <c r="B25" s="112">
        <f>SUM(B23:B24)</f>
        <v>0.1111111111111111</v>
      </c>
      <c r="C25" s="113">
        <f>SUM(C23:C24)</f>
        <v>146.14787878787877</v>
      </c>
      <c r="D25" s="113">
        <f>SUM(D23:D24)</f>
        <v>109.61340909090909</v>
      </c>
      <c r="E25" s="113">
        <f>SUM(E23:E24)</f>
        <v>164.53333333333333</v>
      </c>
      <c r="F25" s="114">
        <f>SUM(F23:F24)</f>
        <v>190.24161616161615</v>
      </c>
    </row>
    <row r="26" spans="1:6" x14ac:dyDescent="0.2">
      <c r="A26" s="108" t="s">
        <v>484</v>
      </c>
      <c r="B26" s="109" t="s">
        <v>471</v>
      </c>
      <c r="C26" s="109" t="s">
        <v>472</v>
      </c>
      <c r="D26" s="109" t="s">
        <v>472</v>
      </c>
      <c r="E26" s="109" t="s">
        <v>472</v>
      </c>
      <c r="F26" s="110" t="s">
        <v>472</v>
      </c>
    </row>
    <row r="27" spans="1:6" ht="15.75" customHeight="1" x14ac:dyDescent="0.2">
      <c r="A27" s="108" t="s">
        <v>485</v>
      </c>
      <c r="B27" s="115"/>
      <c r="C27" s="115"/>
      <c r="D27" s="115"/>
      <c r="E27" s="250"/>
      <c r="F27" s="116"/>
    </row>
    <row r="28" spans="1:6" ht="14.25" customHeight="1" x14ac:dyDescent="0.2">
      <c r="A28" s="111" t="s">
        <v>486</v>
      </c>
      <c r="B28" s="100">
        <v>0.2</v>
      </c>
      <c r="C28" s="117">
        <f t="shared" ref="C28:C35" si="0">ROUND(($C$19+$C$25)*B28,2)</f>
        <v>292.3</v>
      </c>
      <c r="D28" s="117">
        <f t="shared" ref="D28:D35" si="1">ROUND(($D$19+$D$25)*B28,2)</f>
        <v>219.23</v>
      </c>
      <c r="E28" s="117">
        <f t="shared" ref="E28:E35" si="2">ROUND(($E$19+$E$25)*B28,2)</f>
        <v>329.07</v>
      </c>
      <c r="F28" s="118">
        <f t="shared" ref="F28:F35" si="3">ROUND(($F$19+$F$25)*B28,2)</f>
        <v>380.49</v>
      </c>
    </row>
    <row r="29" spans="1:6" ht="15.75" customHeight="1" x14ac:dyDescent="0.2">
      <c r="A29" s="111" t="s">
        <v>487</v>
      </c>
      <c r="B29" s="100">
        <v>2.5000000000000001E-2</v>
      </c>
      <c r="C29" s="117">
        <f t="shared" si="0"/>
        <v>36.54</v>
      </c>
      <c r="D29" s="117">
        <f t="shared" si="1"/>
        <v>27.4</v>
      </c>
      <c r="E29" s="117">
        <f t="shared" si="2"/>
        <v>41.13</v>
      </c>
      <c r="F29" s="118">
        <f t="shared" si="3"/>
        <v>47.56</v>
      </c>
    </row>
    <row r="30" spans="1:6" ht="15.75" customHeight="1" x14ac:dyDescent="0.2">
      <c r="A30" s="111" t="s">
        <v>488</v>
      </c>
      <c r="B30" s="100">
        <v>0.03</v>
      </c>
      <c r="C30" s="117">
        <f t="shared" si="0"/>
        <v>43.85</v>
      </c>
      <c r="D30" s="117">
        <f t="shared" si="1"/>
        <v>32.880000000000003</v>
      </c>
      <c r="E30" s="117">
        <f t="shared" si="2"/>
        <v>49.36</v>
      </c>
      <c r="F30" s="118">
        <f t="shared" si="3"/>
        <v>57.07</v>
      </c>
    </row>
    <row r="31" spans="1:6" ht="15.75" customHeight="1" x14ac:dyDescent="0.2">
      <c r="A31" s="111" t="s">
        <v>489</v>
      </c>
      <c r="B31" s="100">
        <v>1.4999999999999999E-2</v>
      </c>
      <c r="C31" s="117">
        <f t="shared" si="0"/>
        <v>21.92</v>
      </c>
      <c r="D31" s="117">
        <f t="shared" si="1"/>
        <v>16.440000000000001</v>
      </c>
      <c r="E31" s="117">
        <f t="shared" si="2"/>
        <v>24.68</v>
      </c>
      <c r="F31" s="118">
        <f t="shared" si="3"/>
        <v>28.54</v>
      </c>
    </row>
    <row r="32" spans="1:6" ht="15.75" customHeight="1" x14ac:dyDescent="0.2">
      <c r="A32" s="111" t="s">
        <v>490</v>
      </c>
      <c r="B32" s="100">
        <v>0.01</v>
      </c>
      <c r="C32" s="117">
        <f t="shared" si="0"/>
        <v>14.62</v>
      </c>
      <c r="D32" s="117">
        <f t="shared" si="1"/>
        <v>10.96</v>
      </c>
      <c r="E32" s="117">
        <f t="shared" si="2"/>
        <v>16.45</v>
      </c>
      <c r="F32" s="118">
        <f t="shared" si="3"/>
        <v>19.02</v>
      </c>
    </row>
    <row r="33" spans="1:6" ht="15.75" customHeight="1" x14ac:dyDescent="0.2">
      <c r="A33" s="111" t="s">
        <v>491</v>
      </c>
      <c r="B33" s="100">
        <v>6.0000000000000001E-3</v>
      </c>
      <c r="C33" s="117">
        <f t="shared" si="0"/>
        <v>8.77</v>
      </c>
      <c r="D33" s="117">
        <f t="shared" si="1"/>
        <v>6.58</v>
      </c>
      <c r="E33" s="117">
        <f t="shared" si="2"/>
        <v>9.8699999999999992</v>
      </c>
      <c r="F33" s="118">
        <f t="shared" si="3"/>
        <v>11.41</v>
      </c>
    </row>
    <row r="34" spans="1:6" ht="15.75" customHeight="1" x14ac:dyDescent="0.2">
      <c r="A34" s="111" t="s">
        <v>492</v>
      </c>
      <c r="B34" s="100">
        <v>2E-3</v>
      </c>
      <c r="C34" s="117">
        <f t="shared" si="0"/>
        <v>2.92</v>
      </c>
      <c r="D34" s="117">
        <f t="shared" si="1"/>
        <v>2.19</v>
      </c>
      <c r="E34" s="117">
        <f t="shared" si="2"/>
        <v>3.29</v>
      </c>
      <c r="F34" s="118">
        <f t="shared" si="3"/>
        <v>3.8</v>
      </c>
    </row>
    <row r="35" spans="1:6" ht="15.75" customHeight="1" x14ac:dyDescent="0.2">
      <c r="A35" s="111" t="s">
        <v>493</v>
      </c>
      <c r="B35" s="100">
        <v>0.08</v>
      </c>
      <c r="C35" s="117">
        <f t="shared" si="0"/>
        <v>116.92</v>
      </c>
      <c r="D35" s="117">
        <f t="shared" si="1"/>
        <v>87.69</v>
      </c>
      <c r="E35" s="117">
        <f t="shared" si="2"/>
        <v>131.63</v>
      </c>
      <c r="F35" s="118">
        <f t="shared" si="3"/>
        <v>152.19999999999999</v>
      </c>
    </row>
    <row r="36" spans="1:6" ht="15.75" customHeight="1" x14ac:dyDescent="0.2">
      <c r="A36" s="103" t="s">
        <v>479</v>
      </c>
      <c r="B36" s="112">
        <f>SUM(B28:B35)</f>
        <v>0.36800000000000005</v>
      </c>
      <c r="C36" s="113">
        <f>SUM(C27:C35)</f>
        <v>537.84</v>
      </c>
      <c r="D36" s="113">
        <f>SUM(D27:D35)</f>
        <v>403.36999999999995</v>
      </c>
      <c r="E36" s="248">
        <f>SUM(E28:E35)</f>
        <v>605.48</v>
      </c>
      <c r="F36" s="114">
        <f>SUM(F27:F35)</f>
        <v>700.08999999999992</v>
      </c>
    </row>
    <row r="37" spans="1:6" ht="15.75" customHeight="1" x14ac:dyDescent="0.2">
      <c r="A37" s="108" t="s">
        <v>494</v>
      </c>
      <c r="B37" s="109" t="s">
        <v>495</v>
      </c>
      <c r="C37" s="109" t="s">
        <v>472</v>
      </c>
      <c r="D37" s="109" t="s">
        <v>472</v>
      </c>
      <c r="E37" s="109" t="s">
        <v>472</v>
      </c>
      <c r="F37" s="110" t="s">
        <v>472</v>
      </c>
    </row>
    <row r="38" spans="1:6" ht="15.75" customHeight="1" x14ac:dyDescent="0.2">
      <c r="A38" s="111" t="s">
        <v>496</v>
      </c>
      <c r="B38" s="119">
        <f>MC!D88</f>
        <v>3.5779487179487179</v>
      </c>
      <c r="C38" s="98">
        <f>ROUND(((2*22*$B$38)-0.06*C$13),2)</f>
        <v>78.510000000000005</v>
      </c>
      <c r="D38" s="98">
        <f>ROUND(((2*22*$B$38)-0.06*D$13),2)</f>
        <v>98.24</v>
      </c>
      <c r="E38" s="98">
        <f>ROUND(((2*22*$B$38)-0.06*E$13),2)</f>
        <v>70.62</v>
      </c>
      <c r="F38" s="98">
        <f>ROUND(((2*22*$B$38)-0.06*F$13),2)</f>
        <v>54.7</v>
      </c>
    </row>
    <row r="39" spans="1:6" ht="15.75" customHeight="1" x14ac:dyDescent="0.2">
      <c r="A39" s="111" t="s">
        <v>497</v>
      </c>
      <c r="B39" s="120"/>
      <c r="C39" s="117">
        <f>MC!E16</f>
        <v>400.68</v>
      </c>
      <c r="D39" s="117">
        <f>MC!E17</f>
        <v>400.68</v>
      </c>
      <c r="E39" s="117">
        <f>MC!E16</f>
        <v>400.68</v>
      </c>
      <c r="F39" s="117">
        <f>MC!E16</f>
        <v>400.68</v>
      </c>
    </row>
    <row r="40" spans="1:6" ht="15.75" customHeight="1" x14ac:dyDescent="0.2">
      <c r="A40" s="111" t="s">
        <v>498</v>
      </c>
      <c r="B40" s="100">
        <f>MC!C21</f>
        <v>1.4999999999999999E-2</v>
      </c>
      <c r="C40" s="117"/>
      <c r="D40" s="117"/>
      <c r="E40" s="117">
        <f>MC!E21</f>
        <v>477.47700000000003</v>
      </c>
      <c r="F40" s="117"/>
    </row>
    <row r="41" spans="1:6" ht="15.75" customHeight="1" x14ac:dyDescent="0.2">
      <c r="A41" s="111" t="s">
        <v>499</v>
      </c>
      <c r="B41" s="121">
        <f>MC!E23</f>
        <v>71.5</v>
      </c>
      <c r="C41" s="117">
        <f>B41</f>
        <v>71.5</v>
      </c>
      <c r="D41" s="117">
        <f>B41</f>
        <v>71.5</v>
      </c>
      <c r="E41" s="251">
        <f>B41</f>
        <v>71.5</v>
      </c>
      <c r="F41" s="118">
        <f>B41</f>
        <v>71.5</v>
      </c>
    </row>
    <row r="42" spans="1:6" ht="15.75" customHeight="1" x14ac:dyDescent="0.2">
      <c r="A42" s="111" t="s">
        <v>500</v>
      </c>
      <c r="B42" s="121">
        <f>MC!E24</f>
        <v>23.5</v>
      </c>
      <c r="C42" s="117">
        <f>B42</f>
        <v>23.5</v>
      </c>
      <c r="D42" s="117">
        <f>B42</f>
        <v>23.5</v>
      </c>
      <c r="E42" s="251">
        <f>B42</f>
        <v>23.5</v>
      </c>
      <c r="F42" s="118">
        <f>B42</f>
        <v>23.5</v>
      </c>
    </row>
    <row r="43" spans="1:6" ht="15.75" customHeight="1" x14ac:dyDescent="0.2">
      <c r="A43" s="111" t="s">
        <v>501</v>
      </c>
      <c r="B43" s="100"/>
      <c r="C43" s="117"/>
      <c r="D43" s="117"/>
      <c r="E43" s="251"/>
      <c r="F43" s="118"/>
    </row>
    <row r="44" spans="1:6" ht="15.75" customHeight="1" x14ac:dyDescent="0.2">
      <c r="A44" s="103" t="s">
        <v>479</v>
      </c>
      <c r="B44" s="104"/>
      <c r="C44" s="113">
        <f>SUM(C38:C43)</f>
        <v>574.19000000000005</v>
      </c>
      <c r="D44" s="113">
        <f>SUM(D38:D43)</f>
        <v>593.92000000000007</v>
      </c>
      <c r="E44" s="248">
        <f>SUM(E38:E43)</f>
        <v>1043.777</v>
      </c>
      <c r="F44" s="114">
        <f>SUM(F38:F43)</f>
        <v>550.38</v>
      </c>
    </row>
    <row r="45" spans="1:6" x14ac:dyDescent="0.2">
      <c r="A45" s="93" t="s">
        <v>502</v>
      </c>
      <c r="B45" s="94" t="s">
        <v>471</v>
      </c>
      <c r="C45" s="94" t="s">
        <v>472</v>
      </c>
      <c r="D45" s="94" t="s">
        <v>472</v>
      </c>
      <c r="E45" s="94" t="s">
        <v>472</v>
      </c>
      <c r="F45" s="95" t="s">
        <v>472</v>
      </c>
    </row>
    <row r="46" spans="1:6" ht="15.75" customHeight="1" x14ac:dyDescent="0.2">
      <c r="A46" s="111" t="s">
        <v>481</v>
      </c>
      <c r="B46" s="122">
        <f>B25</f>
        <v>0.1111111111111111</v>
      </c>
      <c r="C46" s="123">
        <f>C25</f>
        <v>146.14787878787877</v>
      </c>
      <c r="D46" s="123">
        <f>D25</f>
        <v>109.61340909090909</v>
      </c>
      <c r="E46" s="123">
        <f>E25</f>
        <v>164.53333333333333</v>
      </c>
      <c r="F46" s="124">
        <f>F25</f>
        <v>190.24161616161615</v>
      </c>
    </row>
    <row r="47" spans="1:6" ht="15.75" customHeight="1" x14ac:dyDescent="0.2">
      <c r="A47" s="111" t="s">
        <v>503</v>
      </c>
      <c r="B47" s="122">
        <f>B36</f>
        <v>0.36800000000000005</v>
      </c>
      <c r="C47" s="123">
        <f>C36</f>
        <v>537.84</v>
      </c>
      <c r="D47" s="123">
        <f>D36</f>
        <v>403.36999999999995</v>
      </c>
      <c r="E47" s="123">
        <f>E36</f>
        <v>605.48</v>
      </c>
      <c r="F47" s="124">
        <f>F36</f>
        <v>700.08999999999992</v>
      </c>
    </row>
    <row r="48" spans="1:6" ht="15.75" customHeight="1" x14ac:dyDescent="0.2">
      <c r="A48" s="111" t="s">
        <v>494</v>
      </c>
      <c r="B48" s="122"/>
      <c r="C48" s="123">
        <f>C44</f>
        <v>574.19000000000005</v>
      </c>
      <c r="D48" s="123">
        <f>D44</f>
        <v>593.92000000000007</v>
      </c>
      <c r="E48" s="123">
        <f>E44</f>
        <v>1043.777</v>
      </c>
      <c r="F48" s="124">
        <f>F44</f>
        <v>550.38</v>
      </c>
    </row>
    <row r="49" spans="1:6" ht="15.75" customHeight="1" x14ac:dyDescent="0.2">
      <c r="A49" s="103" t="s">
        <v>479</v>
      </c>
      <c r="B49" s="104"/>
      <c r="C49" s="113">
        <f>SUM(C46:C48)</f>
        <v>1258.1778787878789</v>
      </c>
      <c r="D49" s="113">
        <f>SUM(D46:D48)</f>
        <v>1106.903409090909</v>
      </c>
      <c r="E49" s="248">
        <f>SUM(E46:E48)</f>
        <v>1813.7903333333334</v>
      </c>
      <c r="F49" s="114">
        <f>SUM(F46:F48)</f>
        <v>1440.7116161616159</v>
      </c>
    </row>
    <row r="50" spans="1:6" ht="14.25" customHeight="1" x14ac:dyDescent="0.2">
      <c r="A50" s="1007"/>
      <c r="B50" s="1007"/>
      <c r="C50" s="106"/>
      <c r="D50" s="107"/>
      <c r="E50" s="107"/>
      <c r="F50" s="107"/>
    </row>
    <row r="51" spans="1:6" s="125" customFormat="1" ht="12.75" customHeight="1" x14ac:dyDescent="0.2">
      <c r="A51" s="1012" t="s">
        <v>504</v>
      </c>
      <c r="B51" s="1012"/>
      <c r="C51" s="1012"/>
      <c r="D51" s="1012"/>
      <c r="E51" s="1012"/>
      <c r="F51" s="1012"/>
    </row>
    <row r="52" spans="1:6" ht="15.75" customHeight="1" x14ac:dyDescent="0.2">
      <c r="A52" s="93" t="s">
        <v>505</v>
      </c>
      <c r="B52" s="94" t="s">
        <v>471</v>
      </c>
      <c r="C52" s="94" t="s">
        <v>472</v>
      </c>
      <c r="D52" s="94" t="s">
        <v>472</v>
      </c>
      <c r="E52" s="94" t="s">
        <v>472</v>
      </c>
      <c r="F52" s="95" t="s">
        <v>472</v>
      </c>
    </row>
    <row r="53" spans="1:6" ht="15.75" customHeight="1" x14ac:dyDescent="0.2">
      <c r="A53" s="108" t="s">
        <v>506</v>
      </c>
      <c r="B53" s="126"/>
      <c r="C53" s="126"/>
      <c r="D53" s="126"/>
      <c r="E53" s="252"/>
      <c r="F53" s="127"/>
    </row>
    <row r="54" spans="1:6" ht="15.75" customHeight="1" x14ac:dyDescent="0.2">
      <c r="A54" s="111" t="s">
        <v>507</v>
      </c>
      <c r="B54" s="122">
        <f>1/12*0.05</f>
        <v>4.1666666666666666E-3</v>
      </c>
      <c r="C54" s="128">
        <f>C19*$B54</f>
        <v>5.480681818181818</v>
      </c>
      <c r="D54" s="128">
        <f t="shared" ref="D54:F54" si="4">D19*$B54</f>
        <v>4.1105113636363635</v>
      </c>
      <c r="E54" s="128">
        <f t="shared" si="4"/>
        <v>6.1700000000000008</v>
      </c>
      <c r="F54" s="128">
        <f t="shared" si="4"/>
        <v>7.1342424242424238</v>
      </c>
    </row>
    <row r="55" spans="1:6" x14ac:dyDescent="0.2">
      <c r="A55" s="111" t="s">
        <v>508</v>
      </c>
      <c r="B55" s="122">
        <f>B35*B54</f>
        <v>3.3333333333333332E-4</v>
      </c>
      <c r="C55" s="128">
        <f>$B$55*C19</f>
        <v>0.43845454545454543</v>
      </c>
      <c r="D55" s="128">
        <f t="shared" ref="D55:F55" si="5">$B$55*D19</f>
        <v>0.32884090909090907</v>
      </c>
      <c r="E55" s="128">
        <f t="shared" si="5"/>
        <v>0.49360000000000004</v>
      </c>
      <c r="F55" s="128">
        <f t="shared" si="5"/>
        <v>0.57073939393939388</v>
      </c>
    </row>
    <row r="56" spans="1:6" x14ac:dyDescent="0.2">
      <c r="A56" s="111" t="s">
        <v>509</v>
      </c>
      <c r="B56" s="122">
        <v>0</v>
      </c>
      <c r="C56" s="128">
        <f>C35*$B56</f>
        <v>0</v>
      </c>
      <c r="D56" s="128">
        <f t="shared" ref="D56:F56" si="6">D35*$B56</f>
        <v>0</v>
      </c>
      <c r="E56" s="128">
        <f t="shared" si="6"/>
        <v>0</v>
      </c>
      <c r="F56" s="128">
        <f t="shared" si="6"/>
        <v>0</v>
      </c>
    </row>
    <row r="57" spans="1:6" x14ac:dyDescent="0.2">
      <c r="A57" s="111" t="s">
        <v>510</v>
      </c>
      <c r="B57" s="122">
        <f>1/12*1/30*7</f>
        <v>1.9444444444444441E-2</v>
      </c>
      <c r="C57" s="123">
        <f>C19*$B57</f>
        <v>25.576515151515146</v>
      </c>
      <c r="D57" s="123">
        <f t="shared" ref="D57:F57" si="7">D19*$B57</f>
        <v>19.182386363636361</v>
      </c>
      <c r="E57" s="123">
        <f t="shared" si="7"/>
        <v>28.793333333333333</v>
      </c>
      <c r="F57" s="123">
        <f t="shared" si="7"/>
        <v>33.293131313131312</v>
      </c>
    </row>
    <row r="58" spans="1:6" x14ac:dyDescent="0.2">
      <c r="A58" s="111" t="s">
        <v>511</v>
      </c>
      <c r="B58" s="122">
        <f>B36*B57</f>
        <v>7.1555555555555556E-3</v>
      </c>
      <c r="C58" s="123">
        <f>$B58*C19</f>
        <v>9.4121575757575755</v>
      </c>
      <c r="D58" s="123">
        <f t="shared" ref="D58:F58" si="8">$B58*D19</f>
        <v>7.0591181818181816</v>
      </c>
      <c r="E58" s="123">
        <f t="shared" si="8"/>
        <v>10.595946666666668</v>
      </c>
      <c r="F58" s="123">
        <f t="shared" si="8"/>
        <v>12.251872323232323</v>
      </c>
    </row>
    <row r="59" spans="1:6" x14ac:dyDescent="0.2">
      <c r="A59" s="111" t="s">
        <v>512</v>
      </c>
      <c r="B59" s="122">
        <f>B35*40/100*90/100*(1+1/12+1/12+1/3*1/12)</f>
        <v>3.4399999999999993E-2</v>
      </c>
      <c r="C59" s="123">
        <f>C19*$B59</f>
        <v>45.248509090909081</v>
      </c>
      <c r="D59" s="123">
        <f t="shared" ref="D59:F59" si="9">D19*$B59</f>
        <v>33.936381818181808</v>
      </c>
      <c r="E59" s="123">
        <f t="shared" si="9"/>
        <v>50.939519999999995</v>
      </c>
      <c r="F59" s="123">
        <f t="shared" si="9"/>
        <v>58.900305454545446</v>
      </c>
    </row>
    <row r="60" spans="1:6" ht="14.25" customHeight="1" x14ac:dyDescent="0.2">
      <c r="A60" s="103" t="s">
        <v>479</v>
      </c>
      <c r="B60" s="112">
        <f>SUM(B54:B59)</f>
        <v>6.5499999999999989E-2</v>
      </c>
      <c r="C60" s="129">
        <f>SUM(C54:C59)</f>
        <v>86.156318181818165</v>
      </c>
      <c r="D60" s="129">
        <f>SUM(D54:D59)</f>
        <v>64.617238636363624</v>
      </c>
      <c r="E60" s="253">
        <f>SUM(E54:E59)</f>
        <v>96.992400000000004</v>
      </c>
      <c r="F60" s="130">
        <f>SUM(F54:F59)</f>
        <v>112.1502909090909</v>
      </c>
    </row>
    <row r="61" spans="1:6" ht="14.25" customHeight="1" x14ac:dyDescent="0.2">
      <c r="A61" s="1007"/>
      <c r="B61" s="1007"/>
      <c r="C61" s="396"/>
      <c r="D61" s="396"/>
      <c r="E61" s="397"/>
      <c r="F61" s="398"/>
    </row>
    <row r="62" spans="1:6" ht="15.75" customHeight="1" x14ac:dyDescent="0.2">
      <c r="A62" s="1012" t="s">
        <v>513</v>
      </c>
      <c r="B62" s="1012"/>
      <c r="C62" s="1012"/>
      <c r="D62" s="1012"/>
      <c r="E62" s="1012"/>
      <c r="F62" s="1012"/>
    </row>
    <row r="63" spans="1:6" ht="14.25" customHeight="1" x14ac:dyDescent="0.2">
      <c r="A63" s="108" t="s">
        <v>41</v>
      </c>
      <c r="B63" s="109"/>
      <c r="C63" s="109"/>
      <c r="D63" s="109"/>
      <c r="E63" s="254"/>
      <c r="F63" s="110"/>
    </row>
    <row r="64" spans="1:6" ht="14.25" customHeight="1" x14ac:dyDescent="0.2">
      <c r="A64" s="111" t="s">
        <v>42</v>
      </c>
      <c r="B64" s="100">
        <f>1/12</f>
        <v>8.3333333333333329E-2</v>
      </c>
      <c r="C64" s="117">
        <f>B64*($C$19+$C$49+$C$60)</f>
        <v>221.64148611111113</v>
      </c>
      <c r="D64" s="117">
        <f>B64*($D$19+$D$49+$D$60)</f>
        <v>179.83694791666665</v>
      </c>
      <c r="E64" s="251">
        <f>B64*($E$19+$E$49+$E$60)</f>
        <v>282.63189444444447</v>
      </c>
      <c r="F64" s="118">
        <f>B64*($F$19+$F$49+$F$60)</f>
        <v>272.09000740740737</v>
      </c>
    </row>
    <row r="65" spans="1:6" x14ac:dyDescent="0.2">
      <c r="A65" s="111" t="s">
        <v>514</v>
      </c>
      <c r="B65" s="100">
        <f>MC!E51/30/12</f>
        <v>1.3538888888888885E-2</v>
      </c>
      <c r="C65" s="117">
        <f>B65*($C$19+$C$49+$C$60)</f>
        <v>36.009353443518513</v>
      </c>
      <c r="D65" s="117">
        <f>B65*($D$19+$D$49+$D$60)</f>
        <v>29.217509471527766</v>
      </c>
      <c r="E65" s="251">
        <f>B65*($E$19+$E$49+$E$60)</f>
        <v>45.918261784074062</v>
      </c>
      <c r="F65" s="118">
        <f>B65*($F$19+$F$49+$F$60)</f>
        <v>44.205556536790105</v>
      </c>
    </row>
    <row r="66" spans="1:6" x14ac:dyDescent="0.2">
      <c r="A66" s="111" t="s">
        <v>515</v>
      </c>
      <c r="B66" s="131">
        <f>(5/30)/12*MC!F53*MC!C54</f>
        <v>1.0764583333333333E-4</v>
      </c>
      <c r="C66" s="117">
        <f>B66*($C$19+$C$49+$C$60)</f>
        <v>0.2863053896840278</v>
      </c>
      <c r="D66" s="117">
        <f>B66*($D$19+$D$49+$D$60)</f>
        <v>0.23230437747135413</v>
      </c>
      <c r="E66" s="251">
        <f>B66*($E$19+$E$49+$E$60)</f>
        <v>0.36508974964861113</v>
      </c>
      <c r="F66" s="118">
        <f>B66*($F$19+$F$49+$F$60)</f>
        <v>0.35147226706851847</v>
      </c>
    </row>
    <row r="67" spans="1:6" ht="14.25" customHeight="1" x14ac:dyDescent="0.2">
      <c r="A67" s="111" t="s">
        <v>516</v>
      </c>
      <c r="B67" s="131">
        <f>MC!C56/30/12</f>
        <v>2.6830555555555553E-3</v>
      </c>
      <c r="C67" s="117">
        <f>B67*($C$19+$C$49+$C$60)</f>
        <v>7.1361170478240741</v>
      </c>
      <c r="D67" s="117">
        <f>B67*($D$19+$D$49+$D$60)</f>
        <v>5.79015026642361</v>
      </c>
      <c r="E67" s="251">
        <f>B67*($E$19+$E$49+$E$60)</f>
        <v>9.0998048947962964</v>
      </c>
      <c r="F67" s="118">
        <f>B67*($F$19+$F$49+$F$60)</f>
        <v>8.7603912718271584</v>
      </c>
    </row>
    <row r="68" spans="1:6" ht="14.25" customHeight="1" x14ac:dyDescent="0.2">
      <c r="A68" s="111" t="s">
        <v>517</v>
      </c>
      <c r="B68" s="100"/>
      <c r="C68" s="117"/>
      <c r="D68" s="117"/>
      <c r="E68" s="251">
        <f>B68*($E$19+$E$49+$E$60)</f>
        <v>0</v>
      </c>
      <c r="F68" s="118"/>
    </row>
    <row r="69" spans="1:6" ht="14.25" customHeight="1" x14ac:dyDescent="0.2">
      <c r="A69" s="132" t="s">
        <v>518</v>
      </c>
      <c r="B69" s="133">
        <f>SUM(B64:B68)</f>
        <v>9.9662923611111107E-2</v>
      </c>
      <c r="C69" s="134">
        <f>SUM(C64:C68)</f>
        <v>265.07326199213776</v>
      </c>
      <c r="D69" s="134">
        <f>SUM(D64:D68)</f>
        <v>215.07691203208938</v>
      </c>
      <c r="E69" s="255">
        <f>SUM(E64:E68)</f>
        <v>338.01505087296346</v>
      </c>
      <c r="F69" s="135">
        <f>SUM(F64:F68)</f>
        <v>325.4074274830931</v>
      </c>
    </row>
    <row r="70" spans="1:6" ht="14.25" customHeight="1" x14ac:dyDescent="0.2">
      <c r="A70" s="108" t="s">
        <v>519</v>
      </c>
      <c r="B70" s="109"/>
      <c r="C70" s="109"/>
      <c r="D70" s="109"/>
      <c r="E70" s="254"/>
      <c r="F70" s="110"/>
    </row>
    <row r="71" spans="1:6" ht="14.25" customHeight="1" x14ac:dyDescent="0.2">
      <c r="A71" s="111" t="s">
        <v>520</v>
      </c>
      <c r="B71" s="100"/>
      <c r="C71" s="117"/>
      <c r="D71" s="117"/>
      <c r="E71" s="251"/>
      <c r="F71" s="118"/>
    </row>
    <row r="72" spans="1:6" ht="14.25" customHeight="1" x14ac:dyDescent="0.2">
      <c r="A72" s="132" t="s">
        <v>518</v>
      </c>
      <c r="B72" s="133"/>
      <c r="C72" s="134">
        <f>C71</f>
        <v>0</v>
      </c>
      <c r="D72" s="134"/>
      <c r="E72" s="255"/>
      <c r="F72" s="135"/>
    </row>
    <row r="73" spans="1:6" ht="14.25" customHeight="1" x14ac:dyDescent="0.2">
      <c r="A73" s="108" t="s">
        <v>63</v>
      </c>
      <c r="B73" s="109"/>
      <c r="C73" s="109"/>
      <c r="D73" s="109"/>
      <c r="E73" s="254"/>
      <c r="F73" s="110"/>
    </row>
    <row r="74" spans="1:6" ht="14.25" customHeight="1" x14ac:dyDescent="0.2">
      <c r="A74" s="111" t="s">
        <v>64</v>
      </c>
      <c r="B74" s="100">
        <f>120/30*MC!C59*MC!C60</f>
        <v>6.18624E-3</v>
      </c>
      <c r="C74" s="117">
        <f>(((C19*2)+ (C19*1/3))+(C36)+(C44-C38-C39))*$B$74</f>
        <v>22.901595452509092</v>
      </c>
      <c r="D74" s="117">
        <f>(((D19*2)+ (D19*1/3))+(D36)+(D44-D38-D39))*$B$74</f>
        <v>17.323057926981818</v>
      </c>
      <c r="E74" s="117">
        <f>(((E19*2)+ (E19*1/3))+(E36)+(E44-E38-E39))*$B$74</f>
        <v>28.661821159680002</v>
      </c>
      <c r="F74" s="118">
        <f>(((F19*2)+ (F19*1/3))+(F36)+(F44-F38-F39))*$B$74</f>
        <v>29.633733640145454</v>
      </c>
    </row>
    <row r="75" spans="1:6" ht="15.75" customHeight="1" x14ac:dyDescent="0.2">
      <c r="A75" s="132" t="s">
        <v>479</v>
      </c>
      <c r="B75" s="133"/>
      <c r="C75" s="134"/>
      <c r="D75" s="134"/>
      <c r="E75" s="255"/>
      <c r="F75" s="135"/>
    </row>
    <row r="76" spans="1:6" x14ac:dyDescent="0.2">
      <c r="A76" s="93" t="s">
        <v>521</v>
      </c>
      <c r="B76" s="94"/>
      <c r="C76" s="94"/>
      <c r="D76" s="94"/>
      <c r="E76" s="246"/>
      <c r="F76" s="95"/>
    </row>
    <row r="77" spans="1:6" x14ac:dyDescent="0.2">
      <c r="A77" s="111" t="s">
        <v>41</v>
      </c>
      <c r="B77" s="122">
        <f>B69</f>
        <v>9.9662923611111107E-2</v>
      </c>
      <c r="C77" s="123">
        <f>C69</f>
        <v>265.07326199213776</v>
      </c>
      <c r="D77" s="123">
        <f>D69</f>
        <v>215.07691203208938</v>
      </c>
      <c r="E77" s="123">
        <f>E69</f>
        <v>338.01505087296346</v>
      </c>
      <c r="F77" s="124">
        <f>F69</f>
        <v>325.4074274830931</v>
      </c>
    </row>
    <row r="78" spans="1:6" ht="15.75" customHeight="1" x14ac:dyDescent="0.2">
      <c r="A78" s="111" t="s">
        <v>519</v>
      </c>
      <c r="B78" s="122">
        <f>B72</f>
        <v>0</v>
      </c>
      <c r="C78" s="123">
        <f>C72</f>
        <v>0</v>
      </c>
      <c r="D78" s="123">
        <f>D72</f>
        <v>0</v>
      </c>
      <c r="E78" s="123">
        <f>E72</f>
        <v>0</v>
      </c>
      <c r="F78" s="124">
        <f>F72</f>
        <v>0</v>
      </c>
    </row>
    <row r="79" spans="1:6" ht="15.75" customHeight="1" x14ac:dyDescent="0.2">
      <c r="A79" s="111" t="s">
        <v>63</v>
      </c>
      <c r="B79" s="122">
        <f>B74</f>
        <v>6.18624E-3</v>
      </c>
      <c r="C79" s="123">
        <f>C74</f>
        <v>22.901595452509092</v>
      </c>
      <c r="D79" s="123">
        <f>D74</f>
        <v>17.323057926981818</v>
      </c>
      <c r="E79" s="123">
        <f>E74</f>
        <v>28.661821159680002</v>
      </c>
      <c r="F79" s="124">
        <f>F74</f>
        <v>29.633733640145454</v>
      </c>
    </row>
    <row r="80" spans="1:6" ht="15.75" customHeight="1" x14ac:dyDescent="0.2">
      <c r="A80" s="103" t="s">
        <v>479</v>
      </c>
      <c r="B80" s="104"/>
      <c r="C80" s="113">
        <f>SUM(C77:C79)</f>
        <v>287.97485744464683</v>
      </c>
      <c r="D80" s="113">
        <f>SUM(D77:D79)</f>
        <v>232.3999699590712</v>
      </c>
      <c r="E80" s="248">
        <f>SUM(E77:E79)</f>
        <v>366.67687203264347</v>
      </c>
      <c r="F80" s="114">
        <f>SUM(F77:F79)</f>
        <v>355.04116112323857</v>
      </c>
    </row>
    <row r="81" spans="1:6" ht="15.75" customHeight="1" x14ac:dyDescent="0.2">
      <c r="A81" s="105"/>
      <c r="B81" s="106"/>
      <c r="C81" s="106"/>
      <c r="D81" s="106"/>
      <c r="E81" s="249"/>
      <c r="F81" s="107"/>
    </row>
    <row r="82" spans="1:6" ht="15.75" customHeight="1" x14ac:dyDescent="0.2">
      <c r="A82" s="256" t="s">
        <v>522</v>
      </c>
      <c r="B82" s="257"/>
      <c r="C82" s="257"/>
      <c r="D82" s="257"/>
      <c r="E82" s="257"/>
      <c r="F82" s="258"/>
    </row>
    <row r="83" spans="1:6" ht="15.75" customHeight="1" x14ac:dyDescent="0.2">
      <c r="A83" s="93" t="s">
        <v>523</v>
      </c>
      <c r="B83" s="94" t="s">
        <v>495</v>
      </c>
      <c r="C83" s="94" t="s">
        <v>472</v>
      </c>
      <c r="D83" s="94" t="s">
        <v>472</v>
      </c>
      <c r="E83" s="782" t="s">
        <v>472</v>
      </c>
      <c r="F83" s="95" t="s">
        <v>472</v>
      </c>
    </row>
    <row r="84" spans="1:6" ht="15.75" customHeight="1" x14ac:dyDescent="0.2">
      <c r="A84" s="768" t="s">
        <v>524</v>
      </c>
      <c r="B84" s="769">
        <f>Insumos!G117</f>
        <v>27.875416666666666</v>
      </c>
      <c r="C84" s="779">
        <f>B84</f>
        <v>27.875416666666666</v>
      </c>
      <c r="D84" s="780">
        <f>B84</f>
        <v>27.875416666666666</v>
      </c>
      <c r="E84" s="781">
        <f>B84</f>
        <v>27.875416666666666</v>
      </c>
      <c r="F84" s="778">
        <f>Insumos!G118</f>
        <v>34.030416666666667</v>
      </c>
    </row>
    <row r="85" spans="1:6" x14ac:dyDescent="0.2">
      <c r="A85" s="770" t="s">
        <v>525</v>
      </c>
      <c r="B85" s="772">
        <f>Insumos!G59</f>
        <v>461.23111666666665</v>
      </c>
      <c r="C85" s="783">
        <f>B85</f>
        <v>461.23111666666665</v>
      </c>
      <c r="D85" s="783">
        <f>B85</f>
        <v>461.23111666666665</v>
      </c>
      <c r="E85" s="774" t="s">
        <v>432</v>
      </c>
      <c r="F85" s="776" t="s">
        <v>432</v>
      </c>
    </row>
    <row r="86" spans="1:6" x14ac:dyDescent="0.2">
      <c r="A86" s="770" t="s">
        <v>526</v>
      </c>
      <c r="B86" s="772">
        <f>Insumos!I99</f>
        <v>19.059460858585854</v>
      </c>
      <c r="C86" s="783">
        <f>B86</f>
        <v>19.059460858585854</v>
      </c>
      <c r="D86" s="783">
        <f>B86</f>
        <v>19.059460858585854</v>
      </c>
      <c r="E86" s="774" t="s">
        <v>432</v>
      </c>
      <c r="F86" s="776" t="s">
        <v>432</v>
      </c>
    </row>
    <row r="87" spans="1:6" ht="15.75" customHeight="1" x14ac:dyDescent="0.2">
      <c r="A87" s="770" t="s">
        <v>527</v>
      </c>
      <c r="B87" s="771" t="s">
        <v>432</v>
      </c>
      <c r="C87" s="785">
        <f>Insumos!I129</f>
        <v>36.666666666666671</v>
      </c>
      <c r="D87" s="785">
        <f>Insumos!H129</f>
        <v>25.446666666666665</v>
      </c>
      <c r="E87" s="774" t="s">
        <v>432</v>
      </c>
      <c r="F87" s="776" t="s">
        <v>432</v>
      </c>
    </row>
    <row r="88" spans="1:6" ht="15.75" customHeight="1" x14ac:dyDescent="0.2">
      <c r="A88" s="770" t="s">
        <v>528</v>
      </c>
      <c r="B88" s="775">
        <v>0.12</v>
      </c>
      <c r="C88" s="773" t="s">
        <v>432</v>
      </c>
      <c r="D88" s="773" t="s">
        <v>432</v>
      </c>
      <c r="E88" s="784">
        <f>B88*(E84+E123+E124)</f>
        <v>398.69589000000002</v>
      </c>
      <c r="F88" s="776" t="s">
        <v>432</v>
      </c>
    </row>
    <row r="89" spans="1:6" ht="15.75" customHeight="1" x14ac:dyDescent="0.2">
      <c r="A89" s="770" t="s">
        <v>529</v>
      </c>
      <c r="B89" s="772">
        <f>Insumos!H145</f>
        <v>50.323333333333331</v>
      </c>
      <c r="C89" s="773" t="s">
        <v>432</v>
      </c>
      <c r="D89" s="773" t="s">
        <v>432</v>
      </c>
      <c r="E89" s="774" t="s">
        <v>432</v>
      </c>
      <c r="F89" s="776">
        <f>Insumos!H145</f>
        <v>50.323333333333331</v>
      </c>
    </row>
    <row r="90" spans="1:6" ht="15.75" customHeight="1" x14ac:dyDescent="0.2">
      <c r="A90" s="770" t="s">
        <v>530</v>
      </c>
      <c r="B90" s="771" t="s">
        <v>432</v>
      </c>
      <c r="C90" s="773" t="s">
        <v>432</v>
      </c>
      <c r="D90" s="773" t="s">
        <v>432</v>
      </c>
      <c r="E90" s="774" t="s">
        <v>432</v>
      </c>
      <c r="F90" s="777" t="s">
        <v>88</v>
      </c>
    </row>
    <row r="91" spans="1:6" ht="15.75" customHeight="1" x14ac:dyDescent="0.2">
      <c r="A91" s="132" t="s">
        <v>479</v>
      </c>
      <c r="B91" s="136"/>
      <c r="C91" s="134">
        <f>SUM(C84:C90)</f>
        <v>544.83266085858588</v>
      </c>
      <c r="D91" s="134">
        <f t="shared" ref="D91:F91" si="10">SUM(D84:D90)</f>
        <v>533.61266085858585</v>
      </c>
      <c r="E91" s="134">
        <f t="shared" si="10"/>
        <v>426.57130666666671</v>
      </c>
      <c r="F91" s="134">
        <f t="shared" si="10"/>
        <v>84.353749999999991</v>
      </c>
    </row>
    <row r="92" spans="1:6" ht="15.75" customHeight="1" x14ac:dyDescent="0.2">
      <c r="A92" s="1007"/>
      <c r="B92" s="1007"/>
      <c r="C92" s="137"/>
      <c r="D92" s="137"/>
      <c r="E92" s="259"/>
      <c r="F92" s="138"/>
    </row>
    <row r="93" spans="1:6" ht="15.75" customHeight="1" x14ac:dyDescent="0.2">
      <c r="A93" s="256" t="s">
        <v>531</v>
      </c>
      <c r="B93" s="257"/>
      <c r="C93" s="257"/>
      <c r="D93" s="257"/>
      <c r="E93" s="257"/>
      <c r="F93" s="258"/>
    </row>
    <row r="94" spans="1:6" ht="15.75" customHeight="1" x14ac:dyDescent="0.2">
      <c r="A94" s="93" t="s">
        <v>532</v>
      </c>
      <c r="B94" s="94" t="s">
        <v>471</v>
      </c>
      <c r="C94" s="94" t="s">
        <v>472</v>
      </c>
      <c r="D94" s="94" t="s">
        <v>472</v>
      </c>
      <c r="E94" s="94" t="s">
        <v>472</v>
      </c>
      <c r="F94" s="95"/>
    </row>
    <row r="95" spans="1:6" ht="15.75" customHeight="1" x14ac:dyDescent="0.2">
      <c r="A95" s="96" t="s">
        <v>69</v>
      </c>
      <c r="B95" s="100">
        <f>MC!C63</f>
        <v>0.03</v>
      </c>
      <c r="C95" s="117">
        <f>($C$19+$C$49+$C$60+$C$80+$C$91)*$B$95</f>
        <v>104.77516054909698</v>
      </c>
      <c r="D95" s="117">
        <f>($D$19+$D$49+$D$60+$D$80+$D$91)*$B$95</f>
        <v>87.721680174529709</v>
      </c>
      <c r="E95" s="251">
        <f>($E$19+$E$49+$E$60+$E$80+$E$91)*$B$95</f>
        <v>125.54492736097932</v>
      </c>
      <c r="F95" s="118">
        <f>($F$19+$F$49+$F$60+$F$80+$F$91)*$B$95</f>
        <v>111.13425000036379</v>
      </c>
    </row>
    <row r="96" spans="1:6" x14ac:dyDescent="0.2">
      <c r="A96" s="96" t="s">
        <v>70</v>
      </c>
      <c r="B96" s="100">
        <f>MC!C64</f>
        <v>6.7900000000000002E-2</v>
      </c>
      <c r="C96" s="117">
        <f>($C$19+$C$49+$C$60+$C$80+$C$91+C95)*B96</f>
        <v>244.25534677740654</v>
      </c>
      <c r="D96" s="117">
        <f>($D$19+$D$49+$D$60+$D$80+$D$91+$D$95)*$B$96</f>
        <v>204.49970487886949</v>
      </c>
      <c r="E96" s="117">
        <f>($E$19+$E$49+$E$60+$E$80+$E$91+$E$95)*$B$96</f>
        <v>292.67451949482705</v>
      </c>
      <c r="F96" s="118">
        <f>($F$19+$F$49+$F$60+$F$80+$F$91+F95)*$B$96</f>
        <v>259.07986807584814</v>
      </c>
    </row>
    <row r="97" spans="1:7" x14ac:dyDescent="0.2">
      <c r="A97" s="260" t="s">
        <v>533</v>
      </c>
      <c r="B97" s="261">
        <f>B98+B99</f>
        <v>0.1125</v>
      </c>
      <c r="C97" s="262">
        <f>((C19+C49+C60+C80+C91+C95+C96)/(1-($B$97)))*$B$97</f>
        <v>486.95524972771312</v>
      </c>
      <c r="D97" s="262">
        <f>((D19+D49+D60+D80+D91+D95+D96)/(1-($B$97)))*$B$97</f>
        <v>407.69713405407759</v>
      </c>
      <c r="E97" s="262">
        <f>((E19+E49+E60+E80+E91+E95+E96)/(1-($B$97)))*$B$97</f>
        <v>583.48525676050792</v>
      </c>
      <c r="F97" s="262">
        <f>((F19+F49+F60+F80+F91+F95+F96)/(1-($B$97)))*$B$97</f>
        <v>516.50988820838097</v>
      </c>
    </row>
    <row r="98" spans="1:7" x14ac:dyDescent="0.2">
      <c r="A98" s="96" t="s">
        <v>534</v>
      </c>
      <c r="B98" s="100">
        <f>0.0165+0.076</f>
        <v>9.2499999999999999E-2</v>
      </c>
      <c r="C98" s="263">
        <f>((C$19+C$49+C$60+C$80+C$91+C$95+C$96)/(1-($B$97)))*$B$98</f>
        <v>400.38542755389744</v>
      </c>
      <c r="D98" s="263">
        <f t="shared" ref="D98:F98" si="11">((D$19+D$49+D$60+D$80+D$91+D$95+D$96)/(1-($B$97)))*$B$98</f>
        <v>335.21764355557491</v>
      </c>
      <c r="E98" s="263">
        <f t="shared" si="11"/>
        <v>479.7545444475287</v>
      </c>
      <c r="F98" s="263">
        <f t="shared" si="11"/>
        <v>424.68590808244659</v>
      </c>
    </row>
    <row r="99" spans="1:7" x14ac:dyDescent="0.2">
      <c r="A99" s="96" t="s">
        <v>535</v>
      </c>
      <c r="B99" s="100">
        <v>0.02</v>
      </c>
      <c r="C99" s="264">
        <f>((C$19+C$49+C$60+C$80+C$91+C$95+C$96)/(1-($B$97)))*$B$99</f>
        <v>86.569822173815666</v>
      </c>
      <c r="D99" s="264">
        <f t="shared" ref="D99:F99" si="12">((D$19+D$49+D$60+D$80+D$91+D$95+D$96)/(1-($B$97)))*$B$99</f>
        <v>72.479490498502685</v>
      </c>
      <c r="E99" s="264">
        <f t="shared" si="12"/>
        <v>103.73071231297918</v>
      </c>
      <c r="F99" s="264">
        <f t="shared" si="12"/>
        <v>91.823980125934398</v>
      </c>
    </row>
    <row r="100" spans="1:7" x14ac:dyDescent="0.2">
      <c r="A100" s="260" t="s">
        <v>536</v>
      </c>
      <c r="B100" s="261">
        <f>B101+B102</f>
        <v>0.11749999999999999</v>
      </c>
      <c r="C100" s="262">
        <f>((C19+C49+C60+C80+C91+C95+C96)/(1-($B$100)))*$B$100</f>
        <v>511.47927867213667</v>
      </c>
      <c r="D100" s="262">
        <f t="shared" ref="D100:F100" si="13">((D19+D49+D60+D80+D91+D95+D96)/(1-($B$100)))*$B$100</f>
        <v>428.22956762305847</v>
      </c>
      <c r="E100" s="262">
        <f t="shared" si="13"/>
        <v>612.87072767070015</v>
      </c>
      <c r="F100" s="262">
        <f t="shared" si="13"/>
        <v>542.52234716756914</v>
      </c>
    </row>
    <row r="101" spans="1:7" x14ac:dyDescent="0.2">
      <c r="A101" s="96" t="s">
        <v>534</v>
      </c>
      <c r="B101" s="100">
        <f>0.0165+0.076</f>
        <v>9.2499999999999999E-2</v>
      </c>
      <c r="C101" s="263">
        <f>((C19+C49+C60+C80+C91+C95+C96)/(1-($B$100)))*$B$101</f>
        <v>402.65390023125656</v>
      </c>
      <c r="D101" s="263">
        <f t="shared" ref="D101:F101" si="14">((D19+D49+D60+D80+D91+D95+D96)/(1-($B$100)))*$B$101</f>
        <v>337.11689366070561</v>
      </c>
      <c r="E101" s="263">
        <f t="shared" si="14"/>
        <v>482.47270050672142</v>
      </c>
      <c r="F101" s="263">
        <f t="shared" si="14"/>
        <v>427.09206053617146</v>
      </c>
    </row>
    <row r="102" spans="1:7" x14ac:dyDescent="0.2">
      <c r="A102" s="96" t="s">
        <v>535</v>
      </c>
      <c r="B102" s="100">
        <v>2.5000000000000001E-2</v>
      </c>
      <c r="C102" s="264">
        <f>((C$19+C$49+C$60+C$80+C$91+C$95+C$96)/(1-($B$100)))*$B$102</f>
        <v>108.82537844088016</v>
      </c>
      <c r="D102" s="264">
        <f t="shared" ref="D102:F102" si="15">((D$19+D$49+D$60+D$80+D$91+D$95+D$96)/(1-($B$100)))*$B$102</f>
        <v>91.112673962352872</v>
      </c>
      <c r="E102" s="264">
        <f t="shared" si="15"/>
        <v>130.39802716397875</v>
      </c>
      <c r="F102" s="264">
        <f t="shared" si="15"/>
        <v>115.43028663139769</v>
      </c>
    </row>
    <row r="103" spans="1:7" x14ac:dyDescent="0.2">
      <c r="A103" s="260" t="s">
        <v>537</v>
      </c>
      <c r="B103" s="261">
        <f>B104+B105</f>
        <v>0.1225</v>
      </c>
      <c r="C103" s="262">
        <f>((C19+C49+C60+C80+C91+C95+C96)/(1-($B$103)))*$B$103</f>
        <v>536.28278372988723</v>
      </c>
      <c r="D103" s="262">
        <f t="shared" ref="D103:F103" si="16">((D19+D49+D60+D80+D91+D95+D96)/(1-($B$103)))*$B$103</f>
        <v>448.99598903897942</v>
      </c>
      <c r="E103" s="262">
        <f t="shared" si="16"/>
        <v>642.59107574226232</v>
      </c>
      <c r="F103" s="262">
        <f t="shared" si="16"/>
        <v>568.83124440549454</v>
      </c>
    </row>
    <row r="104" spans="1:7" x14ac:dyDescent="0.2">
      <c r="A104" s="96" t="s">
        <v>534</v>
      </c>
      <c r="B104" s="100">
        <f>0.0165+0.076</f>
        <v>9.2499999999999999E-2</v>
      </c>
      <c r="C104" s="263">
        <f>((C19+C49+C60+C80+C91+C95+C96)/(1-($B$103)))*$B$104</f>
        <v>404.94822444909852</v>
      </c>
      <c r="D104" s="263">
        <f t="shared" ref="D104:F104" si="17">((D19+D49+D60+D80+D91+D95+D96)/(1-($B$103)))*$B$104</f>
        <v>339.03778764167834</v>
      </c>
      <c r="E104" s="263">
        <f t="shared" si="17"/>
        <v>485.22183270334091</v>
      </c>
      <c r="F104" s="263">
        <f t="shared" si="17"/>
        <v>429.52563353067956</v>
      </c>
    </row>
    <row r="105" spans="1:7" x14ac:dyDescent="0.2">
      <c r="A105" s="96" t="s">
        <v>535</v>
      </c>
      <c r="B105" s="100">
        <v>0.03</v>
      </c>
      <c r="C105" s="264">
        <f>((C19+C49+C60+C80+C91+C95+C96)/(1-($B$103)))*$B$105</f>
        <v>131.33455928078871</v>
      </c>
      <c r="D105" s="264">
        <f t="shared" ref="D105:F105" si="18">((D19+D49+D60+D80+D91+D95+D96)/(1-($B$103)))*$B$105</f>
        <v>109.95820139730108</v>
      </c>
      <c r="E105" s="264">
        <f t="shared" si="18"/>
        <v>157.36924303892138</v>
      </c>
      <c r="F105" s="264">
        <f t="shared" si="18"/>
        <v>139.30561087481499</v>
      </c>
      <c r="G105" s="265"/>
    </row>
    <row r="106" spans="1:7" x14ac:dyDescent="0.2">
      <c r="A106" s="260" t="s">
        <v>538</v>
      </c>
      <c r="B106" s="261">
        <f>B107+B108</f>
        <v>0.13250000000000001</v>
      </c>
      <c r="C106" s="262">
        <f>((C19+C49+C60+C80+C91+C95+C96)/(1-($B$106)))*$B$106</f>
        <v>586.74755194536806</v>
      </c>
      <c r="D106" s="262">
        <f t="shared" ref="D106:F106" si="19">((D19+D49+D60+D80+D91+D95+D96)/(1-($B$106)))*$B$106</f>
        <v>491.24697900912395</v>
      </c>
      <c r="E106" s="262">
        <f t="shared" si="19"/>
        <v>703.05956490227061</v>
      </c>
      <c r="F106" s="262">
        <f t="shared" si="19"/>
        <v>622.35885665326214</v>
      </c>
    </row>
    <row r="107" spans="1:7" x14ac:dyDescent="0.2">
      <c r="A107" s="96" t="s">
        <v>534</v>
      </c>
      <c r="B107" s="100">
        <f>0.0165+0.076</f>
        <v>9.2499999999999999E-2</v>
      </c>
      <c r="C107" s="263">
        <f>((C19+C49+C60+C80+C91+C95+C96)/(1-($B$106)))*$B$107</f>
        <v>409.6162155090305</v>
      </c>
      <c r="D107" s="263">
        <f t="shared" ref="D107:F107" si="20">((D19+D49+D60+D80+D91+D95+D96)/(1-($B$106)))*$B$107</f>
        <v>342.94600421391669</v>
      </c>
      <c r="E107" s="263">
        <f t="shared" si="20"/>
        <v>490.81516795064169</v>
      </c>
      <c r="F107" s="263">
        <f t="shared" si="20"/>
        <v>434.47693766359811</v>
      </c>
    </row>
    <row r="108" spans="1:7" x14ac:dyDescent="0.2">
      <c r="A108" s="96" t="s">
        <v>535</v>
      </c>
      <c r="B108" s="100">
        <v>0.04</v>
      </c>
      <c r="C108" s="264">
        <f>((C19+C49+C60+C80+C91+C95+C96)/(1-($B$106)))*$B$108</f>
        <v>177.13133643633751</v>
      </c>
      <c r="D108" s="264">
        <f t="shared" ref="D108:F108" si="21">((D19+D49+D60+D80+D91+D95+D96)/(1-($B$106)))*$B$108</f>
        <v>148.30097479520722</v>
      </c>
      <c r="E108" s="264">
        <f t="shared" si="21"/>
        <v>212.24439695162886</v>
      </c>
      <c r="F108" s="264">
        <f t="shared" si="21"/>
        <v>187.88191898966406</v>
      </c>
    </row>
    <row r="109" spans="1:7" x14ac:dyDescent="0.2">
      <c r="A109" s="260" t="s">
        <v>539</v>
      </c>
      <c r="B109" s="261">
        <f>B110+B111</f>
        <v>0.14250000000000002</v>
      </c>
      <c r="C109" s="262">
        <f>((C19+C49+C60+C80+C91+C95+C96)/(1-($B$109)))*$B$109</f>
        <v>638.38934099386302</v>
      </c>
      <c r="D109" s="262">
        <f t="shared" ref="D109:F109" si="22">((D19+D49+D60+D80+D91+D95+D96)/(1-($B$109)))*$B$109</f>
        <v>534.4834148094759</v>
      </c>
      <c r="E109" s="262">
        <f t="shared" si="22"/>
        <v>764.93839783277474</v>
      </c>
      <c r="F109" s="262">
        <f t="shared" si="22"/>
        <v>677.1349263295491</v>
      </c>
    </row>
    <row r="110" spans="1:7" x14ac:dyDescent="0.2">
      <c r="A110" s="96" t="s">
        <v>534</v>
      </c>
      <c r="B110" s="100">
        <f>0.0165+0.076</f>
        <v>9.2499999999999999E-2</v>
      </c>
      <c r="C110" s="263">
        <f>((C19+C49+C60+C80+C91+C95+C96)/(1-($B$109)))*$B$110</f>
        <v>414.39308099601635</v>
      </c>
      <c r="D110" s="263">
        <f t="shared" ref="D110:F110" si="23">((D19+D49+D60+D80+D91+D95+D96)/(1-($B$109)))*$B$110</f>
        <v>346.94537452544927</v>
      </c>
      <c r="E110" s="263">
        <f t="shared" si="23"/>
        <v>496.53895999671334</v>
      </c>
      <c r="F110" s="263">
        <f t="shared" si="23"/>
        <v>439.54372410865466</v>
      </c>
    </row>
    <row r="111" spans="1:7" x14ac:dyDescent="0.2">
      <c r="A111" s="96" t="s">
        <v>535</v>
      </c>
      <c r="B111" s="266">
        <v>0.05</v>
      </c>
      <c r="C111" s="264">
        <f>((C19+C49+C60+C80+C91+C95+C96)/(1-($B$109)))*$B$111</f>
        <v>223.99625999784666</v>
      </c>
      <c r="D111" s="264">
        <f t="shared" ref="D111:F111" si="24">((D19+D49+D60+D80+D91+D95+D96)/(1-($B$109)))*$B$111</f>
        <v>187.53804028402664</v>
      </c>
      <c r="E111" s="264">
        <f t="shared" si="24"/>
        <v>268.39943783606128</v>
      </c>
      <c r="F111" s="264">
        <f t="shared" si="24"/>
        <v>237.59120222089442</v>
      </c>
    </row>
    <row r="112" spans="1:7" x14ac:dyDescent="0.2">
      <c r="A112" s="1008" t="s">
        <v>540</v>
      </c>
      <c r="B112" s="267">
        <v>0.02</v>
      </c>
      <c r="C112" s="268">
        <f>C95+C96+C97</f>
        <v>835.98575705421672</v>
      </c>
      <c r="D112" s="268">
        <f>D95+D96+D97</f>
        <v>699.91851910747687</v>
      </c>
      <c r="E112" s="268">
        <f>E95+E96+E97</f>
        <v>1001.7047036163143</v>
      </c>
      <c r="F112" s="268">
        <f>F95+F96+F97</f>
        <v>886.72400628459286</v>
      </c>
    </row>
    <row r="113" spans="1:7" x14ac:dyDescent="0.2">
      <c r="A113" s="1008"/>
      <c r="B113" s="269">
        <v>2.5000000000000001E-2</v>
      </c>
      <c r="C113" s="270">
        <f>C95+C96+C100</f>
        <v>860.50978599864015</v>
      </c>
      <c r="D113" s="270">
        <f>D95+D96+D100</f>
        <v>720.45095267645775</v>
      </c>
      <c r="E113" s="270">
        <f>E95+E96+E100</f>
        <v>1031.0901745265064</v>
      </c>
      <c r="F113" s="270">
        <f>F95+F96+F100</f>
        <v>912.73646524378114</v>
      </c>
    </row>
    <row r="114" spans="1:7" ht="15.75" customHeight="1" x14ac:dyDescent="0.2">
      <c r="A114" s="1008"/>
      <c r="B114" s="269">
        <v>0.03</v>
      </c>
      <c r="C114" s="270">
        <f>C95+C96+C103</f>
        <v>885.31329105639077</v>
      </c>
      <c r="D114" s="270">
        <f>D95+D96+D103</f>
        <v>741.21737409237858</v>
      </c>
      <c r="E114" s="270">
        <f>E95+E96+E103</f>
        <v>1060.8105225980687</v>
      </c>
      <c r="F114" s="270">
        <f>F95+F96+F103</f>
        <v>939.04536248170643</v>
      </c>
      <c r="G114" s="265"/>
    </row>
    <row r="115" spans="1:7" ht="15.75" customHeight="1" x14ac:dyDescent="0.2">
      <c r="A115" s="1008"/>
      <c r="B115" s="269">
        <v>0.04</v>
      </c>
      <c r="C115" s="270">
        <f>C95+C96+C106</f>
        <v>935.7780592718716</v>
      </c>
      <c r="D115" s="270">
        <f>D95+D96+D106</f>
        <v>783.46836406252316</v>
      </c>
      <c r="E115" s="270">
        <f>E95+E96+E106</f>
        <v>1121.2790117580771</v>
      </c>
      <c r="F115" s="270">
        <f>F95+F96+F106</f>
        <v>992.57297472947403</v>
      </c>
    </row>
    <row r="116" spans="1:7" ht="15.75" customHeight="1" x14ac:dyDescent="0.2">
      <c r="A116" s="1008"/>
      <c r="B116" s="271">
        <v>0.05</v>
      </c>
      <c r="C116" s="272">
        <f>C95+C96+C109</f>
        <v>987.41984832036655</v>
      </c>
      <c r="D116" s="272">
        <f>D95+D96+D109</f>
        <v>826.70479986287512</v>
      </c>
      <c r="E116" s="272">
        <f>E95+E96+E109</f>
        <v>1183.157844688581</v>
      </c>
      <c r="F116" s="272">
        <f>F95+F96+F109</f>
        <v>1047.3490444057611</v>
      </c>
    </row>
    <row r="117" spans="1:7" ht="15.75" customHeight="1" x14ac:dyDescent="0.2">
      <c r="A117" s="96" t="s">
        <v>541</v>
      </c>
      <c r="B117" s="273"/>
      <c r="C117" s="274"/>
      <c r="D117" s="274"/>
      <c r="E117" s="275"/>
      <c r="F117" s="276"/>
    </row>
    <row r="118" spans="1:7" ht="24.75" customHeight="1" x14ac:dyDescent="0.2">
      <c r="A118" s="143"/>
      <c r="B118" s="277"/>
      <c r="C118" s="278"/>
      <c r="D118" s="278"/>
      <c r="E118" s="279"/>
      <c r="F118" s="280"/>
    </row>
    <row r="119" spans="1:7" ht="15.75" customHeight="1" x14ac:dyDescent="0.2">
      <c r="A119" s="1009"/>
      <c r="B119" s="1009"/>
      <c r="C119" s="1009"/>
      <c r="D119" s="1009"/>
      <c r="E119" s="1009"/>
      <c r="F119" s="1009"/>
    </row>
    <row r="120" spans="1:7" ht="15.75" customHeight="1" x14ac:dyDescent="0.2">
      <c r="A120" s="1010"/>
      <c r="B120" s="1010"/>
      <c r="C120" s="1010"/>
      <c r="D120" s="1010"/>
      <c r="E120" s="1010"/>
      <c r="F120" s="1010"/>
    </row>
    <row r="121" spans="1:7" ht="54.75" customHeight="1" x14ac:dyDescent="0.2">
      <c r="A121" s="1011" t="s">
        <v>542</v>
      </c>
      <c r="B121" s="1011"/>
      <c r="C121" s="281" t="str">
        <f>C10</f>
        <v xml:space="preserve">Servente 40h </v>
      </c>
      <c r="D121" s="281" t="str">
        <f>D10</f>
        <v xml:space="preserve">Servente 30h </v>
      </c>
      <c r="E121" s="282" t="str">
        <f>E10</f>
        <v>Servente 44h limpeza de esquadrias com risco</v>
      </c>
      <c r="F121" s="283" t="str">
        <f>F10</f>
        <v>Encarregada 40h</v>
      </c>
    </row>
    <row r="122" spans="1:7" ht="15.75" customHeight="1" x14ac:dyDescent="0.2">
      <c r="A122" s="1005" t="s">
        <v>543</v>
      </c>
      <c r="B122" s="1005"/>
      <c r="C122" s="284" t="s">
        <v>472</v>
      </c>
      <c r="D122" s="284" t="s">
        <v>472</v>
      </c>
      <c r="E122" s="284" t="s">
        <v>472</v>
      </c>
      <c r="F122" s="285" t="s">
        <v>472</v>
      </c>
    </row>
    <row r="123" spans="1:7" ht="14.25" customHeight="1" x14ac:dyDescent="0.2">
      <c r="A123" s="1006" t="s">
        <v>544</v>
      </c>
      <c r="B123" s="1006"/>
      <c r="C123" s="286">
        <f>C19</f>
        <v>1315.3636363636363</v>
      </c>
      <c r="D123" s="286">
        <f>D19</f>
        <v>986.52272727272725</v>
      </c>
      <c r="E123" s="286">
        <f>E19</f>
        <v>1480.8000000000002</v>
      </c>
      <c r="F123" s="287">
        <f>F19</f>
        <v>1712.2181818181818</v>
      </c>
    </row>
    <row r="124" spans="1:7" ht="14.25" customHeight="1" x14ac:dyDescent="0.2">
      <c r="A124" s="1001" t="s">
        <v>545</v>
      </c>
      <c r="B124" s="1001"/>
      <c r="C124" s="139">
        <f>C49</f>
        <v>1258.1778787878789</v>
      </c>
      <c r="D124" s="139">
        <f>D49</f>
        <v>1106.903409090909</v>
      </c>
      <c r="E124" s="139">
        <f>E49</f>
        <v>1813.7903333333334</v>
      </c>
      <c r="F124" s="140">
        <f>F49</f>
        <v>1440.7116161616159</v>
      </c>
    </row>
    <row r="125" spans="1:7" ht="14.25" customHeight="1" x14ac:dyDescent="0.2">
      <c r="A125" s="1001" t="s">
        <v>546</v>
      </c>
      <c r="B125" s="1001"/>
      <c r="C125" s="139">
        <f>C60</f>
        <v>86.156318181818165</v>
      </c>
      <c r="D125" s="139">
        <f>D60</f>
        <v>64.617238636363624</v>
      </c>
      <c r="E125" s="139">
        <f>E60</f>
        <v>96.992400000000004</v>
      </c>
      <c r="F125" s="140">
        <f>F60</f>
        <v>112.1502909090909</v>
      </c>
    </row>
    <row r="126" spans="1:7" ht="14.25" customHeight="1" x14ac:dyDescent="0.2">
      <c r="A126" s="1001" t="s">
        <v>547</v>
      </c>
      <c r="B126" s="1001"/>
      <c r="C126" s="139">
        <f>C80</f>
        <v>287.97485744464683</v>
      </c>
      <c r="D126" s="139">
        <f>D80</f>
        <v>232.3999699590712</v>
      </c>
      <c r="E126" s="139">
        <f>E80</f>
        <v>366.67687203264347</v>
      </c>
      <c r="F126" s="140">
        <f>F69</f>
        <v>325.4074274830931</v>
      </c>
    </row>
    <row r="127" spans="1:7" ht="15.75" customHeight="1" x14ac:dyDescent="0.2">
      <c r="A127" s="1001" t="s">
        <v>548</v>
      </c>
      <c r="B127" s="1001"/>
      <c r="C127" s="139">
        <f>C91</f>
        <v>544.83266085858588</v>
      </c>
      <c r="D127" s="139">
        <f>D91</f>
        <v>533.61266085858585</v>
      </c>
      <c r="E127" s="139">
        <f>E91</f>
        <v>426.57130666666671</v>
      </c>
      <c r="F127" s="140">
        <f>F91</f>
        <v>84.353749999999991</v>
      </c>
    </row>
    <row r="128" spans="1:7" ht="15.75" customHeight="1" x14ac:dyDescent="0.2">
      <c r="A128" s="1004" t="s">
        <v>549</v>
      </c>
      <c r="B128" s="1004"/>
      <c r="C128" s="141">
        <f>SUM(C123:C127)</f>
        <v>3492.505351636566</v>
      </c>
      <c r="D128" s="141">
        <f>SUM(D123:D127)</f>
        <v>2924.056005817657</v>
      </c>
      <c r="E128" s="288">
        <f>SUM(E123:E127)</f>
        <v>4184.8309120326439</v>
      </c>
      <c r="F128" s="142">
        <f>SUM(F123:F127)</f>
        <v>3674.8412663719819</v>
      </c>
    </row>
    <row r="129" spans="1:12" ht="15.75" customHeight="1" x14ac:dyDescent="0.2">
      <c r="A129" s="1002" t="s">
        <v>550</v>
      </c>
      <c r="B129" s="1002"/>
      <c r="C129" s="289">
        <f t="shared" ref="C129:F133" si="25">C112</f>
        <v>835.98575705421672</v>
      </c>
      <c r="D129" s="289">
        <f t="shared" si="25"/>
        <v>699.91851910747687</v>
      </c>
      <c r="E129" s="289">
        <f t="shared" si="25"/>
        <v>1001.7047036163143</v>
      </c>
      <c r="F129" s="290">
        <f t="shared" si="25"/>
        <v>886.72400628459286</v>
      </c>
    </row>
    <row r="130" spans="1:12" ht="15.75" customHeight="1" x14ac:dyDescent="0.2">
      <c r="A130" s="1001" t="s">
        <v>551</v>
      </c>
      <c r="B130" s="1001"/>
      <c r="C130" s="291">
        <f t="shared" si="25"/>
        <v>860.50978599864015</v>
      </c>
      <c r="D130" s="291">
        <f t="shared" si="25"/>
        <v>720.45095267645775</v>
      </c>
      <c r="E130" s="291">
        <f t="shared" si="25"/>
        <v>1031.0901745265064</v>
      </c>
      <c r="F130" s="292">
        <f t="shared" si="25"/>
        <v>912.73646524378114</v>
      </c>
    </row>
    <row r="131" spans="1:12" ht="15.75" customHeight="1" x14ac:dyDescent="0.2">
      <c r="A131" s="1001" t="s">
        <v>552</v>
      </c>
      <c r="B131" s="1001"/>
      <c r="C131" s="291">
        <f t="shared" si="25"/>
        <v>885.31329105639077</v>
      </c>
      <c r="D131" s="291">
        <f t="shared" si="25"/>
        <v>741.21737409237858</v>
      </c>
      <c r="E131" s="291">
        <f t="shared" si="25"/>
        <v>1060.8105225980687</v>
      </c>
      <c r="F131" s="292">
        <f t="shared" si="25"/>
        <v>939.04536248170643</v>
      </c>
    </row>
    <row r="132" spans="1:12" ht="15.75" customHeight="1" x14ac:dyDescent="0.2">
      <c r="A132" s="1001" t="s">
        <v>553</v>
      </c>
      <c r="B132" s="1001"/>
      <c r="C132" s="291">
        <f t="shared" si="25"/>
        <v>935.7780592718716</v>
      </c>
      <c r="D132" s="291">
        <f t="shared" si="25"/>
        <v>783.46836406252316</v>
      </c>
      <c r="E132" s="291">
        <f t="shared" si="25"/>
        <v>1121.2790117580771</v>
      </c>
      <c r="F132" s="292">
        <f t="shared" si="25"/>
        <v>992.57297472947403</v>
      </c>
    </row>
    <row r="133" spans="1:12" ht="15.75" customHeight="1" x14ac:dyDescent="0.2">
      <c r="A133" s="1002" t="s">
        <v>554</v>
      </c>
      <c r="B133" s="1002"/>
      <c r="C133" s="291">
        <f t="shared" si="25"/>
        <v>987.41984832036655</v>
      </c>
      <c r="D133" s="291">
        <f t="shared" si="25"/>
        <v>826.70479986287512</v>
      </c>
      <c r="E133" s="291">
        <f t="shared" si="25"/>
        <v>1183.157844688581</v>
      </c>
      <c r="F133" s="292">
        <f t="shared" si="25"/>
        <v>1047.3490444057611</v>
      </c>
    </row>
    <row r="134" spans="1:12" ht="15.75" customHeight="1" x14ac:dyDescent="0.2">
      <c r="A134" s="293" t="s">
        <v>555</v>
      </c>
      <c r="B134" s="294"/>
      <c r="C134" s="295">
        <f>C128+C129</f>
        <v>4328.4911086907832</v>
      </c>
      <c r="D134" s="295">
        <f>D128+D129</f>
        <v>3623.9745249251337</v>
      </c>
      <c r="E134" s="295">
        <f>E128+E129</f>
        <v>5186.5356156489579</v>
      </c>
      <c r="F134" s="296">
        <f>F128+F129</f>
        <v>4561.565272656575</v>
      </c>
    </row>
    <row r="135" spans="1:12" ht="15.75" customHeight="1" x14ac:dyDescent="0.2">
      <c r="A135" s="297" t="s">
        <v>556</v>
      </c>
      <c r="B135" s="298"/>
      <c r="C135" s="299">
        <f>C128+C130</f>
        <v>4353.015137635206</v>
      </c>
      <c r="D135" s="299">
        <f>D128+D130</f>
        <v>3644.5069584941148</v>
      </c>
      <c r="E135" s="299">
        <f>E128+E130</f>
        <v>5215.9210865591504</v>
      </c>
      <c r="F135" s="300">
        <f>F128+F130</f>
        <v>4587.5777316157628</v>
      </c>
    </row>
    <row r="136" spans="1:12" ht="15.75" customHeight="1" x14ac:dyDescent="0.2">
      <c r="A136" s="297" t="s">
        <v>557</v>
      </c>
      <c r="B136" s="298"/>
      <c r="C136" s="299">
        <f>C128+C131</f>
        <v>4377.8186426929569</v>
      </c>
      <c r="D136" s="299">
        <f>D128+D131</f>
        <v>3665.2733799100356</v>
      </c>
      <c r="E136" s="299">
        <f>E128+E131</f>
        <v>5245.6414346307129</v>
      </c>
      <c r="F136" s="300">
        <f>F128+F131</f>
        <v>4613.8866288536883</v>
      </c>
    </row>
    <row r="137" spans="1:12" ht="15.75" customHeight="1" x14ac:dyDescent="0.2">
      <c r="A137" s="297" t="s">
        <v>558</v>
      </c>
      <c r="B137" s="298"/>
      <c r="C137" s="299">
        <f>C128+C132</f>
        <v>4428.2834109084379</v>
      </c>
      <c r="D137" s="299">
        <f>D128+D132</f>
        <v>3707.5243698801801</v>
      </c>
      <c r="E137" s="299">
        <f>E128+E132</f>
        <v>5306.109923790721</v>
      </c>
      <c r="F137" s="300">
        <f>F128+F132</f>
        <v>4667.4142411014564</v>
      </c>
    </row>
    <row r="138" spans="1:12" ht="15.75" customHeight="1" x14ac:dyDescent="0.2">
      <c r="A138" s="297" t="s">
        <v>559</v>
      </c>
      <c r="B138" s="298"/>
      <c r="C138" s="299">
        <f>C128+C133</f>
        <v>4479.9251999569324</v>
      </c>
      <c r="D138" s="299">
        <f>D128+D133</f>
        <v>3750.760805680532</v>
      </c>
      <c r="E138" s="299">
        <f>E128+E133</f>
        <v>5367.9887567212245</v>
      </c>
      <c r="F138" s="300">
        <f>F128+F133</f>
        <v>4722.1903107777434</v>
      </c>
    </row>
    <row r="139" spans="1:12" ht="15.75" customHeight="1" x14ac:dyDescent="0.2">
      <c r="A139" s="301" t="s">
        <v>560</v>
      </c>
      <c r="B139" s="302"/>
      <c r="C139" s="303">
        <f>C134/200</f>
        <v>21.642455543453917</v>
      </c>
      <c r="D139" s="303"/>
      <c r="E139" s="304"/>
      <c r="F139" s="305"/>
    </row>
    <row r="140" spans="1:12" ht="15.75" customHeight="1" x14ac:dyDescent="0.2">
      <c r="A140" s="306" t="s">
        <v>561</v>
      </c>
      <c r="B140" s="307"/>
      <c r="C140" s="308">
        <f>C135/200</f>
        <v>21.765075688176029</v>
      </c>
      <c r="D140" s="308"/>
      <c r="E140" s="309"/>
      <c r="F140" s="310"/>
    </row>
    <row r="141" spans="1:12" ht="15.75" customHeight="1" x14ac:dyDescent="0.2">
      <c r="A141" s="306" t="s">
        <v>562</v>
      </c>
      <c r="B141" s="307"/>
      <c r="C141" s="308">
        <f>C136/200</f>
        <v>21.889093213464786</v>
      </c>
      <c r="D141" s="308"/>
      <c r="E141" s="309"/>
      <c r="F141" s="310"/>
    </row>
    <row r="142" spans="1:12" ht="15.75" customHeight="1" x14ac:dyDescent="0.2">
      <c r="A142" s="306" t="s">
        <v>563</v>
      </c>
      <c r="B142" s="307"/>
      <c r="C142" s="308">
        <f>C137/200</f>
        <v>22.141417054542188</v>
      </c>
      <c r="D142" s="308"/>
      <c r="E142" s="309"/>
      <c r="F142" s="310"/>
    </row>
    <row r="143" spans="1:12" ht="15.75" customHeight="1" x14ac:dyDescent="0.2">
      <c r="A143" s="311" t="s">
        <v>564</v>
      </c>
      <c r="B143" s="312"/>
      <c r="C143" s="313">
        <f>C138/200</f>
        <v>22.399625999784661</v>
      </c>
      <c r="D143" s="313"/>
      <c r="E143" s="314"/>
      <c r="F143" s="315"/>
    </row>
    <row r="144" spans="1:12" x14ac:dyDescent="0.2">
      <c r="A144" s="316"/>
      <c r="B144"/>
      <c r="C144"/>
      <c r="D144"/>
      <c r="E144"/>
      <c r="F144"/>
      <c r="G144"/>
      <c r="H144"/>
      <c r="I144"/>
      <c r="J144"/>
      <c r="K144"/>
      <c r="L144"/>
    </row>
    <row r="145" spans="1:15" ht="14.25" customHeight="1" x14ac:dyDescent="0.2">
      <c r="A145" s="1003" t="s">
        <v>565</v>
      </c>
      <c r="B145" s="1003"/>
      <c r="C145" s="1003" t="s">
        <v>566</v>
      </c>
      <c r="D145" s="1003"/>
      <c r="E145" s="999" t="s">
        <v>567</v>
      </c>
      <c r="F145" s="1000"/>
      <c r="G145" s="998" t="s">
        <v>568</v>
      </c>
      <c r="H145" s="998"/>
      <c r="I145" s="998" t="s">
        <v>569</v>
      </c>
      <c r="J145" s="998"/>
      <c r="K145" s="998" t="s">
        <v>570</v>
      </c>
      <c r="L145" s="998"/>
    </row>
    <row r="146" spans="1:15" ht="38.25" x14ac:dyDescent="0.2">
      <c r="A146" s="347" t="s">
        <v>571</v>
      </c>
      <c r="B146" s="348" t="s">
        <v>572</v>
      </c>
      <c r="C146" s="348" t="s">
        <v>573</v>
      </c>
      <c r="D146" s="348" t="s">
        <v>574</v>
      </c>
      <c r="E146" s="348" t="s">
        <v>573</v>
      </c>
      <c r="F146" s="348" t="s">
        <v>574</v>
      </c>
      <c r="G146" s="348" t="s">
        <v>573</v>
      </c>
      <c r="H146" s="348" t="s">
        <v>574</v>
      </c>
      <c r="I146" s="348" t="s">
        <v>573</v>
      </c>
      <c r="J146" s="348" t="s">
        <v>574</v>
      </c>
      <c r="K146" s="348" t="s">
        <v>573</v>
      </c>
      <c r="L146" s="348" t="s">
        <v>574</v>
      </c>
    </row>
    <row r="147" spans="1:15" x14ac:dyDescent="0.2">
      <c r="A147" s="349" t="s">
        <v>575</v>
      </c>
      <c r="B147" s="350">
        <f>1/'Prod. GEXCAS'!C24</f>
        <v>1.25E-3</v>
      </c>
      <c r="C147" s="351">
        <f>C134</f>
        <v>4328.4911086907832</v>
      </c>
      <c r="D147" s="351">
        <f>B147*C147</f>
        <v>5.4106138858634791</v>
      </c>
      <c r="E147" s="351">
        <f>C135</f>
        <v>4353.015137635206</v>
      </c>
      <c r="F147" s="351">
        <f>B147*E147</f>
        <v>5.4412689220440074</v>
      </c>
      <c r="G147" s="351">
        <f>C136</f>
        <v>4377.8186426929569</v>
      </c>
      <c r="H147" s="351">
        <f>B147*G147</f>
        <v>5.4722733033661966</v>
      </c>
      <c r="I147" s="351">
        <f>C137</f>
        <v>4428.2834109084379</v>
      </c>
      <c r="J147" s="351">
        <f>B147*I147</f>
        <v>5.5353542636355471</v>
      </c>
      <c r="K147" s="351">
        <f>C138</f>
        <v>4479.9251999569324</v>
      </c>
      <c r="L147" s="351">
        <f>B147*K147</f>
        <v>5.5999064999461652</v>
      </c>
    </row>
    <row r="148" spans="1:15" x14ac:dyDescent="0.2">
      <c r="A148" s="352" t="s">
        <v>576</v>
      </c>
      <c r="B148" s="350">
        <f>B147/'Prod. GEXCAS'!O24</f>
        <v>3.7878787878787879E-5</v>
      </c>
      <c r="C148" s="351">
        <f>F136</f>
        <v>4613.8866288536883</v>
      </c>
      <c r="D148" s="351">
        <f>C148*B148</f>
        <v>0.17476843291112457</v>
      </c>
      <c r="E148" s="351">
        <f>F136</f>
        <v>4613.8866288536883</v>
      </c>
      <c r="F148" s="351">
        <f>B148*E148</f>
        <v>0.17476843291112457</v>
      </c>
      <c r="G148" s="351">
        <f>F136</f>
        <v>4613.8866288536883</v>
      </c>
      <c r="H148" s="351">
        <f>B148*G148</f>
        <v>0.17476843291112457</v>
      </c>
      <c r="I148" s="351">
        <f>F136</f>
        <v>4613.8866288536883</v>
      </c>
      <c r="J148" s="351">
        <f>B148*I148</f>
        <v>0.17476843291112457</v>
      </c>
      <c r="K148" s="351">
        <f>F136</f>
        <v>4613.8866288536883</v>
      </c>
      <c r="L148" s="351">
        <f>B148*K148</f>
        <v>0.17476843291112457</v>
      </c>
      <c r="M148" s="987"/>
      <c r="N148" s="988"/>
      <c r="O148" s="517"/>
    </row>
    <row r="149" spans="1:15" x14ac:dyDescent="0.2">
      <c r="A149" s="353" t="s">
        <v>579</v>
      </c>
      <c r="B149" s="354"/>
      <c r="C149" s="355"/>
      <c r="D149" s="355">
        <f>SUM(D147:D148)</f>
        <v>5.5853823187746041</v>
      </c>
      <c r="E149" s="355"/>
      <c r="F149" s="355">
        <f>SUM(F147:F148)</f>
        <v>5.6160373549551323</v>
      </c>
      <c r="G149" s="355"/>
      <c r="H149" s="355">
        <f>SUM(H147:H148)</f>
        <v>5.6470417362773215</v>
      </c>
      <c r="I149" s="355"/>
      <c r="J149" s="355">
        <f>SUM(J147:J148)</f>
        <v>5.710122696546672</v>
      </c>
      <c r="K149" s="355"/>
      <c r="L149" s="355">
        <f>SUM(L147:L148)</f>
        <v>5.7746749328572902</v>
      </c>
      <c r="M149" s="515"/>
      <c r="N149" s="516"/>
    </row>
    <row r="150" spans="1:15" x14ac:dyDescent="0.2">
      <c r="A150" s="317"/>
      <c r="B150" s="318"/>
      <c r="C150" s="318"/>
      <c r="D150" s="319"/>
      <c r="E150" s="319"/>
      <c r="F150"/>
      <c r="G150"/>
      <c r="H150"/>
      <c r="I150"/>
      <c r="J150"/>
      <c r="K150"/>
      <c r="L150"/>
    </row>
    <row r="151" spans="1:15" ht="14.25" customHeight="1" x14ac:dyDescent="0.2">
      <c r="A151" s="995" t="s">
        <v>580</v>
      </c>
      <c r="B151" s="995"/>
      <c r="C151" s="995" t="s">
        <v>566</v>
      </c>
      <c r="D151" s="995"/>
      <c r="E151" s="996" t="s">
        <v>567</v>
      </c>
      <c r="F151" s="997"/>
      <c r="G151" s="995" t="s">
        <v>568</v>
      </c>
      <c r="H151" s="995"/>
      <c r="I151" s="995" t="s">
        <v>569</v>
      </c>
      <c r="J151" s="995"/>
      <c r="K151" s="995" t="s">
        <v>570</v>
      </c>
      <c r="L151" s="995"/>
    </row>
    <row r="152" spans="1:15" ht="38.25" x14ac:dyDescent="0.2">
      <c r="A152" s="347" t="s">
        <v>571</v>
      </c>
      <c r="B152" s="348" t="s">
        <v>581</v>
      </c>
      <c r="C152" s="348" t="s">
        <v>573</v>
      </c>
      <c r="D152" s="348" t="s">
        <v>574</v>
      </c>
      <c r="E152" s="348" t="s">
        <v>573</v>
      </c>
      <c r="F152" s="348" t="s">
        <v>574</v>
      </c>
      <c r="G152" s="348" t="s">
        <v>573</v>
      </c>
      <c r="H152" s="348" t="s">
        <v>574</v>
      </c>
      <c r="I152" s="348" t="s">
        <v>573</v>
      </c>
      <c r="J152" s="348" t="s">
        <v>574</v>
      </c>
      <c r="K152" s="348" t="s">
        <v>573</v>
      </c>
      <c r="L152" s="348" t="s">
        <v>574</v>
      </c>
    </row>
    <row r="153" spans="1:15" x14ac:dyDescent="0.2">
      <c r="A153" s="349" t="s">
        <v>575</v>
      </c>
      <c r="B153" s="356">
        <f>1/'Prod. GEXCAS'!D24</f>
        <v>6.6666666666666664E-4</v>
      </c>
      <c r="C153" s="357">
        <f>C134</f>
        <v>4328.4911086907832</v>
      </c>
      <c r="D153" s="351">
        <f>B153*C153</f>
        <v>2.8856607391271889</v>
      </c>
      <c r="E153" s="351">
        <f>C135</f>
        <v>4353.015137635206</v>
      </c>
      <c r="F153" s="351">
        <f>B153*E153</f>
        <v>2.9020100917568037</v>
      </c>
      <c r="G153" s="351">
        <f>C136</f>
        <v>4377.8186426929569</v>
      </c>
      <c r="H153" s="351">
        <f>B153*G153</f>
        <v>2.9185457617953046</v>
      </c>
      <c r="I153" s="351">
        <f>C137</f>
        <v>4428.2834109084379</v>
      </c>
      <c r="J153" s="351">
        <f>B153*I153</f>
        <v>2.952188940605625</v>
      </c>
      <c r="K153" s="351">
        <f>C138</f>
        <v>4479.9251999569324</v>
      </c>
      <c r="L153" s="351">
        <f>B153*K153</f>
        <v>2.986616799971288</v>
      </c>
    </row>
    <row r="154" spans="1:15" x14ac:dyDescent="0.2">
      <c r="A154" s="352" t="s">
        <v>576</v>
      </c>
      <c r="B154" s="350">
        <f>B153/'Prod. GEXCAS'!O24</f>
        <v>2.0202020202020203E-5</v>
      </c>
      <c r="C154" s="351">
        <f>F136</f>
        <v>4613.8866288536883</v>
      </c>
      <c r="D154" s="351">
        <f>B154*C154</f>
        <v>9.3209830885933098E-2</v>
      </c>
      <c r="E154" s="351">
        <f>F136</f>
        <v>4613.8866288536883</v>
      </c>
      <c r="F154" s="351">
        <f>B154*E154</f>
        <v>9.3209830885933098E-2</v>
      </c>
      <c r="G154" s="351">
        <f>F136</f>
        <v>4613.8866288536883</v>
      </c>
      <c r="H154" s="351">
        <f>B154*G154</f>
        <v>9.3209830885933098E-2</v>
      </c>
      <c r="I154" s="351">
        <f>F136</f>
        <v>4613.8866288536883</v>
      </c>
      <c r="J154" s="351">
        <f>B154*I154</f>
        <v>9.3209830885933098E-2</v>
      </c>
      <c r="K154" s="351">
        <f>F136</f>
        <v>4613.8866288536883</v>
      </c>
      <c r="L154" s="351">
        <f>B154*K154</f>
        <v>9.3209830885933098E-2</v>
      </c>
    </row>
    <row r="155" spans="1:15" x14ac:dyDescent="0.2">
      <c r="A155" s="353" t="s">
        <v>582</v>
      </c>
      <c r="B155" s="354"/>
      <c r="C155" s="355"/>
      <c r="D155" s="355">
        <f>SUM(D153:D154)</f>
        <v>2.9788705700131222</v>
      </c>
      <c r="E155" s="355"/>
      <c r="F155" s="355">
        <f>SUM(F153:F154)</f>
        <v>2.995219922642737</v>
      </c>
      <c r="G155" s="355"/>
      <c r="H155" s="355">
        <f>SUM(H153:H154)</f>
        <v>3.0117555926812378</v>
      </c>
      <c r="I155" s="355"/>
      <c r="J155" s="355">
        <f>SUM(J153:J154)</f>
        <v>3.0453987714915582</v>
      </c>
      <c r="K155" s="355"/>
      <c r="L155" s="355">
        <f>SUM(L153:L154)</f>
        <v>3.0798266308572213</v>
      </c>
    </row>
    <row r="156" spans="1:15" x14ac:dyDescent="0.2">
      <c r="A156" s="317"/>
      <c r="B156" s="320"/>
      <c r="C156" s="320"/>
      <c r="D156" s="320"/>
      <c r="E156" s="320"/>
      <c r="F156"/>
      <c r="G156"/>
      <c r="H156"/>
      <c r="I156"/>
      <c r="J156"/>
      <c r="K156"/>
      <c r="L156"/>
    </row>
    <row r="157" spans="1:15" ht="14.25" customHeight="1" x14ac:dyDescent="0.2">
      <c r="A157" s="995" t="s">
        <v>583</v>
      </c>
      <c r="B157" s="995"/>
      <c r="C157" s="995" t="s">
        <v>566</v>
      </c>
      <c r="D157" s="995"/>
      <c r="E157" s="996" t="s">
        <v>567</v>
      </c>
      <c r="F157" s="997"/>
      <c r="G157" s="995" t="s">
        <v>568</v>
      </c>
      <c r="H157" s="995"/>
      <c r="I157" s="995" t="s">
        <v>569</v>
      </c>
      <c r="J157" s="995"/>
      <c r="K157" s="995" t="s">
        <v>570</v>
      </c>
      <c r="L157" s="995"/>
    </row>
    <row r="158" spans="1:15" ht="38.25" x14ac:dyDescent="0.2">
      <c r="A158" s="347" t="s">
        <v>571</v>
      </c>
      <c r="B158" s="348" t="s">
        <v>581</v>
      </c>
      <c r="C158" s="348" t="s">
        <v>573</v>
      </c>
      <c r="D158" s="348" t="s">
        <v>574</v>
      </c>
      <c r="E158" s="348" t="s">
        <v>573</v>
      </c>
      <c r="F158" s="348" t="s">
        <v>574</v>
      </c>
      <c r="G158" s="348" t="s">
        <v>573</v>
      </c>
      <c r="H158" s="348" t="s">
        <v>574</v>
      </c>
      <c r="I158" s="348" t="s">
        <v>573</v>
      </c>
      <c r="J158" s="348" t="s">
        <v>574</v>
      </c>
      <c r="K158" s="348" t="s">
        <v>573</v>
      </c>
      <c r="L158" s="348" t="s">
        <v>574</v>
      </c>
    </row>
    <row r="159" spans="1:15" x14ac:dyDescent="0.2">
      <c r="A159" s="349" t="s">
        <v>575</v>
      </c>
      <c r="B159" s="356">
        <f>1/'Prod. GEXCAS'!E24</f>
        <v>1E-3</v>
      </c>
      <c r="C159" s="357">
        <f>C134</f>
        <v>4328.4911086907832</v>
      </c>
      <c r="D159" s="351">
        <f>B159*C159</f>
        <v>4.3284911086907831</v>
      </c>
      <c r="E159" s="351">
        <f>C135</f>
        <v>4353.015137635206</v>
      </c>
      <c r="F159" s="351">
        <f>B159*E159</f>
        <v>4.3530151376352064</v>
      </c>
      <c r="G159" s="351">
        <f>C136</f>
        <v>4377.8186426929569</v>
      </c>
      <c r="H159" s="351">
        <f>B159*G159</f>
        <v>4.3778186426929571</v>
      </c>
      <c r="I159" s="351">
        <f>C137</f>
        <v>4428.2834109084379</v>
      </c>
      <c r="J159" s="351">
        <f>B159*I159</f>
        <v>4.4282834109084384</v>
      </c>
      <c r="K159" s="351">
        <f>C138</f>
        <v>4479.9251999569324</v>
      </c>
      <c r="L159" s="351">
        <f>B159*K159</f>
        <v>4.4799251999569325</v>
      </c>
    </row>
    <row r="160" spans="1:15" x14ac:dyDescent="0.2">
      <c r="A160" s="352" t="s">
        <v>576</v>
      </c>
      <c r="B160" s="350">
        <f>B159/'Prod. GEXCAS'!O24</f>
        <v>3.0303030303030302E-5</v>
      </c>
      <c r="C160" s="351">
        <f>F136</f>
        <v>4613.8866288536883</v>
      </c>
      <c r="D160" s="351">
        <f>B160*C160</f>
        <v>0.13981474632889965</v>
      </c>
      <c r="E160" s="351">
        <f>F136</f>
        <v>4613.8866288536883</v>
      </c>
      <c r="F160" s="351">
        <f>B160*E160</f>
        <v>0.13981474632889965</v>
      </c>
      <c r="G160" s="351">
        <f>F136</f>
        <v>4613.8866288536883</v>
      </c>
      <c r="H160" s="351">
        <f>B160*G160</f>
        <v>0.13981474632889965</v>
      </c>
      <c r="I160" s="351">
        <f>F136</f>
        <v>4613.8866288536883</v>
      </c>
      <c r="J160" s="351">
        <f>B160*I160</f>
        <v>0.13981474632889965</v>
      </c>
      <c r="K160" s="351">
        <f>F136</f>
        <v>4613.8866288536883</v>
      </c>
      <c r="L160" s="351">
        <f>B160*K160</f>
        <v>0.13981474632889965</v>
      </c>
    </row>
    <row r="161" spans="1:14" x14ac:dyDescent="0.2">
      <c r="A161" s="353" t="s">
        <v>582</v>
      </c>
      <c r="B161" s="354"/>
      <c r="C161" s="355"/>
      <c r="D161" s="355">
        <f>SUM(D159:D160)</f>
        <v>4.4683058550196826</v>
      </c>
      <c r="E161" s="355"/>
      <c r="F161" s="355">
        <f>SUM(F159:F160)</f>
        <v>4.4928298839641059</v>
      </c>
      <c r="G161" s="355"/>
      <c r="H161" s="355">
        <f>SUM(H159:H160)</f>
        <v>4.5176333890218565</v>
      </c>
      <c r="I161" s="355"/>
      <c r="J161" s="355">
        <f>SUM(J159:J160)</f>
        <v>4.5680981572373378</v>
      </c>
      <c r="K161" s="355"/>
      <c r="L161" s="355">
        <f>SUM(L159:L160)</f>
        <v>4.619739946285832</v>
      </c>
    </row>
    <row r="162" spans="1:14" x14ac:dyDescent="0.2">
      <c r="A162" s="317"/>
      <c r="B162" s="320"/>
      <c r="C162" s="320"/>
      <c r="D162" s="320"/>
      <c r="E162" s="320"/>
      <c r="F162"/>
      <c r="G162"/>
      <c r="H162"/>
      <c r="I162"/>
      <c r="J162"/>
      <c r="K162"/>
      <c r="L162"/>
    </row>
    <row r="163" spans="1:14" ht="14.25" customHeight="1" x14ac:dyDescent="0.2">
      <c r="A163" s="995" t="s">
        <v>584</v>
      </c>
      <c r="B163" s="995"/>
      <c r="C163" s="995" t="s">
        <v>566</v>
      </c>
      <c r="D163" s="995"/>
      <c r="E163" s="996" t="s">
        <v>567</v>
      </c>
      <c r="F163" s="997"/>
      <c r="G163" s="995" t="s">
        <v>568</v>
      </c>
      <c r="H163" s="995"/>
      <c r="I163" s="995" t="s">
        <v>569</v>
      </c>
      <c r="J163" s="995"/>
      <c r="K163" s="995" t="s">
        <v>570</v>
      </c>
      <c r="L163" s="995"/>
    </row>
    <row r="164" spans="1:14" ht="38.25" x14ac:dyDescent="0.2">
      <c r="A164" s="347" t="s">
        <v>571</v>
      </c>
      <c r="B164" s="348" t="s">
        <v>581</v>
      </c>
      <c r="C164" s="348" t="s">
        <v>573</v>
      </c>
      <c r="D164" s="348" t="s">
        <v>574</v>
      </c>
      <c r="E164" s="348" t="s">
        <v>573</v>
      </c>
      <c r="F164" s="348" t="s">
        <v>574</v>
      </c>
      <c r="G164" s="348" t="s">
        <v>573</v>
      </c>
      <c r="H164" s="348" t="s">
        <v>574</v>
      </c>
      <c r="I164" s="348" t="s">
        <v>573</v>
      </c>
      <c r="J164" s="348" t="s">
        <v>574</v>
      </c>
      <c r="K164" s="348" t="s">
        <v>573</v>
      </c>
      <c r="L164" s="348" t="s">
        <v>574</v>
      </c>
    </row>
    <row r="165" spans="1:14" x14ac:dyDescent="0.2">
      <c r="A165" s="349" t="s">
        <v>575</v>
      </c>
      <c r="B165" s="356">
        <f>1/'Prod. GEXCAS'!F24</f>
        <v>5.0000000000000001E-3</v>
      </c>
      <c r="C165" s="351">
        <f>C134</f>
        <v>4328.4911086907832</v>
      </c>
      <c r="D165" s="351">
        <f>B165*C165</f>
        <v>21.642455543453917</v>
      </c>
      <c r="E165" s="351">
        <f>C135</f>
        <v>4353.015137635206</v>
      </c>
      <c r="F165" s="351">
        <f>B165*E165</f>
        <v>21.765075688176029</v>
      </c>
      <c r="G165" s="351">
        <f>C136</f>
        <v>4377.8186426929569</v>
      </c>
      <c r="H165" s="351">
        <f>B165*G165</f>
        <v>21.889093213464786</v>
      </c>
      <c r="I165" s="351">
        <f>C137</f>
        <v>4428.2834109084379</v>
      </c>
      <c r="J165" s="351">
        <f>B165*I165</f>
        <v>22.141417054542188</v>
      </c>
      <c r="K165" s="351">
        <f>C138</f>
        <v>4479.9251999569324</v>
      </c>
      <c r="L165" s="351">
        <f>B165*K165</f>
        <v>22.399625999784661</v>
      </c>
    </row>
    <row r="166" spans="1:14" x14ac:dyDescent="0.2">
      <c r="A166" s="352" t="s">
        <v>576</v>
      </c>
      <c r="B166" s="350">
        <f>B165/'Prod. GEXCAS'!O24</f>
        <v>1.5151515151515152E-4</v>
      </c>
      <c r="C166" s="351">
        <f>F136</f>
        <v>4613.8866288536883</v>
      </c>
      <c r="D166" s="351">
        <f>C166*B166</f>
        <v>0.69907373164449826</v>
      </c>
      <c r="E166" s="351">
        <f>F136</f>
        <v>4613.8866288536883</v>
      </c>
      <c r="F166" s="351">
        <f>B166*E166</f>
        <v>0.69907373164449826</v>
      </c>
      <c r="G166" s="351">
        <f>F136</f>
        <v>4613.8866288536883</v>
      </c>
      <c r="H166" s="351">
        <f>B166*G166</f>
        <v>0.69907373164449826</v>
      </c>
      <c r="I166" s="351">
        <f>F136</f>
        <v>4613.8866288536883</v>
      </c>
      <c r="J166" s="351">
        <f>B166*I166</f>
        <v>0.69907373164449826</v>
      </c>
      <c r="K166" s="351">
        <f>F136</f>
        <v>4613.8866288536883</v>
      </c>
      <c r="L166" s="351">
        <f>B166*K166</f>
        <v>0.69907373164449826</v>
      </c>
    </row>
    <row r="167" spans="1:14" x14ac:dyDescent="0.2">
      <c r="A167" s="353" t="s">
        <v>582</v>
      </c>
      <c r="B167" s="354"/>
      <c r="C167" s="355"/>
      <c r="D167" s="355">
        <f>SUM(D165:D166)</f>
        <v>22.341529275098416</v>
      </c>
      <c r="E167" s="355"/>
      <c r="F167" s="355">
        <f>SUM(F165:F166)</f>
        <v>22.464149419820529</v>
      </c>
      <c r="G167" s="355"/>
      <c r="H167" s="355">
        <f>SUM(H165:H166)</f>
        <v>22.588166945109286</v>
      </c>
      <c r="I167" s="355"/>
      <c r="J167" s="355">
        <f>SUM(J165:J166)</f>
        <v>22.840490786186688</v>
      </c>
      <c r="K167" s="355"/>
      <c r="L167" s="355">
        <f>SUM(L165:L166)</f>
        <v>23.098699731429161</v>
      </c>
    </row>
    <row r="168" spans="1:14" x14ac:dyDescent="0.2">
      <c r="A168" s="317"/>
      <c r="B168" s="321"/>
      <c r="C168" s="321"/>
      <c r="D168" s="321"/>
      <c r="E168" s="321"/>
    </row>
    <row r="169" spans="1:14" ht="14.25" customHeight="1" x14ac:dyDescent="0.2">
      <c r="A169" s="989" t="s">
        <v>585</v>
      </c>
      <c r="B169" s="989"/>
      <c r="C169" s="989" t="s">
        <v>566</v>
      </c>
      <c r="D169" s="989"/>
      <c r="E169" s="993" t="s">
        <v>567</v>
      </c>
      <c r="F169" s="994"/>
      <c r="G169" s="989" t="s">
        <v>568</v>
      </c>
      <c r="H169" s="989"/>
      <c r="I169" s="989" t="s">
        <v>569</v>
      </c>
      <c r="J169" s="989"/>
      <c r="K169" s="989" t="s">
        <v>570</v>
      </c>
      <c r="L169" s="989"/>
    </row>
    <row r="170" spans="1:14" ht="38.25" x14ac:dyDescent="0.2">
      <c r="A170" s="347" t="s">
        <v>571</v>
      </c>
      <c r="B170" s="348" t="s">
        <v>581</v>
      </c>
      <c r="C170" s="348" t="s">
        <v>573</v>
      </c>
      <c r="D170" s="348" t="s">
        <v>574</v>
      </c>
      <c r="E170" s="348" t="s">
        <v>573</v>
      </c>
      <c r="F170" s="348" t="s">
        <v>574</v>
      </c>
      <c r="G170" s="348" t="s">
        <v>573</v>
      </c>
      <c r="H170" s="348" t="s">
        <v>574</v>
      </c>
      <c r="I170" s="348" t="s">
        <v>573</v>
      </c>
      <c r="J170" s="348" t="s">
        <v>574</v>
      </c>
      <c r="K170" s="348" t="s">
        <v>573</v>
      </c>
      <c r="L170" s="348" t="s">
        <v>574</v>
      </c>
    </row>
    <row r="171" spans="1:14" x14ac:dyDescent="0.2">
      <c r="A171" s="349" t="s">
        <v>586</v>
      </c>
      <c r="B171" s="356">
        <f>1/'Prod. GEXCAS'!G24</f>
        <v>5.5555555555555556E-4</v>
      </c>
      <c r="C171" s="351">
        <f>C134</f>
        <v>4328.4911086907832</v>
      </c>
      <c r="D171" s="351">
        <f>B171*C171</f>
        <v>2.4047172826059908</v>
      </c>
      <c r="E171" s="351">
        <f>C135</f>
        <v>4353.015137635206</v>
      </c>
      <c r="F171" s="351">
        <f>B171*E171</f>
        <v>2.4183417431306702</v>
      </c>
      <c r="G171" s="351">
        <f>C136</f>
        <v>4377.8186426929569</v>
      </c>
      <c r="H171" s="351">
        <f>B171*G171</f>
        <v>2.4321214681627539</v>
      </c>
      <c r="I171" s="351">
        <f>C137</f>
        <v>4428.2834109084379</v>
      </c>
      <c r="J171" s="351">
        <f>B171*I171</f>
        <v>2.4601574505046879</v>
      </c>
      <c r="K171" s="351">
        <f>C138</f>
        <v>4479.9251999569324</v>
      </c>
      <c r="L171" s="351">
        <f>B171*K171</f>
        <v>2.488847333309407</v>
      </c>
    </row>
    <row r="172" spans="1:14" x14ac:dyDescent="0.2">
      <c r="A172" s="352" t="s">
        <v>576</v>
      </c>
      <c r="B172" s="350">
        <f>B171/'Prod. GEXCAS'!O24</f>
        <v>1.6835016835016834E-5</v>
      </c>
      <c r="C172" s="351">
        <f>F136</f>
        <v>4613.8866288536883</v>
      </c>
      <c r="D172" s="351">
        <f>B172*C172</f>
        <v>7.7674859071610911E-2</v>
      </c>
      <c r="E172" s="351">
        <f>F136</f>
        <v>4613.8866288536883</v>
      </c>
      <c r="F172" s="351">
        <f>B172*E172</f>
        <v>7.7674859071610911E-2</v>
      </c>
      <c r="G172" s="351">
        <f>F136</f>
        <v>4613.8866288536883</v>
      </c>
      <c r="H172" s="351">
        <f>B172*G172</f>
        <v>7.7674859071610911E-2</v>
      </c>
      <c r="I172" s="351">
        <f>F136</f>
        <v>4613.8866288536883</v>
      </c>
      <c r="J172" s="351">
        <f>B172*I172</f>
        <v>7.7674859071610911E-2</v>
      </c>
      <c r="K172" s="351">
        <f>F136</f>
        <v>4613.8866288536883</v>
      </c>
      <c r="L172" s="351">
        <f>B172*K172</f>
        <v>7.7674859071610911E-2</v>
      </c>
      <c r="M172" s="987"/>
      <c r="N172" s="988"/>
    </row>
    <row r="173" spans="1:14" x14ac:dyDescent="0.2">
      <c r="A173" s="358" t="s">
        <v>587</v>
      </c>
      <c r="B173" s="359"/>
      <c r="C173" s="360"/>
      <c r="D173" s="361">
        <f>SUM(D171:D172)</f>
        <v>2.4823921416776016</v>
      </c>
      <c r="E173" s="360"/>
      <c r="F173" s="361">
        <f>SUM(F171:F172)</f>
        <v>2.4960166022022809</v>
      </c>
      <c r="G173" s="360"/>
      <c r="H173" s="361">
        <f>SUM(H171:H172)</f>
        <v>2.5097963272343646</v>
      </c>
      <c r="I173" s="360"/>
      <c r="J173" s="361">
        <f>SUM(J171:J172)</f>
        <v>2.5378323095762987</v>
      </c>
      <c r="K173" s="360"/>
      <c r="L173" s="361">
        <f>SUM(L171:L172)</f>
        <v>2.5665221923810178</v>
      </c>
      <c r="M173" s="515"/>
      <c r="N173" s="516"/>
    </row>
    <row r="174" spans="1:14" x14ac:dyDescent="0.2">
      <c r="A174" s="349" t="s">
        <v>588</v>
      </c>
      <c r="B174" s="356">
        <f>1/'Prod. GEXCAS'!H24</f>
        <v>1.0000000000000001E-5</v>
      </c>
      <c r="C174" s="351">
        <f>C134</f>
        <v>4328.4911086907832</v>
      </c>
      <c r="D174" s="351">
        <f>B174*C174</f>
        <v>4.3284911086907837E-2</v>
      </c>
      <c r="E174" s="351">
        <f>C135</f>
        <v>4353.015137635206</v>
      </c>
      <c r="F174" s="351">
        <f>B174*E174</f>
        <v>4.3530151376352064E-2</v>
      </c>
      <c r="G174" s="351">
        <f>C136</f>
        <v>4377.8186426929569</v>
      </c>
      <c r="H174" s="351">
        <f>B174*G174</f>
        <v>4.3778186426929572E-2</v>
      </c>
      <c r="I174" s="351">
        <f>C137</f>
        <v>4428.2834109084379</v>
      </c>
      <c r="J174" s="351">
        <f>B174*I174</f>
        <v>4.4282834109084381E-2</v>
      </c>
      <c r="K174" s="351">
        <f>C138</f>
        <v>4479.9251999569324</v>
      </c>
      <c r="L174" s="351">
        <f>B174*K174</f>
        <v>4.4799251999569328E-2</v>
      </c>
    </row>
    <row r="175" spans="1:14" x14ac:dyDescent="0.2">
      <c r="A175" s="352" t="s">
        <v>576</v>
      </c>
      <c r="B175" s="350">
        <f>B174/'Prod. GEXCAS'!O24</f>
        <v>3.0303030303030305E-7</v>
      </c>
      <c r="C175" s="351">
        <f>F136</f>
        <v>4613.8866288536883</v>
      </c>
      <c r="D175" s="351">
        <f>B175*C175</f>
        <v>1.3981474632889966E-3</v>
      </c>
      <c r="E175" s="351">
        <f>F136</f>
        <v>4613.8866288536883</v>
      </c>
      <c r="F175" s="351">
        <f>B175*E175</f>
        <v>1.3981474632889966E-3</v>
      </c>
      <c r="G175" s="351">
        <f>F136</f>
        <v>4613.8866288536883</v>
      </c>
      <c r="H175" s="351">
        <f>B175*G175</f>
        <v>1.3981474632889966E-3</v>
      </c>
      <c r="I175" s="351">
        <f>F136</f>
        <v>4613.8866288536883</v>
      </c>
      <c r="J175" s="351">
        <f>B175*I175</f>
        <v>1.3981474632889966E-3</v>
      </c>
      <c r="K175" s="351">
        <f>F136</f>
        <v>4613.8866288536883</v>
      </c>
      <c r="L175" s="351">
        <f>B175*K175</f>
        <v>1.3981474632889966E-3</v>
      </c>
    </row>
    <row r="176" spans="1:14" x14ac:dyDescent="0.2">
      <c r="A176" s="358" t="s">
        <v>589</v>
      </c>
      <c r="B176" s="362"/>
      <c r="C176" s="360"/>
      <c r="D176" s="361">
        <f>SUM(D174:D175)</f>
        <v>4.4683058550196837E-2</v>
      </c>
      <c r="E176" s="360"/>
      <c r="F176" s="361">
        <f>SUM(F174:F175)</f>
        <v>4.4928298839641063E-2</v>
      </c>
      <c r="G176" s="360"/>
      <c r="H176" s="361">
        <f>SUM(H174:H175)</f>
        <v>4.5176333890218572E-2</v>
      </c>
      <c r="I176" s="360"/>
      <c r="J176" s="361">
        <f>SUM(J174:J175)</f>
        <v>4.568098157237338E-2</v>
      </c>
      <c r="K176" s="360"/>
      <c r="L176" s="361">
        <f>SUM(L174:L175)</f>
        <v>4.6197399462858328E-2</v>
      </c>
    </row>
    <row r="177" spans="1:14" x14ac:dyDescent="0.2">
      <c r="A177" s="349" t="s">
        <v>590</v>
      </c>
      <c r="B177" s="356">
        <f>1/'Prod. GEXCAS'!I24</f>
        <v>1.1111111111111112E-4</v>
      </c>
      <c r="C177" s="351">
        <f>C134</f>
        <v>4328.4911086907832</v>
      </c>
      <c r="D177" s="351">
        <f>B177*C177</f>
        <v>0.48094345652119813</v>
      </c>
      <c r="E177" s="351">
        <f>C135</f>
        <v>4353.015137635206</v>
      </c>
      <c r="F177" s="351">
        <f>B177*E177</f>
        <v>0.483668348626134</v>
      </c>
      <c r="G177" s="351">
        <f>C136</f>
        <v>4377.8186426929569</v>
      </c>
      <c r="H177" s="351">
        <f>B177*G177</f>
        <v>0.4864242936325508</v>
      </c>
      <c r="I177" s="351">
        <f>C137</f>
        <v>4428.2834109084379</v>
      </c>
      <c r="J177" s="351">
        <f>B177*I177</f>
        <v>0.49203149010093755</v>
      </c>
      <c r="K177" s="351">
        <f>C138</f>
        <v>4479.9251999569324</v>
      </c>
      <c r="L177" s="351">
        <f>B177*K177</f>
        <v>0.49776946666188138</v>
      </c>
    </row>
    <row r="178" spans="1:14" x14ac:dyDescent="0.2">
      <c r="A178" s="352" t="s">
        <v>576</v>
      </c>
      <c r="B178" s="350">
        <f>B177/'Prod. GEXCAS'!O24</f>
        <v>3.3670033670033671E-6</v>
      </c>
      <c r="C178" s="351">
        <f>F136</f>
        <v>4613.8866288536883</v>
      </c>
      <c r="D178" s="351">
        <f>B178*C178</f>
        <v>1.5534971814322184E-2</v>
      </c>
      <c r="E178" s="351">
        <f>F136</f>
        <v>4613.8866288536883</v>
      </c>
      <c r="F178" s="351">
        <f>B178*E178</f>
        <v>1.5534971814322184E-2</v>
      </c>
      <c r="G178" s="351">
        <f>F136</f>
        <v>4613.8866288536883</v>
      </c>
      <c r="H178" s="351">
        <f>B178*G178</f>
        <v>1.5534971814322184E-2</v>
      </c>
      <c r="I178" s="351">
        <f>F136</f>
        <v>4613.8866288536883</v>
      </c>
      <c r="J178" s="351">
        <f>B178*I178</f>
        <v>1.5534971814322184E-2</v>
      </c>
      <c r="K178" s="351">
        <f>F136</f>
        <v>4613.8866288536883</v>
      </c>
      <c r="L178" s="351">
        <f>B178*K178</f>
        <v>1.5534971814322184E-2</v>
      </c>
    </row>
    <row r="179" spans="1:14" x14ac:dyDescent="0.2">
      <c r="A179" s="358" t="s">
        <v>591</v>
      </c>
      <c r="B179" s="362"/>
      <c r="C179" s="360"/>
      <c r="D179" s="361">
        <f>SUM(D177:D178)</f>
        <v>0.49647842833552031</v>
      </c>
      <c r="E179" s="360"/>
      <c r="F179" s="361">
        <f>SUM(F177:F178)</f>
        <v>0.49920332044045618</v>
      </c>
      <c r="G179" s="360"/>
      <c r="H179" s="361">
        <f>SUM(H177:H178)</f>
        <v>0.50195926544687297</v>
      </c>
      <c r="I179" s="360"/>
      <c r="J179" s="361">
        <f>SUM(J177:J178)</f>
        <v>0.50756646191525978</v>
      </c>
      <c r="K179" s="360"/>
      <c r="L179" s="361">
        <f>SUM(L177:L178)</f>
        <v>0.51330443847620355</v>
      </c>
    </row>
    <row r="180" spans="1:14" x14ac:dyDescent="0.2">
      <c r="A180" s="317"/>
      <c r="B180" s="320"/>
      <c r="C180" s="320"/>
      <c r="D180" s="320"/>
      <c r="E180" s="320"/>
    </row>
    <row r="181" spans="1:14" ht="14.25" customHeight="1" x14ac:dyDescent="0.2">
      <c r="A181" s="992" t="s">
        <v>592</v>
      </c>
      <c r="B181" s="992"/>
      <c r="C181" s="992" t="s">
        <v>566</v>
      </c>
      <c r="D181" s="992"/>
      <c r="E181" s="990" t="s">
        <v>567</v>
      </c>
      <c r="F181" s="991"/>
      <c r="G181" s="992" t="s">
        <v>568</v>
      </c>
      <c r="H181" s="992"/>
      <c r="I181" s="992" t="s">
        <v>569</v>
      </c>
      <c r="J181" s="992"/>
      <c r="K181" s="992" t="s">
        <v>570</v>
      </c>
      <c r="L181" s="992"/>
    </row>
    <row r="182" spans="1:14" ht="38.25" x14ac:dyDescent="0.2">
      <c r="A182" s="347" t="s">
        <v>571</v>
      </c>
      <c r="B182" s="348" t="s">
        <v>581</v>
      </c>
      <c r="C182" s="348" t="s">
        <v>573</v>
      </c>
      <c r="D182" s="348" t="s">
        <v>574</v>
      </c>
      <c r="E182" s="348" t="s">
        <v>573</v>
      </c>
      <c r="F182" s="348" t="s">
        <v>574</v>
      </c>
      <c r="G182" s="348" t="s">
        <v>573</v>
      </c>
      <c r="H182" s="348" t="s">
        <v>574</v>
      </c>
      <c r="I182" s="348" t="s">
        <v>573</v>
      </c>
      <c r="J182" s="348" t="s">
        <v>574</v>
      </c>
      <c r="K182" s="348" t="s">
        <v>573</v>
      </c>
      <c r="L182" s="348" t="s">
        <v>574</v>
      </c>
    </row>
    <row r="183" spans="1:14" x14ac:dyDescent="0.2">
      <c r="A183" s="363" t="s">
        <v>593</v>
      </c>
      <c r="B183" s="356">
        <f>(1/'Prod. GEXCAS'!J24)*(1/(30/7*44*6))*8</f>
        <v>4.4191919191919199E-5</v>
      </c>
      <c r="C183" s="788">
        <f>E134</f>
        <v>5186.5356156489579</v>
      </c>
      <c r="D183" s="351">
        <f>B183*C183</f>
        <v>0.22920296281276964</v>
      </c>
      <c r="E183" s="788">
        <f>E135</f>
        <v>5215.9210865591504</v>
      </c>
      <c r="F183" s="351">
        <f>B183*E183</f>
        <v>0.23050156316864936</v>
      </c>
      <c r="G183" s="788">
        <f>E136</f>
        <v>5245.6414346307129</v>
      </c>
      <c r="H183" s="351">
        <f>B183*G183</f>
        <v>0.23181496238898355</v>
      </c>
      <c r="I183" s="788">
        <f>E137</f>
        <v>5306.109923790721</v>
      </c>
      <c r="J183" s="351">
        <f>B183*I183</f>
        <v>0.23448718097560009</v>
      </c>
      <c r="K183" s="788">
        <f>E138</f>
        <v>5367.9887567212245</v>
      </c>
      <c r="L183" s="351">
        <f>B183*K183</f>
        <v>0.23722172536015515</v>
      </c>
    </row>
    <row r="184" spans="1:14" x14ac:dyDescent="0.2">
      <c r="A184" s="352" t="s">
        <v>576</v>
      </c>
      <c r="B184" s="356">
        <f>B183/4</f>
        <v>1.10479797979798E-5</v>
      </c>
      <c r="C184" s="351">
        <f>F136</f>
        <v>4613.8866288536883</v>
      </c>
      <c r="D184" s="351">
        <f>B184*C184</f>
        <v>5.0974126265744671E-2</v>
      </c>
      <c r="E184" s="351">
        <f>F136</f>
        <v>4613.8866288536883</v>
      </c>
      <c r="F184" s="351">
        <f>B184*E184</f>
        <v>5.0974126265744671E-2</v>
      </c>
      <c r="G184" s="351">
        <f>F136</f>
        <v>4613.8866288536883</v>
      </c>
      <c r="H184" s="351">
        <f>B184*G184</f>
        <v>5.0974126265744671E-2</v>
      </c>
      <c r="I184" s="351">
        <f>F136</f>
        <v>4613.8866288536883</v>
      </c>
      <c r="J184" s="351">
        <f>B184*I184</f>
        <v>5.0974126265744671E-2</v>
      </c>
      <c r="K184" s="351">
        <f>F136</f>
        <v>4613.8866288536883</v>
      </c>
      <c r="L184" s="351">
        <f>B184*K184</f>
        <v>5.0974126265744671E-2</v>
      </c>
      <c r="M184" s="987"/>
      <c r="N184" s="988"/>
    </row>
    <row r="185" spans="1:14" x14ac:dyDescent="0.2">
      <c r="A185" s="364" t="s">
        <v>594</v>
      </c>
      <c r="B185" s="365"/>
      <c r="C185" s="366"/>
      <c r="D185" s="367">
        <f>SUM(D183:D184)</f>
        <v>0.2801770890785143</v>
      </c>
      <c r="E185" s="366"/>
      <c r="F185" s="367">
        <f>SUM(F183:F184)</f>
        <v>0.28147568943439405</v>
      </c>
      <c r="G185" s="366"/>
      <c r="H185" s="367">
        <f>SUM(H183:H184)</f>
        <v>0.28278908865472824</v>
      </c>
      <c r="I185" s="366"/>
      <c r="J185" s="367">
        <f>SUM(J183:J184)</f>
        <v>0.28546130724134477</v>
      </c>
      <c r="K185" s="366"/>
      <c r="L185" s="367">
        <f>SUM(L183:L184)</f>
        <v>0.28819585162589983</v>
      </c>
      <c r="M185" s="515"/>
      <c r="N185" s="516"/>
    </row>
    <row r="186" spans="1:14" x14ac:dyDescent="0.2">
      <c r="A186" s="363" t="s">
        <v>595</v>
      </c>
      <c r="B186" s="356">
        <f>1/'Prod. GEXCAS'!K24*16*(1/188.76)</f>
        <v>2.8254573709119167E-4</v>
      </c>
      <c r="C186" s="351">
        <f>C134</f>
        <v>4328.4911086907832</v>
      </c>
      <c r="D186" s="351">
        <f>B186*C186</f>
        <v>1.2229967107977069</v>
      </c>
      <c r="E186" s="351">
        <f>C135</f>
        <v>4353.015137635206</v>
      </c>
      <c r="F186" s="351">
        <f>B186*E186</f>
        <v>1.2299258706322544</v>
      </c>
      <c r="G186" s="351">
        <f>C136</f>
        <v>4377.8186426929569</v>
      </c>
      <c r="H186" s="351">
        <f>B186*G186</f>
        <v>1.2369339952512417</v>
      </c>
      <c r="I186" s="351">
        <f>C137</f>
        <v>4428.2834109084379</v>
      </c>
      <c r="J186" s="351">
        <f>B186*I186</f>
        <v>1.251192600383821</v>
      </c>
      <c r="K186" s="351">
        <f>C138</f>
        <v>4479.9251999569324</v>
      </c>
      <c r="L186" s="351">
        <f>B186*K186</f>
        <v>1.2657837677352357</v>
      </c>
    </row>
    <row r="187" spans="1:14" x14ac:dyDescent="0.2">
      <c r="A187" s="352" t="s">
        <v>576</v>
      </c>
      <c r="B187" s="356">
        <f>1/('Prod. GEXCAS'!O24*'Prod. GEXCAS'!K24)*16*(1/188.76)</f>
        <v>8.5619920330664147E-6</v>
      </c>
      <c r="C187" s="351">
        <f>F136</f>
        <v>4613.8866288536883</v>
      </c>
      <c r="D187" s="351">
        <f>B187*C187</f>
        <v>3.9504060557716936E-2</v>
      </c>
      <c r="E187" s="351">
        <f>F136</f>
        <v>4613.8866288536883</v>
      </c>
      <c r="F187" s="351">
        <f>B187*E187</f>
        <v>3.9504060557716936E-2</v>
      </c>
      <c r="G187" s="351">
        <f>F136</f>
        <v>4613.8866288536883</v>
      </c>
      <c r="H187" s="351">
        <f>B187*G187</f>
        <v>3.9504060557716936E-2</v>
      </c>
      <c r="I187" s="351">
        <f>F136</f>
        <v>4613.8866288536883</v>
      </c>
      <c r="J187" s="351">
        <f>B187*I187</f>
        <v>3.9504060557716936E-2</v>
      </c>
      <c r="K187" s="351">
        <f>F136</f>
        <v>4613.8866288536883</v>
      </c>
      <c r="L187" s="351">
        <f>B187*K187</f>
        <v>3.9504060557716936E-2</v>
      </c>
      <c r="M187" s="987"/>
      <c r="N187" s="988"/>
    </row>
    <row r="188" spans="1:14" x14ac:dyDescent="0.2">
      <c r="A188" s="364" t="s">
        <v>596</v>
      </c>
      <c r="B188" s="365"/>
      <c r="C188" s="366"/>
      <c r="D188" s="367">
        <f>SUM(D186:D187)</f>
        <v>1.2625007713554237</v>
      </c>
      <c r="E188" s="366"/>
      <c r="F188" s="367">
        <f>SUM(F186:F187)</f>
        <v>1.2694299311899715</v>
      </c>
      <c r="G188" s="366"/>
      <c r="H188" s="367">
        <f>SUM(H186:H187)</f>
        <v>1.2764380558089585</v>
      </c>
      <c r="I188" s="366"/>
      <c r="J188" s="367">
        <f>SUM(J186:J187)</f>
        <v>1.290696660941538</v>
      </c>
      <c r="K188" s="366"/>
      <c r="L188" s="367">
        <f>SUM(L186:L187)</f>
        <v>1.3052878282929528</v>
      </c>
      <c r="M188" s="515"/>
      <c r="N188" s="516"/>
    </row>
    <row r="189" spans="1:14" x14ac:dyDescent="0.2">
      <c r="A189" s="349" t="s">
        <v>597</v>
      </c>
      <c r="B189" s="356">
        <f>1/'Prod. GEXCAS'!L24*16*(1/188.76)</f>
        <v>2.8254573709119167E-4</v>
      </c>
      <c r="C189" s="351">
        <f>C134</f>
        <v>4328.4911086907832</v>
      </c>
      <c r="D189" s="351">
        <f>B189*C189</f>
        <v>1.2229967107977069</v>
      </c>
      <c r="E189" s="351">
        <f>C135</f>
        <v>4353.015137635206</v>
      </c>
      <c r="F189" s="351">
        <f>B189*E189</f>
        <v>1.2299258706322544</v>
      </c>
      <c r="G189" s="351">
        <f>C136</f>
        <v>4377.8186426929569</v>
      </c>
      <c r="H189" s="351">
        <f>B189*G189</f>
        <v>1.2369339952512417</v>
      </c>
      <c r="I189" s="351">
        <f>C137</f>
        <v>4428.2834109084379</v>
      </c>
      <c r="J189" s="351">
        <f>B189*I189</f>
        <v>1.251192600383821</v>
      </c>
      <c r="K189" s="351">
        <f>C138</f>
        <v>4479.9251999569324</v>
      </c>
      <c r="L189" s="351">
        <f>B189*K189</f>
        <v>1.2657837677352357</v>
      </c>
    </row>
    <row r="190" spans="1:14" x14ac:dyDescent="0.2">
      <c r="A190" s="352" t="s">
        <v>576</v>
      </c>
      <c r="B190" s="356">
        <f>1/('Prod. GEXCAS'!O24*'Prod. GEXCAS'!L24)*16*(1/188.76)</f>
        <v>8.5619920330664147E-6</v>
      </c>
      <c r="C190" s="351">
        <f>F136</f>
        <v>4613.8866288536883</v>
      </c>
      <c r="D190" s="351">
        <f>B190*C190</f>
        <v>3.9504060557716936E-2</v>
      </c>
      <c r="E190" s="351">
        <f>F136</f>
        <v>4613.8866288536883</v>
      </c>
      <c r="F190" s="351">
        <f>B190*E190</f>
        <v>3.9504060557716936E-2</v>
      </c>
      <c r="G190" s="351">
        <f>F136</f>
        <v>4613.8866288536883</v>
      </c>
      <c r="H190" s="351">
        <f>B190*G190</f>
        <v>3.9504060557716936E-2</v>
      </c>
      <c r="I190" s="351">
        <f>F136</f>
        <v>4613.8866288536883</v>
      </c>
      <c r="J190" s="351">
        <f>B190*I190</f>
        <v>3.9504060557716936E-2</v>
      </c>
      <c r="K190" s="351">
        <f>F136</f>
        <v>4613.8866288536883</v>
      </c>
      <c r="L190" s="351">
        <f>B190*K190</f>
        <v>3.9504060557716936E-2</v>
      </c>
      <c r="M190" s="987"/>
      <c r="N190" s="988"/>
    </row>
    <row r="191" spans="1:14" x14ac:dyDescent="0.2">
      <c r="A191" s="364" t="s">
        <v>598</v>
      </c>
      <c r="B191" s="365"/>
      <c r="C191" s="366"/>
      <c r="D191" s="367">
        <f>SUM(D189:D190)</f>
        <v>1.2625007713554237</v>
      </c>
      <c r="E191" s="366"/>
      <c r="F191" s="367">
        <f>SUM(F189:F190)</f>
        <v>1.2694299311899715</v>
      </c>
      <c r="G191" s="366"/>
      <c r="H191" s="367">
        <f>SUM(H189:H190)</f>
        <v>1.2764380558089585</v>
      </c>
      <c r="I191" s="366"/>
      <c r="J191" s="367">
        <f>SUM(J189:J190)</f>
        <v>1.290696660941538</v>
      </c>
      <c r="K191" s="366"/>
      <c r="L191" s="367">
        <f>SUM(L189:L190)</f>
        <v>1.3052878282929528</v>
      </c>
      <c r="M191" s="515"/>
      <c r="N191" s="516"/>
    </row>
    <row r="192" spans="1:14" x14ac:dyDescent="0.2">
      <c r="A192" s="316"/>
    </row>
  </sheetData>
  <mergeCells count="68">
    <mergeCell ref="A1:F1"/>
    <mergeCell ref="A2:F2"/>
    <mergeCell ref="A3:F3"/>
    <mergeCell ref="A9:F9"/>
    <mergeCell ref="A20:B20"/>
    <mergeCell ref="A21:F21"/>
    <mergeCell ref="A50:B50"/>
    <mergeCell ref="A51:F51"/>
    <mergeCell ref="A61:B61"/>
    <mergeCell ref="A62:F62"/>
    <mergeCell ref="A92:B92"/>
    <mergeCell ref="A112:A116"/>
    <mergeCell ref="A119:F119"/>
    <mergeCell ref="A120:F120"/>
    <mergeCell ref="A121:B121"/>
    <mergeCell ref="A122:B122"/>
    <mergeCell ref="A123:B123"/>
    <mergeCell ref="A124:B124"/>
    <mergeCell ref="A125:B125"/>
    <mergeCell ref="A126:B126"/>
    <mergeCell ref="A132:B132"/>
    <mergeCell ref="A133:B133"/>
    <mergeCell ref="A145:B145"/>
    <mergeCell ref="C145:D145"/>
    <mergeCell ref="A127:B127"/>
    <mergeCell ref="A128:B128"/>
    <mergeCell ref="A129:B129"/>
    <mergeCell ref="A130:B130"/>
    <mergeCell ref="A131:B131"/>
    <mergeCell ref="G145:H145"/>
    <mergeCell ref="I145:J145"/>
    <mergeCell ref="K145:L145"/>
    <mergeCell ref="A151:B151"/>
    <mergeCell ref="C151:D151"/>
    <mergeCell ref="E151:F151"/>
    <mergeCell ref="G151:H151"/>
    <mergeCell ref="I151:J151"/>
    <mergeCell ref="K151:L151"/>
    <mergeCell ref="E145:F145"/>
    <mergeCell ref="K157:L157"/>
    <mergeCell ref="A163:B163"/>
    <mergeCell ref="C163:D163"/>
    <mergeCell ref="E163:F163"/>
    <mergeCell ref="G163:H163"/>
    <mergeCell ref="I163:J163"/>
    <mergeCell ref="K163:L163"/>
    <mergeCell ref="A157:B157"/>
    <mergeCell ref="C157:D157"/>
    <mergeCell ref="E157:F157"/>
    <mergeCell ref="G157:H157"/>
    <mergeCell ref="I157:J157"/>
    <mergeCell ref="I169:J169"/>
    <mergeCell ref="K169:L169"/>
    <mergeCell ref="A169:B169"/>
    <mergeCell ref="C169:D169"/>
    <mergeCell ref="E181:F181"/>
    <mergeCell ref="G181:H181"/>
    <mergeCell ref="I181:J181"/>
    <mergeCell ref="K181:L181"/>
    <mergeCell ref="A181:B181"/>
    <mergeCell ref="C181:D181"/>
    <mergeCell ref="E169:F169"/>
    <mergeCell ref="G169:H169"/>
    <mergeCell ref="M187:N187"/>
    <mergeCell ref="M184:N184"/>
    <mergeCell ref="M190:N190"/>
    <mergeCell ref="M148:N148"/>
    <mergeCell ref="M172:N172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E152"/>
  <sheetViews>
    <sheetView topLeftCell="A31" zoomScale="80" zoomScaleNormal="80" workbookViewId="0">
      <selection activeCell="AK15" sqref="AK15"/>
    </sheetView>
  </sheetViews>
  <sheetFormatPr defaultRowHeight="14.25" x14ac:dyDescent="0.2"/>
  <cols>
    <col min="1" max="1" width="55.5" style="84" customWidth="1"/>
    <col min="2" max="2" width="17" style="84" customWidth="1"/>
    <col min="3" max="3" width="15.25" style="84" customWidth="1"/>
    <col min="4" max="4" width="16.25" style="84" customWidth="1"/>
    <col min="5" max="1019" width="9" style="84"/>
  </cols>
  <sheetData>
    <row r="1" spans="1:4" ht="15.75" x14ac:dyDescent="0.2">
      <c r="A1" s="1030" t="s">
        <v>452</v>
      </c>
      <c r="B1" s="1031"/>
      <c r="C1" s="1031"/>
      <c r="D1" s="1032"/>
    </row>
    <row r="2" spans="1:4" ht="15.75" x14ac:dyDescent="0.2">
      <c r="A2" s="1033" t="s">
        <v>453</v>
      </c>
      <c r="B2" s="1014"/>
      <c r="C2" s="1014"/>
      <c r="D2" s="1034"/>
    </row>
    <row r="3" spans="1:4" ht="15.75" customHeight="1" x14ac:dyDescent="0.2">
      <c r="A3" s="1033" t="s">
        <v>454</v>
      </c>
      <c r="B3" s="1014"/>
      <c r="C3" s="1014"/>
      <c r="D3" s="1034"/>
    </row>
    <row r="4" spans="1:4" ht="15.75" x14ac:dyDescent="0.2">
      <c r="A4" s="433"/>
      <c r="B4" s="86"/>
      <c r="C4" s="87" t="s">
        <v>455</v>
      </c>
      <c r="D4" s="434" t="s">
        <v>456</v>
      </c>
    </row>
    <row r="5" spans="1:4" x14ac:dyDescent="0.2">
      <c r="A5" s="435"/>
      <c r="B5" s="89" t="s">
        <v>459</v>
      </c>
      <c r="C5" s="90">
        <f>MC!D11</f>
        <v>1315.3636363636363</v>
      </c>
      <c r="D5" s="436">
        <f>MC!E11</f>
        <v>986.52272727272725</v>
      </c>
    </row>
    <row r="6" spans="1:4" x14ac:dyDescent="0.2">
      <c r="A6" s="435"/>
      <c r="B6" s="89" t="s">
        <v>460</v>
      </c>
      <c r="C6" s="91">
        <f>MC!D8</f>
        <v>44593</v>
      </c>
      <c r="D6" s="437">
        <f>MC!D8</f>
        <v>44593</v>
      </c>
    </row>
    <row r="7" spans="1:4" x14ac:dyDescent="0.2">
      <c r="A7" s="435"/>
      <c r="B7" s="89" t="s">
        <v>461</v>
      </c>
      <c r="C7" s="91" t="str">
        <f>MC!C8</f>
        <v>PR000321/2022</v>
      </c>
      <c r="D7" s="437" t="str">
        <f>MC!C8</f>
        <v>PR000321/2022</v>
      </c>
    </row>
    <row r="8" spans="1:4" x14ac:dyDescent="0.2">
      <c r="A8" s="435"/>
      <c r="B8" s="89" t="s">
        <v>462</v>
      </c>
      <c r="C8" s="92" t="str">
        <f>MC!E8</f>
        <v>5143-20</v>
      </c>
      <c r="D8" s="438" t="str">
        <f>MC!E8</f>
        <v>5143-20</v>
      </c>
    </row>
    <row r="9" spans="1:4" x14ac:dyDescent="0.2">
      <c r="A9" s="1035"/>
      <c r="B9" s="1015"/>
      <c r="C9" s="1015"/>
      <c r="D9" s="1036"/>
    </row>
    <row r="10" spans="1:4" ht="66.75" customHeight="1" x14ac:dyDescent="0.2">
      <c r="A10" s="439" t="s">
        <v>463</v>
      </c>
      <c r="B10" s="245" t="s">
        <v>464</v>
      </c>
      <c r="C10" s="245" t="s">
        <v>599</v>
      </c>
      <c r="D10" s="440" t="s">
        <v>600</v>
      </c>
    </row>
    <row r="11" spans="1:4" ht="14.25" customHeight="1" x14ac:dyDescent="0.2">
      <c r="A11" s="441" t="s">
        <v>469</v>
      </c>
      <c r="B11" s="395"/>
      <c r="C11" s="395"/>
      <c r="D11" s="442"/>
    </row>
    <row r="12" spans="1:4" ht="14.25" customHeight="1" x14ac:dyDescent="0.2">
      <c r="A12" s="443" t="s">
        <v>470</v>
      </c>
      <c r="B12" s="94" t="s">
        <v>471</v>
      </c>
      <c r="C12" s="94" t="s">
        <v>472</v>
      </c>
      <c r="D12" s="444" t="s">
        <v>472</v>
      </c>
    </row>
    <row r="13" spans="1:4" ht="14.25" customHeight="1" x14ac:dyDescent="0.2">
      <c r="A13" s="445" t="s">
        <v>473</v>
      </c>
      <c r="B13" s="97"/>
      <c r="C13" s="98">
        <f>C5</f>
        <v>1315.3636363636363</v>
      </c>
      <c r="D13" s="446">
        <f>D5</f>
        <v>986.52272727272725</v>
      </c>
    </row>
    <row r="14" spans="1:4" ht="14.25" customHeight="1" x14ac:dyDescent="0.2">
      <c r="A14" s="445" t="s">
        <v>474</v>
      </c>
      <c r="B14" s="100">
        <v>0</v>
      </c>
      <c r="C14" s="98">
        <f>C13*$B$14</f>
        <v>0</v>
      </c>
      <c r="D14" s="446">
        <f>D13*$B$14</f>
        <v>0</v>
      </c>
    </row>
    <row r="15" spans="1:4" ht="14.25" customHeight="1" x14ac:dyDescent="0.2">
      <c r="A15" s="445" t="s">
        <v>475</v>
      </c>
      <c r="B15" s="101"/>
      <c r="C15" s="98"/>
      <c r="D15" s="446"/>
    </row>
    <row r="16" spans="1:4" ht="14.25" customHeight="1" x14ac:dyDescent="0.2">
      <c r="A16" s="445" t="s">
        <v>476</v>
      </c>
      <c r="B16" s="101"/>
      <c r="C16" s="98"/>
      <c r="D16" s="446"/>
    </row>
    <row r="17" spans="1:4" ht="14.25" customHeight="1" x14ac:dyDescent="0.2">
      <c r="A17" s="445" t="s">
        <v>477</v>
      </c>
      <c r="B17" s="101"/>
      <c r="C17" s="98"/>
      <c r="D17" s="446"/>
    </row>
    <row r="18" spans="1:4" ht="14.25" customHeight="1" x14ac:dyDescent="0.2">
      <c r="A18" s="445" t="s">
        <v>478</v>
      </c>
      <c r="B18" s="102"/>
      <c r="C18" s="98"/>
      <c r="D18" s="446"/>
    </row>
    <row r="19" spans="1:4" ht="14.25" customHeight="1" x14ac:dyDescent="0.2">
      <c r="A19" s="447" t="s">
        <v>479</v>
      </c>
      <c r="B19" s="104"/>
      <c r="C19" s="113">
        <f>SUM(C13:C18)</f>
        <v>1315.3636363636363</v>
      </c>
      <c r="D19" s="448">
        <f>SUM(D13:D18)</f>
        <v>986.52272727272725</v>
      </c>
    </row>
    <row r="20" spans="1:4" ht="14.25" customHeight="1" x14ac:dyDescent="0.2">
      <c r="A20" s="1019"/>
      <c r="B20" s="1007"/>
      <c r="C20" s="106"/>
      <c r="D20" s="450"/>
    </row>
    <row r="21" spans="1:4" ht="14.25" customHeight="1" x14ac:dyDescent="0.2">
      <c r="A21" s="1020" t="s">
        <v>480</v>
      </c>
      <c r="B21" s="1012"/>
      <c r="C21" s="1012"/>
      <c r="D21" s="1021"/>
    </row>
    <row r="22" spans="1:4" ht="14.25" customHeight="1" x14ac:dyDescent="0.2">
      <c r="A22" s="451" t="s">
        <v>481</v>
      </c>
      <c r="B22" s="109" t="s">
        <v>471</v>
      </c>
      <c r="C22" s="109" t="s">
        <v>472</v>
      </c>
      <c r="D22" s="452" t="s">
        <v>472</v>
      </c>
    </row>
    <row r="23" spans="1:4" ht="14.25" customHeight="1" x14ac:dyDescent="0.2">
      <c r="A23" s="453" t="s">
        <v>482</v>
      </c>
      <c r="B23" s="100">
        <f>1/12</f>
        <v>8.3333333333333329E-2</v>
      </c>
      <c r="C23" s="98">
        <f>ROUND($B23*C$19,2)</f>
        <v>109.61</v>
      </c>
      <c r="D23" s="446">
        <f>ROUND($B23*D$19,2)</f>
        <v>82.21</v>
      </c>
    </row>
    <row r="24" spans="1:4" ht="14.25" customHeight="1" x14ac:dyDescent="0.2">
      <c r="A24" s="453" t="s">
        <v>483</v>
      </c>
      <c r="B24" s="100">
        <f>1/3*1/12</f>
        <v>2.7777777777777776E-2</v>
      </c>
      <c r="C24" s="98">
        <f>C$19*$B$24</f>
        <v>36.537878787878782</v>
      </c>
      <c r="D24" s="446">
        <f>D$19*$B$24</f>
        <v>27.40340909090909</v>
      </c>
    </row>
    <row r="25" spans="1:4" ht="14.25" customHeight="1" x14ac:dyDescent="0.2">
      <c r="A25" s="447" t="s">
        <v>479</v>
      </c>
      <c r="B25" s="112">
        <f>SUM(B23:B24)</f>
        <v>0.1111111111111111</v>
      </c>
      <c r="C25" s="113">
        <f>SUM(C23:C24)</f>
        <v>146.14787878787877</v>
      </c>
      <c r="D25" s="448">
        <f>SUM(D23:D24)</f>
        <v>109.61340909090909</v>
      </c>
    </row>
    <row r="26" spans="1:4" ht="14.25" customHeight="1" x14ac:dyDescent="0.2">
      <c r="A26" s="451" t="s">
        <v>484</v>
      </c>
      <c r="B26" s="109" t="s">
        <v>471</v>
      </c>
      <c r="C26" s="109" t="s">
        <v>472</v>
      </c>
      <c r="D26" s="452" t="s">
        <v>472</v>
      </c>
    </row>
    <row r="27" spans="1:4" ht="14.25" customHeight="1" x14ac:dyDescent="0.2">
      <c r="A27" s="451" t="s">
        <v>485</v>
      </c>
      <c r="B27" s="115"/>
      <c r="C27" s="115"/>
      <c r="D27" s="454"/>
    </row>
    <row r="28" spans="1:4" ht="14.25" customHeight="1" x14ac:dyDescent="0.2">
      <c r="A28" s="453" t="s">
        <v>486</v>
      </c>
      <c r="B28" s="100">
        <v>0.2</v>
      </c>
      <c r="C28" s="117">
        <f t="shared" ref="C28:C35" si="0">ROUND(($C$19+$C$25)*B28,2)</f>
        <v>292.3</v>
      </c>
      <c r="D28" s="455">
        <f t="shared" ref="D28:D35" si="1">ROUND(($D$19+$D$25)*B28,2)</f>
        <v>219.23</v>
      </c>
    </row>
    <row r="29" spans="1:4" ht="14.25" customHeight="1" x14ac:dyDescent="0.2">
      <c r="A29" s="453" t="s">
        <v>487</v>
      </c>
      <c r="B29" s="100">
        <v>2.5000000000000001E-2</v>
      </c>
      <c r="C29" s="117">
        <f t="shared" si="0"/>
        <v>36.54</v>
      </c>
      <c r="D29" s="455">
        <f t="shared" si="1"/>
        <v>27.4</v>
      </c>
    </row>
    <row r="30" spans="1:4" ht="14.25" customHeight="1" x14ac:dyDescent="0.2">
      <c r="A30" s="453" t="s">
        <v>488</v>
      </c>
      <c r="B30" s="100">
        <v>0.03</v>
      </c>
      <c r="C30" s="117">
        <f t="shared" si="0"/>
        <v>43.85</v>
      </c>
      <c r="D30" s="455">
        <f t="shared" si="1"/>
        <v>32.880000000000003</v>
      </c>
    </row>
    <row r="31" spans="1:4" ht="14.25" customHeight="1" x14ac:dyDescent="0.2">
      <c r="A31" s="453" t="s">
        <v>489</v>
      </c>
      <c r="B31" s="100">
        <v>1.4999999999999999E-2</v>
      </c>
      <c r="C31" s="117">
        <f t="shared" si="0"/>
        <v>21.92</v>
      </c>
      <c r="D31" s="455">
        <f t="shared" si="1"/>
        <v>16.440000000000001</v>
      </c>
    </row>
    <row r="32" spans="1:4" ht="14.25" customHeight="1" x14ac:dyDescent="0.2">
      <c r="A32" s="453" t="s">
        <v>490</v>
      </c>
      <c r="B32" s="100">
        <v>0.01</v>
      </c>
      <c r="C32" s="117">
        <f t="shared" si="0"/>
        <v>14.62</v>
      </c>
      <c r="D32" s="455">
        <f t="shared" si="1"/>
        <v>10.96</v>
      </c>
    </row>
    <row r="33" spans="1:4" ht="14.25" customHeight="1" x14ac:dyDescent="0.2">
      <c r="A33" s="453" t="s">
        <v>491</v>
      </c>
      <c r="B33" s="100">
        <v>6.0000000000000001E-3</v>
      </c>
      <c r="C33" s="117">
        <f t="shared" si="0"/>
        <v>8.77</v>
      </c>
      <c r="D33" s="455">
        <f t="shared" si="1"/>
        <v>6.58</v>
      </c>
    </row>
    <row r="34" spans="1:4" ht="14.25" customHeight="1" x14ac:dyDescent="0.2">
      <c r="A34" s="453" t="s">
        <v>492</v>
      </c>
      <c r="B34" s="100">
        <v>2E-3</v>
      </c>
      <c r="C34" s="117">
        <f t="shared" si="0"/>
        <v>2.92</v>
      </c>
      <c r="D34" s="455">
        <f t="shared" si="1"/>
        <v>2.19</v>
      </c>
    </row>
    <row r="35" spans="1:4" ht="14.25" customHeight="1" x14ac:dyDescent="0.2">
      <c r="A35" s="453" t="s">
        <v>493</v>
      </c>
      <c r="B35" s="100">
        <v>0.08</v>
      </c>
      <c r="C35" s="117">
        <f t="shared" si="0"/>
        <v>116.92</v>
      </c>
      <c r="D35" s="455">
        <f t="shared" si="1"/>
        <v>87.69</v>
      </c>
    </row>
    <row r="36" spans="1:4" ht="14.25" customHeight="1" x14ac:dyDescent="0.2">
      <c r="A36" s="447" t="s">
        <v>479</v>
      </c>
      <c r="B36" s="112">
        <f>SUM(B28:B35)</f>
        <v>0.36800000000000005</v>
      </c>
      <c r="C36" s="113">
        <f>SUM(C27:C35)</f>
        <v>537.84</v>
      </c>
      <c r="D36" s="448">
        <f>SUM(D27:D35)</f>
        <v>403.36999999999995</v>
      </c>
    </row>
    <row r="37" spans="1:4" ht="14.25" customHeight="1" x14ac:dyDescent="0.2">
      <c r="A37" s="451" t="s">
        <v>494</v>
      </c>
      <c r="B37" s="109" t="s">
        <v>495</v>
      </c>
      <c r="C37" s="109" t="s">
        <v>472</v>
      </c>
      <c r="D37" s="452" t="s">
        <v>472</v>
      </c>
    </row>
    <row r="38" spans="1:4" ht="14.25" customHeight="1" x14ac:dyDescent="0.2">
      <c r="A38" s="453" t="s">
        <v>496</v>
      </c>
      <c r="B38" s="119">
        <f>MC!D88</f>
        <v>3.5779487179487179</v>
      </c>
      <c r="C38" s="98">
        <f>ROUND(((2*22*$B$38)-0.06*C$13),2)</f>
        <v>78.510000000000005</v>
      </c>
      <c r="D38" s="446">
        <f>ROUND(((2*22*$B$38)-0.06*D$13),2)</f>
        <v>98.24</v>
      </c>
    </row>
    <row r="39" spans="1:4" ht="14.25" customHeight="1" x14ac:dyDescent="0.2">
      <c r="A39" s="453" t="s">
        <v>497</v>
      </c>
      <c r="B39" s="120"/>
      <c r="C39" s="117">
        <f>MC!E16</f>
        <v>400.68</v>
      </c>
      <c r="D39" s="455">
        <f>MC!E17</f>
        <v>400.68</v>
      </c>
    </row>
    <row r="40" spans="1:4" ht="14.25" customHeight="1" x14ac:dyDescent="0.2">
      <c r="A40" s="453" t="s">
        <v>498</v>
      </c>
      <c r="B40" s="100">
        <f>MC!C21</f>
        <v>1.4999999999999999E-2</v>
      </c>
      <c r="C40" s="117"/>
      <c r="D40" s="455"/>
    </row>
    <row r="41" spans="1:4" ht="14.25" customHeight="1" x14ac:dyDescent="0.2">
      <c r="A41" s="453" t="s">
        <v>499</v>
      </c>
      <c r="B41" s="121">
        <f>MC!E23</f>
        <v>71.5</v>
      </c>
      <c r="C41" s="117">
        <f>B41</f>
        <v>71.5</v>
      </c>
      <c r="D41" s="455">
        <f>B41</f>
        <v>71.5</v>
      </c>
    </row>
    <row r="42" spans="1:4" ht="14.25" customHeight="1" x14ac:dyDescent="0.2">
      <c r="A42" s="453" t="s">
        <v>500</v>
      </c>
      <c r="B42" s="121">
        <f>MC!E24</f>
        <v>23.5</v>
      </c>
      <c r="C42" s="117">
        <f>B42</f>
        <v>23.5</v>
      </c>
      <c r="D42" s="455">
        <f>B42</f>
        <v>23.5</v>
      </c>
    </row>
    <row r="43" spans="1:4" ht="14.25" customHeight="1" x14ac:dyDescent="0.2">
      <c r="A43" s="453" t="s">
        <v>501</v>
      </c>
      <c r="B43" s="100"/>
      <c r="C43" s="117"/>
      <c r="D43" s="455"/>
    </row>
    <row r="44" spans="1:4" ht="14.25" customHeight="1" x14ac:dyDescent="0.2">
      <c r="A44" s="447" t="s">
        <v>479</v>
      </c>
      <c r="B44" s="104"/>
      <c r="C44" s="113">
        <f>SUM(C38:C43)</f>
        <v>574.19000000000005</v>
      </c>
      <c r="D44" s="448">
        <f>SUM(D38:D43)</f>
        <v>593.92000000000007</v>
      </c>
    </row>
    <row r="45" spans="1:4" ht="14.25" customHeight="1" x14ac:dyDescent="0.2">
      <c r="A45" s="443" t="s">
        <v>502</v>
      </c>
      <c r="B45" s="94" t="s">
        <v>471</v>
      </c>
      <c r="C45" s="94" t="s">
        <v>472</v>
      </c>
      <c r="D45" s="444" t="s">
        <v>472</v>
      </c>
    </row>
    <row r="46" spans="1:4" ht="14.25" customHeight="1" x14ac:dyDescent="0.2">
      <c r="A46" s="453" t="s">
        <v>481</v>
      </c>
      <c r="B46" s="122">
        <f>B25</f>
        <v>0.1111111111111111</v>
      </c>
      <c r="C46" s="123">
        <f>C25</f>
        <v>146.14787878787877</v>
      </c>
      <c r="D46" s="456">
        <f>D25</f>
        <v>109.61340909090909</v>
      </c>
    </row>
    <row r="47" spans="1:4" ht="14.25" customHeight="1" x14ac:dyDescent="0.2">
      <c r="A47" s="453" t="s">
        <v>503</v>
      </c>
      <c r="B47" s="122">
        <f>B36</f>
        <v>0.36800000000000005</v>
      </c>
      <c r="C47" s="123">
        <f>C36</f>
        <v>537.84</v>
      </c>
      <c r="D47" s="456">
        <f>D36</f>
        <v>403.36999999999995</v>
      </c>
    </row>
    <row r="48" spans="1:4" ht="14.25" customHeight="1" x14ac:dyDescent="0.2">
      <c r="A48" s="453" t="s">
        <v>494</v>
      </c>
      <c r="B48" s="122"/>
      <c r="C48" s="123">
        <f>C44</f>
        <v>574.19000000000005</v>
      </c>
      <c r="D48" s="456">
        <f>D44</f>
        <v>593.92000000000007</v>
      </c>
    </row>
    <row r="49" spans="1:4" ht="14.25" customHeight="1" x14ac:dyDescent="0.2">
      <c r="A49" s="447" t="s">
        <v>479</v>
      </c>
      <c r="B49" s="104"/>
      <c r="C49" s="113">
        <f>SUM(C46:C48)</f>
        <v>1258.1778787878789</v>
      </c>
      <c r="D49" s="448">
        <f>SUM(D46:D48)</f>
        <v>1106.903409090909</v>
      </c>
    </row>
    <row r="50" spans="1:4" ht="14.25" customHeight="1" x14ac:dyDescent="0.2">
      <c r="A50" s="1019"/>
      <c r="B50" s="1007"/>
      <c r="C50" s="106"/>
      <c r="D50" s="450"/>
    </row>
    <row r="51" spans="1:4" s="125" customFormat="1" ht="14.25" customHeight="1" x14ac:dyDescent="0.2">
      <c r="A51" s="1020" t="s">
        <v>504</v>
      </c>
      <c r="B51" s="1012"/>
      <c r="C51" s="1012"/>
      <c r="D51" s="1021"/>
    </row>
    <row r="52" spans="1:4" ht="14.25" customHeight="1" x14ac:dyDescent="0.2">
      <c r="A52" s="443" t="s">
        <v>505</v>
      </c>
      <c r="B52" s="94" t="s">
        <v>471</v>
      </c>
      <c r="C52" s="94" t="s">
        <v>472</v>
      </c>
      <c r="D52" s="444" t="s">
        <v>472</v>
      </c>
    </row>
    <row r="53" spans="1:4" ht="14.25" customHeight="1" x14ac:dyDescent="0.2">
      <c r="A53" s="451" t="s">
        <v>506</v>
      </c>
      <c r="B53" s="126"/>
      <c r="C53" s="126"/>
      <c r="D53" s="457"/>
    </row>
    <row r="54" spans="1:4" ht="14.25" customHeight="1" x14ac:dyDescent="0.2">
      <c r="A54" s="453" t="s">
        <v>507</v>
      </c>
      <c r="B54" s="122">
        <f>1/12*0.05</f>
        <v>4.1666666666666666E-3</v>
      </c>
      <c r="C54" s="128">
        <f>C19*$B54</f>
        <v>5.480681818181818</v>
      </c>
      <c r="D54" s="458">
        <f t="shared" ref="D54" si="2">D19*$B54</f>
        <v>4.1105113636363635</v>
      </c>
    </row>
    <row r="55" spans="1:4" ht="14.25" customHeight="1" x14ac:dyDescent="0.2">
      <c r="A55" s="453" t="s">
        <v>508</v>
      </c>
      <c r="B55" s="122">
        <f>B35*B54</f>
        <v>3.3333333333333332E-4</v>
      </c>
      <c r="C55" s="128">
        <f>$B$55*C19</f>
        <v>0.43845454545454543</v>
      </c>
      <c r="D55" s="458">
        <f t="shared" ref="D55" si="3">$B$55*D19</f>
        <v>0.32884090909090907</v>
      </c>
    </row>
    <row r="56" spans="1:4" ht="14.25" customHeight="1" x14ac:dyDescent="0.2">
      <c r="A56" s="453" t="s">
        <v>509</v>
      </c>
      <c r="B56" s="122">
        <v>0</v>
      </c>
      <c r="C56" s="128">
        <f>C35*$B56</f>
        <v>0</v>
      </c>
      <c r="D56" s="458">
        <f t="shared" ref="D56" si="4">D35*$B56</f>
        <v>0</v>
      </c>
    </row>
    <row r="57" spans="1:4" ht="14.25" customHeight="1" x14ac:dyDescent="0.2">
      <c r="A57" s="453" t="s">
        <v>510</v>
      </c>
      <c r="B57" s="122">
        <f>1/12*1/30*7</f>
        <v>1.9444444444444441E-2</v>
      </c>
      <c r="C57" s="123">
        <f>C19*$B57</f>
        <v>25.576515151515146</v>
      </c>
      <c r="D57" s="456">
        <f t="shared" ref="D57" si="5">D19*$B57</f>
        <v>19.182386363636361</v>
      </c>
    </row>
    <row r="58" spans="1:4" ht="14.25" customHeight="1" x14ac:dyDescent="0.2">
      <c r="A58" s="453" t="s">
        <v>511</v>
      </c>
      <c r="B58" s="122">
        <f>B36*B57</f>
        <v>7.1555555555555556E-3</v>
      </c>
      <c r="C58" s="123">
        <f>$B58*C19</f>
        <v>9.4121575757575755</v>
      </c>
      <c r="D58" s="456">
        <f t="shared" ref="D58" si="6">$B58*D19</f>
        <v>7.0591181818181816</v>
      </c>
    </row>
    <row r="59" spans="1:4" ht="14.25" customHeight="1" x14ac:dyDescent="0.2">
      <c r="A59" s="453" t="s">
        <v>512</v>
      </c>
      <c r="B59" s="122">
        <f>B35*40/100*90/100*(1+1/12+1/12+1/3*1/12)</f>
        <v>3.4399999999999993E-2</v>
      </c>
      <c r="C59" s="123">
        <f>C19*$B59</f>
        <v>45.248509090909081</v>
      </c>
      <c r="D59" s="456">
        <f t="shared" ref="D59" si="7">D19*$B59</f>
        <v>33.936381818181808</v>
      </c>
    </row>
    <row r="60" spans="1:4" ht="14.25" customHeight="1" x14ac:dyDescent="0.2">
      <c r="A60" s="447" t="s">
        <v>479</v>
      </c>
      <c r="B60" s="112">
        <f>SUM(B54:B59)</f>
        <v>6.5499999999999989E-2</v>
      </c>
      <c r="C60" s="129">
        <f>SUM(C54:C59)</f>
        <v>86.156318181818165</v>
      </c>
      <c r="D60" s="459">
        <f>SUM(D54:D59)</f>
        <v>64.617238636363624</v>
      </c>
    </row>
    <row r="61" spans="1:4" ht="14.25" customHeight="1" x14ac:dyDescent="0.2">
      <c r="A61" s="1019"/>
      <c r="B61" s="1007"/>
      <c r="C61" s="396"/>
      <c r="D61" s="460"/>
    </row>
    <row r="62" spans="1:4" ht="14.25" customHeight="1" x14ac:dyDescent="0.2">
      <c r="A62" s="1020" t="s">
        <v>513</v>
      </c>
      <c r="B62" s="1012"/>
      <c r="C62" s="1012"/>
      <c r="D62" s="1021"/>
    </row>
    <row r="63" spans="1:4" ht="14.25" customHeight="1" x14ac:dyDescent="0.2">
      <c r="A63" s="451" t="s">
        <v>41</v>
      </c>
      <c r="B63" s="109"/>
      <c r="C63" s="109"/>
      <c r="D63" s="452"/>
    </row>
    <row r="64" spans="1:4" ht="14.25" customHeight="1" x14ac:dyDescent="0.2">
      <c r="A64" s="453" t="s">
        <v>42</v>
      </c>
      <c r="B64" s="100">
        <f>1/12</f>
        <v>8.3333333333333329E-2</v>
      </c>
      <c r="C64" s="117">
        <f>B64*($C$19+$C$49+$C$60)</f>
        <v>221.64148611111113</v>
      </c>
      <c r="D64" s="455">
        <f>B64*($D$19+$D$49+$D$60)</f>
        <v>179.83694791666665</v>
      </c>
    </row>
    <row r="65" spans="1:4" ht="14.25" customHeight="1" x14ac:dyDescent="0.2">
      <c r="A65" s="453" t="s">
        <v>514</v>
      </c>
      <c r="B65" s="100">
        <f>MC!E51/30/12</f>
        <v>1.3538888888888885E-2</v>
      </c>
      <c r="C65" s="117">
        <f>B65*($C$19+$C$49+$C$60)</f>
        <v>36.009353443518513</v>
      </c>
      <c r="D65" s="455">
        <f>B65*($D$19+$D$49+$D$60)</f>
        <v>29.217509471527766</v>
      </c>
    </row>
    <row r="66" spans="1:4" ht="14.25" customHeight="1" x14ac:dyDescent="0.2">
      <c r="A66" s="453" t="s">
        <v>515</v>
      </c>
      <c r="B66" s="131">
        <f>(5/30)/12*MC!F53*MC!C54</f>
        <v>1.0764583333333333E-4</v>
      </c>
      <c r="C66" s="117">
        <f>B66*($C$19+$C$49+$C$60)</f>
        <v>0.2863053896840278</v>
      </c>
      <c r="D66" s="455">
        <f>B66*($D$19+$D$49+$D$60)</f>
        <v>0.23230437747135413</v>
      </c>
    </row>
    <row r="67" spans="1:4" ht="14.25" customHeight="1" x14ac:dyDescent="0.2">
      <c r="A67" s="453" t="s">
        <v>516</v>
      </c>
      <c r="B67" s="131">
        <f>MC!C56/30/12</f>
        <v>2.6830555555555553E-3</v>
      </c>
      <c r="C67" s="117">
        <f>B67*($C$19+$C$49+$C$60)</f>
        <v>7.1361170478240741</v>
      </c>
      <c r="D67" s="455">
        <f>B67*($D$19+$D$49+$D$60)</f>
        <v>5.79015026642361</v>
      </c>
    </row>
    <row r="68" spans="1:4" ht="14.25" customHeight="1" x14ac:dyDescent="0.2">
      <c r="A68" s="453" t="s">
        <v>517</v>
      </c>
      <c r="B68" s="100"/>
      <c r="C68" s="117"/>
      <c r="D68" s="455"/>
    </row>
    <row r="69" spans="1:4" ht="14.25" customHeight="1" x14ac:dyDescent="0.2">
      <c r="A69" s="461" t="s">
        <v>518</v>
      </c>
      <c r="B69" s="133">
        <f>SUM(B64:B68)</f>
        <v>9.9662923611111107E-2</v>
      </c>
      <c r="C69" s="134">
        <f>SUM(C64:C68)</f>
        <v>265.07326199213776</v>
      </c>
      <c r="D69" s="462">
        <f>SUM(D64:D68)</f>
        <v>215.07691203208938</v>
      </c>
    </row>
    <row r="70" spans="1:4" ht="14.25" customHeight="1" x14ac:dyDescent="0.2">
      <c r="A70" s="451" t="s">
        <v>519</v>
      </c>
      <c r="B70" s="109"/>
      <c r="C70" s="109"/>
      <c r="D70" s="452"/>
    </row>
    <row r="71" spans="1:4" ht="14.25" customHeight="1" x14ac:dyDescent="0.2">
      <c r="A71" s="453" t="s">
        <v>520</v>
      </c>
      <c r="B71" s="100"/>
      <c r="C71" s="117"/>
      <c r="D71" s="455"/>
    </row>
    <row r="72" spans="1:4" ht="14.25" customHeight="1" x14ac:dyDescent="0.2">
      <c r="A72" s="461" t="s">
        <v>518</v>
      </c>
      <c r="B72" s="133"/>
      <c r="C72" s="134">
        <f>C71</f>
        <v>0</v>
      </c>
      <c r="D72" s="462"/>
    </row>
    <row r="73" spans="1:4" ht="14.25" customHeight="1" x14ac:dyDescent="0.2">
      <c r="A73" s="451" t="s">
        <v>63</v>
      </c>
      <c r="B73" s="109"/>
      <c r="C73" s="109"/>
      <c r="D73" s="452"/>
    </row>
    <row r="74" spans="1:4" ht="14.25" customHeight="1" x14ac:dyDescent="0.2">
      <c r="A74" s="453" t="s">
        <v>64</v>
      </c>
      <c r="B74" s="100">
        <f>120/30*MC!C59*MC!C60</f>
        <v>6.18624E-3</v>
      </c>
      <c r="C74" s="117">
        <f>(((C19*2)+ (C19*1/3))+(C36)+(C44-C38-C39))*$B$74</f>
        <v>22.901595452509092</v>
      </c>
      <c r="D74" s="455">
        <f>(((D19*2)+ (D19*1/3))+(D36)+(D44-D38-D39))*$B$74</f>
        <v>17.323057926981818</v>
      </c>
    </row>
    <row r="75" spans="1:4" ht="14.25" customHeight="1" x14ac:dyDescent="0.2">
      <c r="A75" s="461" t="s">
        <v>479</v>
      </c>
      <c r="B75" s="133"/>
      <c r="C75" s="134"/>
      <c r="D75" s="462"/>
    </row>
    <row r="76" spans="1:4" ht="14.25" customHeight="1" x14ac:dyDescent="0.2">
      <c r="A76" s="443" t="s">
        <v>521</v>
      </c>
      <c r="B76" s="94"/>
      <c r="C76" s="94"/>
      <c r="D76" s="444"/>
    </row>
    <row r="77" spans="1:4" ht="14.25" customHeight="1" x14ac:dyDescent="0.2">
      <c r="A77" s="453" t="s">
        <v>41</v>
      </c>
      <c r="B77" s="122">
        <f>B69</f>
        <v>9.9662923611111107E-2</v>
      </c>
      <c r="C77" s="123">
        <f>C69</f>
        <v>265.07326199213776</v>
      </c>
      <c r="D77" s="456">
        <f>D69</f>
        <v>215.07691203208938</v>
      </c>
    </row>
    <row r="78" spans="1:4" ht="14.25" customHeight="1" x14ac:dyDescent="0.2">
      <c r="A78" s="453" t="s">
        <v>519</v>
      </c>
      <c r="B78" s="122">
        <f>B72</f>
        <v>0</v>
      </c>
      <c r="C78" s="123">
        <f>C72</f>
        <v>0</v>
      </c>
      <c r="D78" s="456">
        <f>D72</f>
        <v>0</v>
      </c>
    </row>
    <row r="79" spans="1:4" ht="14.25" customHeight="1" x14ac:dyDescent="0.2">
      <c r="A79" s="453" t="s">
        <v>63</v>
      </c>
      <c r="B79" s="122">
        <f>B74</f>
        <v>6.18624E-3</v>
      </c>
      <c r="C79" s="123">
        <f>C74</f>
        <v>22.901595452509092</v>
      </c>
      <c r="D79" s="456">
        <f>D74</f>
        <v>17.323057926981818</v>
      </c>
    </row>
    <row r="80" spans="1:4" ht="14.25" customHeight="1" x14ac:dyDescent="0.2">
      <c r="A80" s="447" t="s">
        <v>479</v>
      </c>
      <c r="B80" s="104"/>
      <c r="C80" s="113">
        <f>SUM(C77:C79)</f>
        <v>287.97485744464683</v>
      </c>
      <c r="D80" s="448">
        <f>SUM(D77:D79)</f>
        <v>232.3999699590712</v>
      </c>
    </row>
    <row r="81" spans="1:4" ht="14.25" customHeight="1" x14ac:dyDescent="0.2">
      <c r="A81" s="449"/>
      <c r="B81" s="106"/>
      <c r="C81" s="106"/>
      <c r="D81" s="450"/>
    </row>
    <row r="82" spans="1:4" ht="14.25" customHeight="1" x14ac:dyDescent="0.2">
      <c r="A82" s="463" t="s">
        <v>522</v>
      </c>
      <c r="B82" s="257"/>
      <c r="C82" s="257"/>
      <c r="D82" s="464"/>
    </row>
    <row r="83" spans="1:4" ht="14.25" customHeight="1" x14ac:dyDescent="0.2">
      <c r="A83" s="443" t="s">
        <v>523</v>
      </c>
      <c r="B83" s="94" t="s">
        <v>495</v>
      </c>
      <c r="C83" s="94" t="s">
        <v>472</v>
      </c>
      <c r="D83" s="444" t="s">
        <v>472</v>
      </c>
    </row>
    <row r="84" spans="1:4" ht="14.25" customHeight="1" x14ac:dyDescent="0.2">
      <c r="A84" s="453" t="s">
        <v>524</v>
      </c>
      <c r="B84" s="496">
        <f>Insumos!G117</f>
        <v>27.875416666666666</v>
      </c>
      <c r="C84" s="98">
        <f>B84</f>
        <v>27.875416666666666</v>
      </c>
      <c r="D84" s="446">
        <f>B84</f>
        <v>27.875416666666666</v>
      </c>
    </row>
    <row r="85" spans="1:4" ht="14.25" customHeight="1" x14ac:dyDescent="0.2">
      <c r="A85" s="465" t="s">
        <v>525</v>
      </c>
      <c r="B85" s="496">
        <f>Insumos!G69</f>
        <v>247.1166666666667</v>
      </c>
      <c r="C85" s="98">
        <f>B85</f>
        <v>247.1166666666667</v>
      </c>
      <c r="D85" s="446">
        <f>B85</f>
        <v>247.1166666666667</v>
      </c>
    </row>
    <row r="86" spans="1:4" ht="14.25" customHeight="1" x14ac:dyDescent="0.2">
      <c r="A86" s="465" t="s">
        <v>526</v>
      </c>
      <c r="B86" s="497">
        <v>0</v>
      </c>
      <c r="C86" s="98"/>
      <c r="D86" s="446"/>
    </row>
    <row r="87" spans="1:4" ht="14.25" customHeight="1" x14ac:dyDescent="0.2">
      <c r="A87" s="465" t="s">
        <v>527</v>
      </c>
      <c r="B87" s="498"/>
      <c r="C87" s="98">
        <f>Insumos!I122</f>
        <v>142.21333333333334</v>
      </c>
      <c r="D87" s="446">
        <f>Insumos!H122</f>
        <v>122.52333333333333</v>
      </c>
    </row>
    <row r="88" spans="1:4" ht="14.25" customHeight="1" x14ac:dyDescent="0.2">
      <c r="A88" s="465" t="s">
        <v>528</v>
      </c>
      <c r="B88" s="499">
        <v>0</v>
      </c>
      <c r="C88" s="98"/>
      <c r="D88" s="446"/>
    </row>
    <row r="89" spans="1:4" ht="14.25" customHeight="1" x14ac:dyDescent="0.2">
      <c r="A89" s="465" t="s">
        <v>601</v>
      </c>
      <c r="B89" s="496">
        <v>0</v>
      </c>
      <c r="C89" s="98"/>
      <c r="D89" s="446"/>
    </row>
    <row r="90" spans="1:4" ht="14.25" customHeight="1" x14ac:dyDescent="0.2">
      <c r="A90" s="465" t="s">
        <v>530</v>
      </c>
      <c r="B90" s="496">
        <v>0</v>
      </c>
      <c r="C90" s="98"/>
      <c r="D90" s="446"/>
    </row>
    <row r="91" spans="1:4" ht="14.25" customHeight="1" x14ac:dyDescent="0.2">
      <c r="A91" s="461" t="s">
        <v>479</v>
      </c>
      <c r="B91" s="136"/>
      <c r="C91" s="134">
        <f>SUM(C84:C90)</f>
        <v>417.20541666666668</v>
      </c>
      <c r="D91" s="462">
        <f t="shared" ref="D91" si="8">SUM(D84:D90)</f>
        <v>397.51541666666668</v>
      </c>
    </row>
    <row r="92" spans="1:4" ht="14.25" customHeight="1" x14ac:dyDescent="0.2">
      <c r="A92" s="1019"/>
      <c r="B92" s="1007"/>
      <c r="C92" s="137"/>
      <c r="D92" s="466"/>
    </row>
    <row r="93" spans="1:4" ht="14.25" customHeight="1" x14ac:dyDescent="0.2">
      <c r="A93" s="463" t="s">
        <v>531</v>
      </c>
      <c r="B93" s="257"/>
      <c r="C93" s="257"/>
      <c r="D93" s="464"/>
    </row>
    <row r="94" spans="1:4" ht="14.25" customHeight="1" x14ac:dyDescent="0.2">
      <c r="A94" s="443" t="s">
        <v>532</v>
      </c>
      <c r="B94" s="94" t="s">
        <v>471</v>
      </c>
      <c r="C94" s="94" t="s">
        <v>472</v>
      </c>
      <c r="D94" s="444" t="s">
        <v>472</v>
      </c>
    </row>
    <row r="95" spans="1:4" ht="14.25" customHeight="1" x14ac:dyDescent="0.2">
      <c r="A95" s="445" t="s">
        <v>69</v>
      </c>
      <c r="B95" s="100">
        <v>0.03</v>
      </c>
      <c r="C95" s="117">
        <f>($C$19+$C$49+$C$60+$C$80+$C$91)*$B$95</f>
        <v>100.94634322333941</v>
      </c>
      <c r="D95" s="455">
        <f>($D$19+$D$49+$D$60+$D$80+$D$91)*$B$95</f>
        <v>83.638762848772132</v>
      </c>
    </row>
    <row r="96" spans="1:4" ht="14.25" customHeight="1" x14ac:dyDescent="0.2">
      <c r="A96" s="445" t="s">
        <v>70</v>
      </c>
      <c r="B96" s="100">
        <v>6.7900000000000002E-2</v>
      </c>
      <c r="C96" s="117">
        <f>($C$19+$C$49+$C$60+$C$80+$C$91+C95)*B96</f>
        <v>235.32948020035627</v>
      </c>
      <c r="D96" s="455">
        <f>($D$19+$D$49+$D$60+$D$80+$D$91+$D$95)*$B$96</f>
        <v>194.98147191181923</v>
      </c>
    </row>
    <row r="97" spans="1:5" ht="14.25" customHeight="1" x14ac:dyDescent="0.2">
      <c r="A97" s="467" t="s">
        <v>533</v>
      </c>
      <c r="B97" s="261">
        <f>B98+B99</f>
        <v>0.1125</v>
      </c>
      <c r="C97" s="262">
        <f>((C19+C49+C60+C80+C91+C95+C96)/(1-($B$97)))*$B$97</f>
        <v>469.16035743401522</v>
      </c>
      <c r="D97" s="468">
        <f>((D19+D49+D60+D80+D91+D95+D96)/(1-($B$97)))*$B$97</f>
        <v>388.72128123206994</v>
      </c>
    </row>
    <row r="98" spans="1:5" ht="14.25" customHeight="1" x14ac:dyDescent="0.2">
      <c r="A98" s="445" t="s">
        <v>534</v>
      </c>
      <c r="B98" s="100">
        <f>0.0165+0.076</f>
        <v>9.2499999999999999E-2</v>
      </c>
      <c r="C98" s="263">
        <f>((C$19+C$49+C$60+C$80+C$91+C$95+C$96)/(1-($B$97)))*$B$98</f>
        <v>385.75407166796805</v>
      </c>
      <c r="D98" s="469">
        <f t="shared" ref="D98" si="9">((D$19+D$49+D$60+D$80+D$91+D$95+D$96)/(1-($B$97)))*$B$98</f>
        <v>319.61527567970194</v>
      </c>
    </row>
    <row r="99" spans="1:5" ht="14.25" customHeight="1" x14ac:dyDescent="0.2">
      <c r="A99" s="445" t="s">
        <v>535</v>
      </c>
      <c r="B99" s="100">
        <v>0.02</v>
      </c>
      <c r="C99" s="264">
        <f>((C$19+C$49+C$60+C$80+C$91+C$95+C$96)/(1-($B$97)))*$B$99</f>
        <v>83.406285766047148</v>
      </c>
      <c r="D99" s="470">
        <f t="shared" ref="D99" si="10">((D$19+D$49+D$60+D$80+D$91+D$95+D$96)/(1-($B$97)))*$B$99</f>
        <v>69.106005552367989</v>
      </c>
    </row>
    <row r="100" spans="1:5" ht="14.25" customHeight="1" x14ac:dyDescent="0.2">
      <c r="A100" s="467" t="s">
        <v>536</v>
      </c>
      <c r="B100" s="261">
        <f>B101+B102</f>
        <v>0.11749999999999999</v>
      </c>
      <c r="C100" s="262">
        <f>((C19+C49+C60+C80+C91+C95+C96)/(1-($B$100)))*$B$100</f>
        <v>492.7882004272297</v>
      </c>
      <c r="D100" s="468">
        <f t="shared" ref="D100" si="11">((D19+D49+D60+D80+D91+D95+D96)/(1-($B$100)))*$B$100</f>
        <v>408.29805334322225</v>
      </c>
    </row>
    <row r="101" spans="1:5" ht="14.25" customHeight="1" x14ac:dyDescent="0.2">
      <c r="A101" s="445" t="s">
        <v>534</v>
      </c>
      <c r="B101" s="100">
        <f>0.0165+0.076</f>
        <v>9.2499999999999999E-2</v>
      </c>
      <c r="C101" s="263">
        <f>((C19+C49+C60+C80+C91+C95+C96)/(1-($B$100)))*$B$101</f>
        <v>387.93964714484042</v>
      </c>
      <c r="D101" s="469">
        <f t="shared" ref="D101" si="12">((D19+D49+D60+D80+D91+D95+D96)/(1-($B$100)))*$B$101</f>
        <v>321.42612709998349</v>
      </c>
    </row>
    <row r="102" spans="1:5" ht="14.25" customHeight="1" x14ac:dyDescent="0.2">
      <c r="A102" s="445" t="s">
        <v>535</v>
      </c>
      <c r="B102" s="100">
        <v>2.5000000000000001E-2</v>
      </c>
      <c r="C102" s="264">
        <f>((C$19+C$49+C$60+C$80+C$91+C$95+C$96)/(1-($B$100)))*$B$102</f>
        <v>104.8485532823893</v>
      </c>
      <c r="D102" s="470">
        <f t="shared" ref="D102" si="13">((D$19+D$49+D$60+D$80+D$91+D$95+D$96)/(1-($B$100)))*$B$102</f>
        <v>86.871926243238789</v>
      </c>
    </row>
    <row r="103" spans="1:5" ht="14.25" customHeight="1" x14ac:dyDescent="0.2">
      <c r="A103" s="467" t="s">
        <v>537</v>
      </c>
      <c r="B103" s="261">
        <f>B104+B105</f>
        <v>0.1225</v>
      </c>
      <c r="C103" s="262">
        <f>((C19+C49+C60+C80+C91+C95+C96)/(1-($B$103)))*$B$103</f>
        <v>516.68530658845805</v>
      </c>
      <c r="D103" s="468">
        <f t="shared" ref="D103" si="14">((D19+D49+D60+D80+D91+D95+D96)/(1-($B$103)))*$B$103</f>
        <v>428.09792257245056</v>
      </c>
    </row>
    <row r="104" spans="1:5" ht="14.25" customHeight="1" x14ac:dyDescent="0.2">
      <c r="A104" s="445" t="s">
        <v>534</v>
      </c>
      <c r="B104" s="100">
        <f>0.0165+0.076</f>
        <v>9.2499999999999999E-2</v>
      </c>
      <c r="C104" s="263">
        <f>((C19+C49+C60+C80+C91+C95+C96)/(1-($B$103)))*$B$104</f>
        <v>390.150129464754</v>
      </c>
      <c r="D104" s="469">
        <f t="shared" ref="D104" si="15">((D19+D49+D60+D80+D91+D95+D96)/(1-($B$103)))*$B$104</f>
        <v>323.25761500368719</v>
      </c>
    </row>
    <row r="105" spans="1:5" ht="14.25" customHeight="1" x14ac:dyDescent="0.2">
      <c r="A105" s="445" t="s">
        <v>535</v>
      </c>
      <c r="B105" s="100">
        <v>0.03</v>
      </c>
      <c r="C105" s="264">
        <f>((C19+C49+C60+C80+C91+C95+C96)/(1-($B$103)))*$B$105</f>
        <v>126.535177123704</v>
      </c>
      <c r="D105" s="470">
        <f t="shared" ref="D105" si="16">((D19+D49+D60+D80+D91+D95+D96)/(1-($B$103)))*$B$105</f>
        <v>104.84030756876341</v>
      </c>
      <c r="E105" s="265"/>
    </row>
    <row r="106" spans="1:5" ht="14.25" customHeight="1" x14ac:dyDescent="0.2">
      <c r="A106" s="467" t="s">
        <v>538</v>
      </c>
      <c r="B106" s="261">
        <f>B107+B108</f>
        <v>0.13250000000000001</v>
      </c>
      <c r="C106" s="262">
        <f>((C19+C49+C60+C80+C91+C95+C96)/(1-($B$106)))*$B$106</f>
        <v>565.30593180409846</v>
      </c>
      <c r="D106" s="468">
        <f t="shared" ref="D106" si="17">((D19+D49+D60+D80+D91+D95+D96)/(1-($B$106)))*$B$106</f>
        <v>468.38238273335872</v>
      </c>
    </row>
    <row r="107" spans="1:5" ht="14.25" customHeight="1" x14ac:dyDescent="0.2">
      <c r="A107" s="445" t="s">
        <v>534</v>
      </c>
      <c r="B107" s="100">
        <f>0.0165+0.076</f>
        <v>9.2499999999999999E-2</v>
      </c>
      <c r="C107" s="263">
        <f>((C19+C49+C60+C80+C91+C95+C96)/(1-($B$106)))*$B$107</f>
        <v>394.64753729720081</v>
      </c>
      <c r="D107" s="469">
        <f t="shared" ref="D107" si="18">((D19+D49+D60+D80+D91+D95+D96)/(1-($B$106)))*$B$107</f>
        <v>326.98392756857118</v>
      </c>
    </row>
    <row r="108" spans="1:5" ht="14.25" customHeight="1" x14ac:dyDescent="0.2">
      <c r="A108" s="445" t="s">
        <v>535</v>
      </c>
      <c r="B108" s="100">
        <v>0.04</v>
      </c>
      <c r="C108" s="264">
        <f>((C19+C49+C60+C80+C91+C95+C96)/(1-($B$106)))*$B$108</f>
        <v>170.65839450689765</v>
      </c>
      <c r="D108" s="470">
        <f t="shared" ref="D108" si="19">((D19+D49+D60+D80+D91+D95+D96)/(1-($B$106)))*$B$108</f>
        <v>141.39845516478755</v>
      </c>
    </row>
    <row r="109" spans="1:5" ht="14.25" customHeight="1" x14ac:dyDescent="0.2">
      <c r="A109" s="467" t="s">
        <v>539</v>
      </c>
      <c r="B109" s="261">
        <f>B110+B111</f>
        <v>0.14250000000000002</v>
      </c>
      <c r="C109" s="262">
        <f>((C19+C49+C60+C80+C91+C95+C96)/(1-($B$109)))*$B$109</f>
        <v>615.06056577112406</v>
      </c>
      <c r="D109" s="468">
        <f t="shared" ref="D109" si="20">((D19+D49+D60+D80+D91+D95+D96)/(1-($B$109)))*$B$109</f>
        <v>509.60642214000234</v>
      </c>
    </row>
    <row r="110" spans="1:5" ht="14.25" customHeight="1" x14ac:dyDescent="0.2">
      <c r="A110" s="445" t="s">
        <v>534</v>
      </c>
      <c r="B110" s="100">
        <f>0.0165+0.076</f>
        <v>9.2499999999999999E-2</v>
      </c>
      <c r="C110" s="263">
        <f>((C19+C49+C60+C80+C91+C95+C96)/(1-($B$109)))*$B$110</f>
        <v>399.2498409391506</v>
      </c>
      <c r="D110" s="469">
        <f t="shared" ref="D110" si="21">((D19+D49+D60+D80+D91+D95+D96)/(1-($B$109)))*$B$110</f>
        <v>330.79715121368571</v>
      </c>
    </row>
    <row r="111" spans="1:5" ht="14.25" customHeight="1" x14ac:dyDescent="0.2">
      <c r="A111" s="445" t="s">
        <v>535</v>
      </c>
      <c r="B111" s="266">
        <v>0.05</v>
      </c>
      <c r="C111" s="264">
        <f>((C19+C49+C60+C80+C91+C95+C96)/(1-($B$109)))*$B$111</f>
        <v>215.81072483197332</v>
      </c>
      <c r="D111" s="470">
        <f t="shared" ref="D111" si="22">((D19+D49+D60+D80+D91+D95+D96)/(1-($B$109)))*$B$111</f>
        <v>178.8092709263166</v>
      </c>
    </row>
    <row r="112" spans="1:5" ht="14.25" customHeight="1" x14ac:dyDescent="0.2">
      <c r="A112" s="1022" t="s">
        <v>540</v>
      </c>
      <c r="B112" s="267">
        <v>0.02</v>
      </c>
      <c r="C112" s="268">
        <f>C95+C96+C97</f>
        <v>805.43618085771095</v>
      </c>
      <c r="D112" s="471">
        <f>D95+D96+D97</f>
        <v>667.34151599266124</v>
      </c>
    </row>
    <row r="113" spans="1:5" ht="14.25" customHeight="1" x14ac:dyDescent="0.2">
      <c r="A113" s="1022"/>
      <c r="B113" s="269">
        <v>2.5000000000000001E-2</v>
      </c>
      <c r="C113" s="270">
        <f>C95+C96+C100</f>
        <v>829.06402385092542</v>
      </c>
      <c r="D113" s="472">
        <f>D95+D96+D100</f>
        <v>686.91828810381367</v>
      </c>
    </row>
    <row r="114" spans="1:5" ht="14.25" customHeight="1" x14ac:dyDescent="0.2">
      <c r="A114" s="1022"/>
      <c r="B114" s="269">
        <v>0.03</v>
      </c>
      <c r="C114" s="270">
        <f>C95+C96+C103</f>
        <v>852.96113001215372</v>
      </c>
      <c r="D114" s="472">
        <f>D95+D96+D103</f>
        <v>706.71815733304197</v>
      </c>
      <c r="E114" s="265"/>
    </row>
    <row r="115" spans="1:5" ht="14.25" customHeight="1" x14ac:dyDescent="0.2">
      <c r="A115" s="1022"/>
      <c r="B115" s="269">
        <v>0.04</v>
      </c>
      <c r="C115" s="270">
        <f>C95+C96+C106</f>
        <v>901.58175522779413</v>
      </c>
      <c r="D115" s="472">
        <f>D95+D96+D106</f>
        <v>747.00261749395008</v>
      </c>
    </row>
    <row r="116" spans="1:5" ht="14.25" customHeight="1" x14ac:dyDescent="0.2">
      <c r="A116" s="1022"/>
      <c r="B116" s="271">
        <v>0.05</v>
      </c>
      <c r="C116" s="272">
        <f>C95+C96+C109</f>
        <v>951.33638919481973</v>
      </c>
      <c r="D116" s="473">
        <f>D95+D96+D109</f>
        <v>788.22665690059375</v>
      </c>
    </row>
    <row r="117" spans="1:5" ht="14.25" customHeight="1" x14ac:dyDescent="0.2">
      <c r="A117" s="445" t="s">
        <v>541</v>
      </c>
      <c r="B117" s="273"/>
      <c r="C117" s="274"/>
      <c r="D117" s="474"/>
    </row>
    <row r="118" spans="1:5" ht="14.25" customHeight="1" x14ac:dyDescent="0.2">
      <c r="A118" s="475"/>
      <c r="B118" s="277"/>
      <c r="C118" s="278"/>
      <c r="D118" s="476"/>
    </row>
    <row r="119" spans="1:5" ht="7.5" customHeight="1" x14ac:dyDescent="0.2">
      <c r="A119" s="1023"/>
      <c r="B119" s="1009"/>
      <c r="C119" s="1009"/>
      <c r="D119" s="1024"/>
    </row>
    <row r="120" spans="1:5" ht="7.5" customHeight="1" x14ac:dyDescent="0.2">
      <c r="A120" s="1025"/>
      <c r="B120" s="1010"/>
      <c r="C120" s="1010"/>
      <c r="D120" s="1026"/>
    </row>
    <row r="121" spans="1:5" ht="54.75" customHeight="1" x14ac:dyDescent="0.2">
      <c r="A121" s="1027" t="s">
        <v>542</v>
      </c>
      <c r="B121" s="1011"/>
      <c r="C121" s="281" t="str">
        <f>C10</f>
        <v>Servente COVID 40h</v>
      </c>
      <c r="D121" s="477" t="str">
        <f>D10</f>
        <v>Servente COVID 30h</v>
      </c>
    </row>
    <row r="122" spans="1:5" ht="15.75" customHeight="1" x14ac:dyDescent="0.2">
      <c r="A122" s="1028" t="s">
        <v>543</v>
      </c>
      <c r="B122" s="1005"/>
      <c r="C122" s="284" t="s">
        <v>472</v>
      </c>
      <c r="D122" s="478" t="s">
        <v>472</v>
      </c>
    </row>
    <row r="123" spans="1:5" ht="14.25" customHeight="1" x14ac:dyDescent="0.2">
      <c r="A123" s="1029" t="s">
        <v>544</v>
      </c>
      <c r="B123" s="1006"/>
      <c r="C123" s="286">
        <f>C19</f>
        <v>1315.3636363636363</v>
      </c>
      <c r="D123" s="479">
        <f>D19</f>
        <v>986.52272727272725</v>
      </c>
    </row>
    <row r="124" spans="1:5" ht="14.25" customHeight="1" x14ac:dyDescent="0.2">
      <c r="A124" s="1016" t="s">
        <v>545</v>
      </c>
      <c r="B124" s="1001"/>
      <c r="C124" s="139">
        <f>C49</f>
        <v>1258.1778787878789</v>
      </c>
      <c r="D124" s="480">
        <f>D49</f>
        <v>1106.903409090909</v>
      </c>
    </row>
    <row r="125" spans="1:5" ht="14.25" customHeight="1" x14ac:dyDescent="0.2">
      <c r="A125" s="1016" t="s">
        <v>546</v>
      </c>
      <c r="B125" s="1001"/>
      <c r="C125" s="139">
        <f>C60</f>
        <v>86.156318181818165</v>
      </c>
      <c r="D125" s="480">
        <f>D60</f>
        <v>64.617238636363624</v>
      </c>
    </row>
    <row r="126" spans="1:5" ht="14.25" customHeight="1" x14ac:dyDescent="0.2">
      <c r="A126" s="1016" t="s">
        <v>547</v>
      </c>
      <c r="B126" s="1001"/>
      <c r="C126" s="139">
        <f>C80</f>
        <v>287.97485744464683</v>
      </c>
      <c r="D126" s="480">
        <f>D80</f>
        <v>232.3999699590712</v>
      </c>
    </row>
    <row r="127" spans="1:5" ht="15.75" customHeight="1" x14ac:dyDescent="0.2">
      <c r="A127" s="1016" t="s">
        <v>548</v>
      </c>
      <c r="B127" s="1001"/>
      <c r="C127" s="139">
        <f>C91</f>
        <v>417.20541666666668</v>
      </c>
      <c r="D127" s="480">
        <f>D91</f>
        <v>397.51541666666668</v>
      </c>
    </row>
    <row r="128" spans="1:5" ht="15.75" customHeight="1" x14ac:dyDescent="0.2">
      <c r="A128" s="1018" t="s">
        <v>549</v>
      </c>
      <c r="B128" s="1004"/>
      <c r="C128" s="141">
        <f>SUM(C123:C127)</f>
        <v>3364.878107444647</v>
      </c>
      <c r="D128" s="481">
        <f>SUM(D123:D127)</f>
        <v>2787.9587616257377</v>
      </c>
    </row>
    <row r="129" spans="1:10" ht="15.75" customHeight="1" x14ac:dyDescent="0.2">
      <c r="A129" s="1017" t="s">
        <v>550</v>
      </c>
      <c r="B129" s="1002"/>
      <c r="C129" s="289">
        <f t="shared" ref="C129:D133" si="23">C112</f>
        <v>805.43618085771095</v>
      </c>
      <c r="D129" s="482">
        <f t="shared" si="23"/>
        <v>667.34151599266124</v>
      </c>
    </row>
    <row r="130" spans="1:10" ht="15.75" customHeight="1" x14ac:dyDescent="0.2">
      <c r="A130" s="1016" t="s">
        <v>551</v>
      </c>
      <c r="B130" s="1001"/>
      <c r="C130" s="291">
        <f t="shared" si="23"/>
        <v>829.06402385092542</v>
      </c>
      <c r="D130" s="483">
        <f t="shared" si="23"/>
        <v>686.91828810381367</v>
      </c>
    </row>
    <row r="131" spans="1:10" ht="15.75" customHeight="1" x14ac:dyDescent="0.2">
      <c r="A131" s="1016" t="s">
        <v>552</v>
      </c>
      <c r="B131" s="1001"/>
      <c r="C131" s="291">
        <f t="shared" si="23"/>
        <v>852.96113001215372</v>
      </c>
      <c r="D131" s="483">
        <f t="shared" si="23"/>
        <v>706.71815733304197</v>
      </c>
    </row>
    <row r="132" spans="1:10" ht="15.75" customHeight="1" x14ac:dyDescent="0.2">
      <c r="A132" s="1016" t="s">
        <v>553</v>
      </c>
      <c r="B132" s="1001"/>
      <c r="C132" s="291">
        <f t="shared" si="23"/>
        <v>901.58175522779413</v>
      </c>
      <c r="D132" s="483">
        <f t="shared" si="23"/>
        <v>747.00261749395008</v>
      </c>
    </row>
    <row r="133" spans="1:10" ht="15.75" customHeight="1" x14ac:dyDescent="0.2">
      <c r="A133" s="1017" t="s">
        <v>554</v>
      </c>
      <c r="B133" s="1002"/>
      <c r="C133" s="291">
        <f t="shared" si="23"/>
        <v>951.33638919481973</v>
      </c>
      <c r="D133" s="483">
        <f t="shared" si="23"/>
        <v>788.22665690059375</v>
      </c>
    </row>
    <row r="134" spans="1:10" ht="15.75" customHeight="1" x14ac:dyDescent="0.2">
      <c r="A134" s="484" t="s">
        <v>555</v>
      </c>
      <c r="B134" s="294"/>
      <c r="C134" s="295">
        <f>C128+C129</f>
        <v>4170.3142883023575</v>
      </c>
      <c r="D134" s="485">
        <f>D128+D129</f>
        <v>3455.3002776183989</v>
      </c>
      <c r="F134" s="648"/>
      <c r="G134" s="649"/>
    </row>
    <row r="135" spans="1:10" ht="15.75" customHeight="1" x14ac:dyDescent="0.2">
      <c r="A135" s="486" t="s">
        <v>556</v>
      </c>
      <c r="B135" s="298"/>
      <c r="C135" s="299">
        <f>C128+C130</f>
        <v>4193.9421312955728</v>
      </c>
      <c r="D135" s="487">
        <f>D128+D130</f>
        <v>3474.8770497295513</v>
      </c>
      <c r="F135" s="650"/>
      <c r="G135" s="651"/>
    </row>
    <row r="136" spans="1:10" ht="15.75" customHeight="1" x14ac:dyDescent="0.2">
      <c r="A136" s="486" t="s">
        <v>557</v>
      </c>
      <c r="B136" s="298"/>
      <c r="C136" s="299">
        <f>C128+C131</f>
        <v>4217.8392374568011</v>
      </c>
      <c r="D136" s="487">
        <f>D128+D131</f>
        <v>3494.6769189587794</v>
      </c>
      <c r="F136" s="650"/>
      <c r="G136" s="651"/>
      <c r="J136" s="652"/>
    </row>
    <row r="137" spans="1:10" ht="15.75" customHeight="1" x14ac:dyDescent="0.2">
      <c r="A137" s="486" t="s">
        <v>558</v>
      </c>
      <c r="B137" s="298"/>
      <c r="C137" s="299">
        <f>C128+C132</f>
        <v>4266.459862672441</v>
      </c>
      <c r="D137" s="487">
        <f>D128+D132</f>
        <v>3534.961379119688</v>
      </c>
      <c r="F137" s="650"/>
      <c r="G137" s="651"/>
      <c r="J137" s="652"/>
    </row>
    <row r="138" spans="1:10" ht="15.75" customHeight="1" x14ac:dyDescent="0.2">
      <c r="A138" s="486" t="s">
        <v>559</v>
      </c>
      <c r="B138" s="298"/>
      <c r="C138" s="299">
        <f>C128+C133</f>
        <v>4316.2144966394662</v>
      </c>
      <c r="D138" s="487">
        <f>D128+D133</f>
        <v>3576.1854185263314</v>
      </c>
      <c r="F138" s="650"/>
      <c r="G138" s="651"/>
      <c r="J138" s="652"/>
    </row>
    <row r="139" spans="1:10" ht="15.75" customHeight="1" x14ac:dyDescent="0.2">
      <c r="A139" s="488" t="s">
        <v>560</v>
      </c>
      <c r="B139" s="302"/>
      <c r="C139" s="303">
        <f>C134/200</f>
        <v>20.851571441511787</v>
      </c>
      <c r="D139" s="489"/>
      <c r="F139" s="650"/>
      <c r="G139" s="651"/>
      <c r="J139" s="652"/>
    </row>
    <row r="140" spans="1:10" ht="15.75" customHeight="1" x14ac:dyDescent="0.2">
      <c r="A140" s="490" t="s">
        <v>561</v>
      </c>
      <c r="B140" s="307"/>
      <c r="C140" s="308">
        <f>C135/200</f>
        <v>20.969710656477865</v>
      </c>
      <c r="D140" s="491"/>
      <c r="F140" s="650"/>
      <c r="G140" s="651"/>
      <c r="J140" s="652"/>
    </row>
    <row r="141" spans="1:10" ht="15.75" customHeight="1" x14ac:dyDescent="0.2">
      <c r="A141" s="490" t="s">
        <v>562</v>
      </c>
      <c r="B141" s="307"/>
      <c r="C141" s="308">
        <f>C136/200</f>
        <v>21.089196187284006</v>
      </c>
      <c r="D141" s="491"/>
      <c r="F141" s="650"/>
      <c r="G141" s="651"/>
    </row>
    <row r="142" spans="1:10" ht="15.75" customHeight="1" x14ac:dyDescent="0.2">
      <c r="A142" s="490" t="s">
        <v>563</v>
      </c>
      <c r="B142" s="307"/>
      <c r="C142" s="308">
        <f>C137/200</f>
        <v>21.332299313362206</v>
      </c>
      <c r="D142" s="491"/>
      <c r="F142" s="650"/>
      <c r="G142" s="651"/>
      <c r="J142" s="652"/>
    </row>
    <row r="143" spans="1:10" ht="15.75" customHeight="1" x14ac:dyDescent="0.2">
      <c r="A143" s="492" t="s">
        <v>564</v>
      </c>
      <c r="B143" s="493"/>
      <c r="C143" s="494">
        <f>C138/200</f>
        <v>21.581072483197332</v>
      </c>
      <c r="D143" s="495"/>
      <c r="F143" s="650"/>
      <c r="G143" s="651"/>
      <c r="J143" s="652"/>
    </row>
    <row r="144" spans="1:10" x14ac:dyDescent="0.2">
      <c r="A144" s="316"/>
      <c r="F144" s="650"/>
      <c r="G144" s="651"/>
    </row>
    <row r="145" spans="6:10" x14ac:dyDescent="0.2">
      <c r="F145" s="650"/>
      <c r="G145" s="651"/>
      <c r="J145" s="652"/>
    </row>
    <row r="146" spans="6:10" x14ac:dyDescent="0.2">
      <c r="F146" s="650"/>
      <c r="G146" s="651"/>
      <c r="J146" s="652"/>
    </row>
    <row r="147" spans="6:10" x14ac:dyDescent="0.2">
      <c r="F147" s="650"/>
      <c r="G147" s="651"/>
    </row>
    <row r="148" spans="6:10" x14ac:dyDescent="0.2">
      <c r="F148" s="650"/>
      <c r="G148" s="651"/>
    </row>
    <row r="149" spans="6:10" x14ac:dyDescent="0.2">
      <c r="F149" s="650"/>
      <c r="G149" s="651"/>
    </row>
    <row r="150" spans="6:10" x14ac:dyDescent="0.2">
      <c r="F150" s="650"/>
      <c r="G150" s="651"/>
    </row>
    <row r="151" spans="6:10" x14ac:dyDescent="0.2">
      <c r="F151" s="650"/>
      <c r="G151" s="651"/>
    </row>
    <row r="152" spans="6:10" x14ac:dyDescent="0.2">
      <c r="F152" s="650"/>
      <c r="G152" s="651"/>
    </row>
  </sheetData>
  <mergeCells count="27">
    <mergeCell ref="A21:D21"/>
    <mergeCell ref="A1:D1"/>
    <mergeCell ref="A2:D2"/>
    <mergeCell ref="A3:D3"/>
    <mergeCell ref="A9:D9"/>
    <mergeCell ref="A20:B20"/>
    <mergeCell ref="A124:B124"/>
    <mergeCell ref="A50:B50"/>
    <mergeCell ref="A51:D51"/>
    <mergeCell ref="A61:B61"/>
    <mergeCell ref="A62:D62"/>
    <mergeCell ref="A92:B92"/>
    <mergeCell ref="A112:A116"/>
    <mergeCell ref="A119:D119"/>
    <mergeCell ref="A120:D120"/>
    <mergeCell ref="A121:B121"/>
    <mergeCell ref="A122:B122"/>
    <mergeCell ref="A123:B123"/>
    <mergeCell ref="A131:B131"/>
    <mergeCell ref="A132:B132"/>
    <mergeCell ref="A133:B133"/>
    <mergeCell ref="A125:B125"/>
    <mergeCell ref="A126:B126"/>
    <mergeCell ref="A127:B127"/>
    <mergeCell ref="A128:B128"/>
    <mergeCell ref="A129:B129"/>
    <mergeCell ref="A130:B130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7070"/>
  </sheetPr>
  <dimension ref="A1:AMD32"/>
  <sheetViews>
    <sheetView zoomScale="80" zoomScaleNormal="80" workbookViewId="0">
      <pane xSplit="1" topLeftCell="B1" activePane="topRight" state="frozen"/>
      <selection pane="topRight" activeCell="J32" sqref="J32"/>
    </sheetView>
  </sheetViews>
  <sheetFormatPr defaultRowHeight="15" x14ac:dyDescent="0.25"/>
  <cols>
    <col min="1" max="1" width="23.375" style="175"/>
    <col min="2" max="2" width="9" style="175"/>
    <col min="3" max="9" width="9.25" style="175"/>
    <col min="10" max="11" width="11.5" style="175"/>
    <col min="12" max="14" width="9.25" style="175"/>
    <col min="15" max="15" width="9" style="175"/>
    <col min="16" max="18" width="9.25" style="175"/>
    <col min="19" max="21" width="9" style="175"/>
    <col min="22" max="22" width="9.25" style="175"/>
    <col min="23" max="1003" width="10.625" style="145"/>
    <col min="1004" max="1004" width="9" style="175"/>
    <col min="1005" max="1018" width="8.625" style="175"/>
  </cols>
  <sheetData>
    <row r="1" spans="1:1005" x14ac:dyDescent="0.25">
      <c r="A1" s="145"/>
      <c r="B1" s="145"/>
      <c r="C1" s="1039" t="s">
        <v>334</v>
      </c>
      <c r="D1" s="1039"/>
      <c r="E1" s="1039"/>
      <c r="F1" s="1039"/>
      <c r="G1" s="1040" t="s">
        <v>335</v>
      </c>
      <c r="H1" s="1040"/>
      <c r="I1" s="1040"/>
      <c r="J1" s="1041" t="s">
        <v>336</v>
      </c>
      <c r="K1" s="1041"/>
      <c r="L1" s="1041"/>
      <c r="M1" s="145"/>
      <c r="N1" s="145"/>
      <c r="O1" s="145"/>
      <c r="P1" s="145"/>
      <c r="Q1" s="145"/>
      <c r="R1" s="145"/>
      <c r="S1" s="145"/>
      <c r="T1" s="145"/>
      <c r="U1" s="145"/>
      <c r="V1" s="145"/>
      <c r="W1"/>
      <c r="ALP1"/>
      <c r="ALQ1"/>
    </row>
    <row r="2" spans="1:1005" ht="55.5" customHeight="1" x14ac:dyDescent="0.25">
      <c r="A2" s="976" t="s">
        <v>343</v>
      </c>
      <c r="B2" s="978" t="s">
        <v>73</v>
      </c>
      <c r="C2" s="977" t="s">
        <v>345</v>
      </c>
      <c r="D2" s="955" t="s">
        <v>346</v>
      </c>
      <c r="E2" s="961" t="s">
        <v>347</v>
      </c>
      <c r="F2" s="977" t="s">
        <v>348</v>
      </c>
      <c r="G2" s="983" t="s">
        <v>349</v>
      </c>
      <c r="H2" s="956" t="s">
        <v>602</v>
      </c>
      <c r="I2" s="986" t="s">
        <v>351</v>
      </c>
      <c r="J2" s="970" t="s">
        <v>352</v>
      </c>
      <c r="K2" s="950" t="s">
        <v>353</v>
      </c>
      <c r="L2" s="1042" t="s">
        <v>354</v>
      </c>
      <c r="M2" s="1037" t="s">
        <v>420</v>
      </c>
      <c r="N2" s="974" t="s">
        <v>421</v>
      </c>
      <c r="O2" s="974"/>
      <c r="P2" s="974"/>
      <c r="Q2" s="975" t="s">
        <v>422</v>
      </c>
      <c r="R2" s="975"/>
      <c r="S2" s="503" t="s">
        <v>423</v>
      </c>
      <c r="T2" s="504" t="s">
        <v>424</v>
      </c>
      <c r="U2" s="849" t="s">
        <v>425</v>
      </c>
      <c r="V2" s="193" t="s">
        <v>426</v>
      </c>
      <c r="W2"/>
      <c r="ALP2" s="145"/>
      <c r="ALQ2" s="145"/>
    </row>
    <row r="3" spans="1:1005" ht="18" customHeight="1" x14ac:dyDescent="0.25">
      <c r="A3" s="976"/>
      <c r="B3" s="979"/>
      <c r="C3" s="977"/>
      <c r="D3" s="955"/>
      <c r="E3" s="961"/>
      <c r="F3" s="977"/>
      <c r="G3" s="983"/>
      <c r="H3" s="956"/>
      <c r="I3" s="986"/>
      <c r="J3" s="970"/>
      <c r="K3" s="950"/>
      <c r="L3" s="1042"/>
      <c r="M3" s="1038"/>
      <c r="N3" s="323" t="s">
        <v>431</v>
      </c>
      <c r="O3" s="323" t="s">
        <v>427</v>
      </c>
      <c r="P3" s="323" t="s">
        <v>428</v>
      </c>
      <c r="Q3" s="627" t="s">
        <v>427</v>
      </c>
      <c r="R3" s="628" t="s">
        <v>428</v>
      </c>
      <c r="S3" s="629" t="s">
        <v>429</v>
      </c>
      <c r="T3" s="531" t="s">
        <v>429</v>
      </c>
      <c r="U3" s="850" t="s">
        <v>430</v>
      </c>
      <c r="V3" s="193" t="s">
        <v>428</v>
      </c>
      <c r="W3"/>
      <c r="ALP3" s="145"/>
      <c r="ALQ3" s="145"/>
    </row>
    <row r="4" spans="1:1005" x14ac:dyDescent="0.25">
      <c r="A4" s="545" t="s">
        <v>79</v>
      </c>
      <c r="B4" s="677">
        <f>MC!I68</f>
        <v>0.05</v>
      </c>
      <c r="C4" s="614">
        <v>822</v>
      </c>
      <c r="D4" s="615">
        <v>511</v>
      </c>
      <c r="E4" s="615">
        <v>0</v>
      </c>
      <c r="F4" s="615">
        <v>103</v>
      </c>
      <c r="G4" s="615">
        <v>993</v>
      </c>
      <c r="H4" s="615">
        <v>6842</v>
      </c>
      <c r="I4" s="615">
        <v>190</v>
      </c>
      <c r="J4" s="615">
        <v>132</v>
      </c>
      <c r="K4" s="615">
        <v>115</v>
      </c>
      <c r="L4" s="616">
        <v>247</v>
      </c>
      <c r="M4" s="620">
        <f t="shared" ref="M4:M18" si="0">C4/$C$20+D4/$D$20+E4/$E$20+F4/$F$20+G4/$G$20+H4/$H$20+I4/$I$20+K4/$K$20*16*1/188.76+L4/$L$20*16*1/188.76</f>
        <v>2.4212241530505652</v>
      </c>
      <c r="N4" s="756">
        <v>1</v>
      </c>
      <c r="O4" s="756"/>
      <c r="P4" s="757">
        <v>2</v>
      </c>
      <c r="Q4" s="758" t="s">
        <v>432</v>
      </c>
      <c r="R4" s="759" t="s">
        <v>432</v>
      </c>
      <c r="S4" s="518">
        <v>6</v>
      </c>
      <c r="T4" s="530">
        <v>6</v>
      </c>
      <c r="U4" s="851">
        <v>22</v>
      </c>
      <c r="V4" s="852">
        <v>1</v>
      </c>
      <c r="W4"/>
    </row>
    <row r="5" spans="1:1005" x14ac:dyDescent="0.25">
      <c r="A5" s="546" t="s">
        <v>81</v>
      </c>
      <c r="B5" s="677">
        <f>MC!I69</f>
        <v>2.5000000000000001E-2</v>
      </c>
      <c r="C5" s="614">
        <v>773</v>
      </c>
      <c r="D5" s="615">
        <v>1519</v>
      </c>
      <c r="E5" s="615">
        <v>0</v>
      </c>
      <c r="F5" s="615">
        <v>153</v>
      </c>
      <c r="G5" s="615">
        <v>712</v>
      </c>
      <c r="H5" s="615">
        <v>1008</v>
      </c>
      <c r="I5" s="615">
        <v>316</v>
      </c>
      <c r="J5" s="615">
        <v>265</v>
      </c>
      <c r="K5" s="615">
        <v>78</v>
      </c>
      <c r="L5" s="616">
        <v>343</v>
      </c>
      <c r="M5" s="621">
        <f t="shared" si="0"/>
        <v>3.1467207619936328</v>
      </c>
      <c r="N5" s="760">
        <v>1</v>
      </c>
      <c r="O5" s="760"/>
      <c r="P5" s="761">
        <v>2</v>
      </c>
      <c r="Q5" s="758">
        <v>2</v>
      </c>
      <c r="R5" s="759" t="s">
        <v>432</v>
      </c>
      <c r="S5" s="519">
        <v>6</v>
      </c>
      <c r="T5" s="526">
        <v>6</v>
      </c>
      <c r="U5" s="839"/>
      <c r="V5" s="853"/>
      <c r="W5"/>
    </row>
    <row r="6" spans="1:1005" x14ac:dyDescent="0.25">
      <c r="A6" s="546" t="s">
        <v>83</v>
      </c>
      <c r="B6" s="677">
        <f>MC!I70</f>
        <v>0.05</v>
      </c>
      <c r="C6" s="614">
        <v>787</v>
      </c>
      <c r="D6" s="615">
        <v>2256</v>
      </c>
      <c r="E6" s="615">
        <v>0</v>
      </c>
      <c r="F6" s="615">
        <v>121</v>
      </c>
      <c r="G6" s="615">
        <v>1989</v>
      </c>
      <c r="H6" s="615">
        <v>2171</v>
      </c>
      <c r="I6" s="615">
        <v>643</v>
      </c>
      <c r="J6" s="615">
        <v>92</v>
      </c>
      <c r="K6" s="615">
        <v>640</v>
      </c>
      <c r="L6" s="616">
        <v>732</v>
      </c>
      <c r="M6" s="621">
        <f t="shared" si="0"/>
        <v>4.2286127568656759</v>
      </c>
      <c r="N6" s="760">
        <v>1</v>
      </c>
      <c r="O6" s="760"/>
      <c r="P6" s="761">
        <v>3</v>
      </c>
      <c r="Q6" s="758" t="s">
        <v>432</v>
      </c>
      <c r="R6" s="759">
        <v>1</v>
      </c>
      <c r="S6" s="519">
        <v>6</v>
      </c>
      <c r="T6" s="526">
        <v>6</v>
      </c>
      <c r="U6" s="840"/>
      <c r="V6" s="853"/>
      <c r="W6"/>
    </row>
    <row r="7" spans="1:1005" x14ac:dyDescent="0.25">
      <c r="A7" s="546" t="s">
        <v>85</v>
      </c>
      <c r="B7" s="677">
        <f>MC!I71</f>
        <v>0.05</v>
      </c>
      <c r="C7" s="614">
        <v>551</v>
      </c>
      <c r="D7" s="615">
        <v>233</v>
      </c>
      <c r="E7" s="615">
        <v>0</v>
      </c>
      <c r="F7" s="615">
        <v>92</v>
      </c>
      <c r="G7" s="615">
        <v>888</v>
      </c>
      <c r="H7" s="615">
        <v>545</v>
      </c>
      <c r="I7" s="615">
        <v>308</v>
      </c>
      <c r="J7" s="615">
        <v>0</v>
      </c>
      <c r="K7" s="615">
        <v>261</v>
      </c>
      <c r="L7" s="616">
        <v>261</v>
      </c>
      <c r="M7" s="621">
        <f t="shared" si="0"/>
        <v>1.7890830297825511</v>
      </c>
      <c r="N7" s="760">
        <v>1</v>
      </c>
      <c r="O7" s="760"/>
      <c r="P7" s="761">
        <v>1</v>
      </c>
      <c r="Q7" s="653">
        <v>1</v>
      </c>
      <c r="R7" s="759" t="s">
        <v>432</v>
      </c>
      <c r="S7" s="519">
        <v>6</v>
      </c>
      <c r="T7" s="526">
        <v>6</v>
      </c>
      <c r="U7" s="840"/>
      <c r="V7" s="853"/>
      <c r="W7"/>
    </row>
    <row r="8" spans="1:1005" x14ac:dyDescent="0.25">
      <c r="A8" s="546" t="s">
        <v>87</v>
      </c>
      <c r="B8" s="677">
        <f>MC!I72</f>
        <v>0.04</v>
      </c>
      <c r="C8" s="614">
        <v>701</v>
      </c>
      <c r="D8" s="615">
        <v>634</v>
      </c>
      <c r="E8" s="615">
        <v>0</v>
      </c>
      <c r="F8" s="615">
        <v>84</v>
      </c>
      <c r="G8" s="615">
        <v>230</v>
      </c>
      <c r="H8" s="615">
        <v>91</v>
      </c>
      <c r="I8" s="615">
        <v>404</v>
      </c>
      <c r="J8" s="615">
        <v>133</v>
      </c>
      <c r="K8" s="615">
        <v>86</v>
      </c>
      <c r="L8" s="616">
        <v>219</v>
      </c>
      <c r="M8" s="621">
        <f t="shared" si="0"/>
        <v>1.9179347800666462</v>
      </c>
      <c r="N8" s="760">
        <v>1</v>
      </c>
      <c r="O8" s="760"/>
      <c r="P8" s="761">
        <v>1</v>
      </c>
      <c r="Q8" s="758">
        <v>1</v>
      </c>
      <c r="R8" s="759" t="s">
        <v>432</v>
      </c>
      <c r="S8" s="519">
        <v>6</v>
      </c>
      <c r="T8" s="526">
        <v>6</v>
      </c>
      <c r="U8" s="840"/>
      <c r="V8" s="853"/>
      <c r="W8" s="324"/>
    </row>
    <row r="9" spans="1:1005" x14ac:dyDescent="0.25">
      <c r="A9" s="546" t="s">
        <v>90</v>
      </c>
      <c r="B9" s="677">
        <f>MC!I73</f>
        <v>0.05</v>
      </c>
      <c r="C9" s="614">
        <v>714</v>
      </c>
      <c r="D9" s="615">
        <v>1920</v>
      </c>
      <c r="E9" s="615">
        <v>0</v>
      </c>
      <c r="F9" s="615">
        <v>114</v>
      </c>
      <c r="G9" s="615">
        <v>688</v>
      </c>
      <c r="H9" s="615">
        <v>89</v>
      </c>
      <c r="I9" s="615">
        <v>476</v>
      </c>
      <c r="J9" s="615">
        <v>1027</v>
      </c>
      <c r="K9" s="615">
        <v>0</v>
      </c>
      <c r="L9" s="616">
        <v>1027</v>
      </c>
      <c r="M9" s="621">
        <f t="shared" si="0"/>
        <v>3.2801788131715881</v>
      </c>
      <c r="N9" s="760">
        <v>1</v>
      </c>
      <c r="O9" s="760"/>
      <c r="P9" s="761">
        <v>2</v>
      </c>
      <c r="Q9" s="758" t="s">
        <v>432</v>
      </c>
      <c r="R9" s="759">
        <v>1</v>
      </c>
      <c r="S9" s="519">
        <v>6</v>
      </c>
      <c r="T9" s="526">
        <v>6</v>
      </c>
      <c r="U9" s="840"/>
      <c r="V9" s="853"/>
      <c r="W9"/>
    </row>
    <row r="10" spans="1:1005" x14ac:dyDescent="0.25">
      <c r="A10" s="546" t="s">
        <v>92</v>
      </c>
      <c r="B10" s="677">
        <f>MC!I74</f>
        <v>0.03</v>
      </c>
      <c r="C10" s="614">
        <v>289</v>
      </c>
      <c r="D10" s="615">
        <v>21</v>
      </c>
      <c r="E10" s="615">
        <v>0</v>
      </c>
      <c r="F10" s="615">
        <v>24.4</v>
      </c>
      <c r="G10" s="615">
        <v>584</v>
      </c>
      <c r="H10" s="615">
        <v>244</v>
      </c>
      <c r="I10" s="615">
        <v>179</v>
      </c>
      <c r="J10" s="615">
        <v>0</v>
      </c>
      <c r="K10" s="615">
        <v>141</v>
      </c>
      <c r="L10" s="616">
        <v>141</v>
      </c>
      <c r="M10" s="621">
        <f t="shared" si="0"/>
        <v>0.79877878875864516</v>
      </c>
      <c r="N10" s="654"/>
      <c r="O10" s="654">
        <v>1</v>
      </c>
      <c r="P10" s="761" t="s">
        <v>432</v>
      </c>
      <c r="Q10" s="758" t="s">
        <v>432</v>
      </c>
      <c r="R10" s="759" t="s">
        <v>432</v>
      </c>
      <c r="S10" s="519">
        <v>6</v>
      </c>
      <c r="T10" s="526">
        <v>6</v>
      </c>
      <c r="U10" s="840"/>
      <c r="V10" s="853"/>
      <c r="W10"/>
    </row>
    <row r="11" spans="1:1005" x14ac:dyDescent="0.25">
      <c r="A11" s="546" t="s">
        <v>95</v>
      </c>
      <c r="B11" s="677">
        <f>MC!I75</f>
        <v>0.03</v>
      </c>
      <c r="C11" s="614">
        <v>289</v>
      </c>
      <c r="D11" s="615">
        <v>21</v>
      </c>
      <c r="E11" s="615">
        <v>0</v>
      </c>
      <c r="F11" s="615">
        <v>24.4</v>
      </c>
      <c r="G11" s="615">
        <v>521</v>
      </c>
      <c r="H11" s="615">
        <v>229</v>
      </c>
      <c r="I11" s="615">
        <v>62</v>
      </c>
      <c r="J11" s="615">
        <v>0</v>
      </c>
      <c r="K11" s="615">
        <v>141</v>
      </c>
      <c r="L11" s="616">
        <v>141</v>
      </c>
      <c r="M11" s="621">
        <f t="shared" si="0"/>
        <v>0.76229545542531185</v>
      </c>
      <c r="N11" s="654"/>
      <c r="O11" s="654">
        <v>1</v>
      </c>
      <c r="P11" s="761" t="s">
        <v>432</v>
      </c>
      <c r="Q11" s="758" t="s">
        <v>432</v>
      </c>
      <c r="R11" s="759" t="s">
        <v>432</v>
      </c>
      <c r="S11" s="519">
        <v>6</v>
      </c>
      <c r="T11" s="526">
        <v>6</v>
      </c>
      <c r="U11" s="840"/>
      <c r="V11" s="853"/>
      <c r="W11" s="324"/>
    </row>
    <row r="12" spans="1:1005" x14ac:dyDescent="0.25">
      <c r="A12" s="546" t="s">
        <v>97</v>
      </c>
      <c r="B12" s="677">
        <f>MC!I76</f>
        <v>0.03</v>
      </c>
      <c r="C12" s="614">
        <v>289</v>
      </c>
      <c r="D12" s="615">
        <v>21</v>
      </c>
      <c r="E12" s="615">
        <v>0</v>
      </c>
      <c r="F12" s="615">
        <v>24.4</v>
      </c>
      <c r="G12" s="615">
        <v>541</v>
      </c>
      <c r="H12" s="615">
        <v>618</v>
      </c>
      <c r="I12" s="615">
        <v>70</v>
      </c>
      <c r="J12" s="615">
        <v>0</v>
      </c>
      <c r="K12" s="615">
        <v>121</v>
      </c>
      <c r="L12" s="616">
        <v>121</v>
      </c>
      <c r="M12" s="621">
        <f t="shared" si="0"/>
        <v>0.76555925476083375</v>
      </c>
      <c r="N12" s="760" t="s">
        <v>432</v>
      </c>
      <c r="O12" s="760"/>
      <c r="P12" s="761">
        <v>1</v>
      </c>
      <c r="Q12" s="758" t="s">
        <v>432</v>
      </c>
      <c r="R12" s="759" t="s">
        <v>432</v>
      </c>
      <c r="S12" s="519">
        <v>6</v>
      </c>
      <c r="T12" s="526">
        <v>6</v>
      </c>
      <c r="U12" s="840"/>
      <c r="V12" s="853"/>
      <c r="W12" s="324"/>
    </row>
    <row r="13" spans="1:1005" x14ac:dyDescent="0.25">
      <c r="A13" s="546" t="s">
        <v>99</v>
      </c>
      <c r="B13" s="677">
        <f>MC!I77</f>
        <v>0.05</v>
      </c>
      <c r="C13" s="614">
        <v>933</v>
      </c>
      <c r="D13" s="615">
        <v>939</v>
      </c>
      <c r="E13" s="615">
        <v>0</v>
      </c>
      <c r="F13" s="615">
        <v>72</v>
      </c>
      <c r="G13" s="615">
        <v>18</v>
      </c>
      <c r="H13" s="615">
        <v>0</v>
      </c>
      <c r="I13" s="615">
        <v>47</v>
      </c>
      <c r="J13" s="615">
        <v>241</v>
      </c>
      <c r="K13" s="615">
        <v>0</v>
      </c>
      <c r="L13" s="616">
        <v>241</v>
      </c>
      <c r="M13" s="621">
        <f t="shared" si="0"/>
        <v>2.2178969330775553</v>
      </c>
      <c r="N13" s="654"/>
      <c r="O13" s="654">
        <v>1</v>
      </c>
      <c r="P13" s="761">
        <v>2</v>
      </c>
      <c r="Q13" s="758" t="s">
        <v>432</v>
      </c>
      <c r="R13" s="759" t="s">
        <v>432</v>
      </c>
      <c r="S13" s="519">
        <v>6</v>
      </c>
      <c r="T13" s="526">
        <v>6</v>
      </c>
      <c r="U13" s="840"/>
      <c r="V13" s="853"/>
    </row>
    <row r="14" spans="1:1005" x14ac:dyDescent="0.25">
      <c r="A14" s="546" t="s">
        <v>101</v>
      </c>
      <c r="B14" s="677">
        <f>MC!I78</f>
        <v>0.05</v>
      </c>
      <c r="C14" s="614">
        <v>690</v>
      </c>
      <c r="D14" s="615">
        <v>0</v>
      </c>
      <c r="E14" s="615">
        <v>0</v>
      </c>
      <c r="F14" s="615">
        <v>55</v>
      </c>
      <c r="G14" s="615">
        <v>330</v>
      </c>
      <c r="H14" s="615">
        <v>40</v>
      </c>
      <c r="I14" s="615">
        <v>109</v>
      </c>
      <c r="J14" s="615">
        <v>0</v>
      </c>
      <c r="K14" s="615">
        <v>202</v>
      </c>
      <c r="L14" s="616">
        <v>202</v>
      </c>
      <c r="M14" s="621">
        <f t="shared" si="0"/>
        <v>1.3623505526371555</v>
      </c>
      <c r="N14" s="760" t="s">
        <v>432</v>
      </c>
      <c r="O14" s="760"/>
      <c r="P14" s="761">
        <v>2</v>
      </c>
      <c r="Q14" s="758">
        <v>2</v>
      </c>
      <c r="R14" s="759">
        <v>2</v>
      </c>
      <c r="S14" s="519">
        <v>6</v>
      </c>
      <c r="T14" s="526">
        <v>6</v>
      </c>
      <c r="U14" s="840"/>
      <c r="V14" s="853"/>
    </row>
    <row r="15" spans="1:1005" x14ac:dyDescent="0.25">
      <c r="A15" s="546" t="s">
        <v>103</v>
      </c>
      <c r="B15" s="677">
        <f>MC!I79</f>
        <v>0.05</v>
      </c>
      <c r="C15" s="614">
        <v>650</v>
      </c>
      <c r="D15" s="615">
        <v>189</v>
      </c>
      <c r="E15" s="615">
        <v>0</v>
      </c>
      <c r="F15" s="615">
        <v>57</v>
      </c>
      <c r="G15" s="615">
        <v>102</v>
      </c>
      <c r="H15" s="615">
        <v>0</v>
      </c>
      <c r="I15" s="615">
        <v>70</v>
      </c>
      <c r="J15" s="615">
        <v>20</v>
      </c>
      <c r="K15" s="615">
        <v>79</v>
      </c>
      <c r="L15" s="616">
        <v>99</v>
      </c>
      <c r="M15" s="621">
        <f t="shared" si="0"/>
        <v>1.3087606670310021</v>
      </c>
      <c r="N15" s="760" t="s">
        <v>432</v>
      </c>
      <c r="O15" s="760"/>
      <c r="P15" s="761">
        <v>1</v>
      </c>
      <c r="Q15" s="653">
        <v>1</v>
      </c>
      <c r="R15" s="759" t="s">
        <v>432</v>
      </c>
      <c r="S15" s="519">
        <v>6</v>
      </c>
      <c r="T15" s="526">
        <v>6</v>
      </c>
      <c r="U15" s="840"/>
      <c r="V15" s="853"/>
    </row>
    <row r="16" spans="1:1005" x14ac:dyDescent="0.25">
      <c r="A16" s="546" t="s">
        <v>105</v>
      </c>
      <c r="B16" s="677">
        <f>MC!I80</f>
        <v>0.05</v>
      </c>
      <c r="C16" s="614">
        <v>496</v>
      </c>
      <c r="D16" s="615">
        <v>0</v>
      </c>
      <c r="E16" s="615">
        <v>0</v>
      </c>
      <c r="F16" s="615">
        <v>45</v>
      </c>
      <c r="G16" s="615">
        <v>569</v>
      </c>
      <c r="H16" s="615">
        <v>136</v>
      </c>
      <c r="I16" s="615">
        <v>122</v>
      </c>
      <c r="J16" s="615">
        <v>0</v>
      </c>
      <c r="K16" s="615">
        <v>157</v>
      </c>
      <c r="L16" s="616">
        <v>157</v>
      </c>
      <c r="M16" s="621">
        <f t="shared" si="0"/>
        <v>1.1406978974383757</v>
      </c>
      <c r="N16" s="760" t="s">
        <v>432</v>
      </c>
      <c r="O16" s="760"/>
      <c r="P16" s="761">
        <v>1</v>
      </c>
      <c r="Q16" s="758" t="s">
        <v>432</v>
      </c>
      <c r="R16" s="759" t="s">
        <v>432</v>
      </c>
      <c r="S16" s="519">
        <v>6</v>
      </c>
      <c r="T16" s="526">
        <v>6</v>
      </c>
      <c r="U16" s="840"/>
      <c r="V16" s="853"/>
    </row>
    <row r="17" spans="1:22" x14ac:dyDescent="0.25">
      <c r="A17" s="546" t="s">
        <v>107</v>
      </c>
      <c r="B17" s="677">
        <f>MC!I81</f>
        <v>0.05</v>
      </c>
      <c r="C17" s="614">
        <v>397</v>
      </c>
      <c r="D17" s="615">
        <v>225</v>
      </c>
      <c r="E17" s="615">
        <v>0</v>
      </c>
      <c r="F17" s="615">
        <v>35</v>
      </c>
      <c r="G17" s="615">
        <v>128</v>
      </c>
      <c r="H17" s="615">
        <v>0</v>
      </c>
      <c r="I17" s="615">
        <v>56</v>
      </c>
      <c r="J17" s="615">
        <v>0</v>
      </c>
      <c r="K17" s="615">
        <v>61</v>
      </c>
      <c r="L17" s="616">
        <v>61</v>
      </c>
      <c r="M17" s="621">
        <f t="shared" si="0"/>
        <v>0.90209324535999191</v>
      </c>
      <c r="N17" s="760" t="s">
        <v>432</v>
      </c>
      <c r="O17" s="760"/>
      <c r="P17" s="761">
        <v>1</v>
      </c>
      <c r="Q17" s="758">
        <v>1</v>
      </c>
      <c r="R17" s="759" t="s">
        <v>432</v>
      </c>
      <c r="S17" s="520">
        <v>6</v>
      </c>
      <c r="T17" s="527">
        <v>6</v>
      </c>
      <c r="U17" s="841"/>
      <c r="V17" s="853"/>
    </row>
    <row r="18" spans="1:22" x14ac:dyDescent="0.25">
      <c r="A18" s="613" t="s">
        <v>109</v>
      </c>
      <c r="B18" s="677">
        <f>MC!I82</f>
        <v>0.05</v>
      </c>
      <c r="C18" s="617">
        <v>328</v>
      </c>
      <c r="D18" s="618">
        <v>0</v>
      </c>
      <c r="E18" s="618">
        <v>0</v>
      </c>
      <c r="F18" s="618">
        <v>10</v>
      </c>
      <c r="G18" s="618">
        <v>0</v>
      </c>
      <c r="H18" s="618">
        <v>0</v>
      </c>
      <c r="I18" s="618">
        <v>0</v>
      </c>
      <c r="J18" s="618">
        <v>72</v>
      </c>
      <c r="K18" s="618">
        <v>0</v>
      </c>
      <c r="L18" s="619">
        <v>72</v>
      </c>
      <c r="M18" s="622">
        <f t="shared" si="0"/>
        <v>0.47606049452939403</v>
      </c>
      <c r="N18" s="654"/>
      <c r="O18" s="658">
        <v>1</v>
      </c>
      <c r="P18" s="762" t="s">
        <v>432</v>
      </c>
      <c r="Q18" s="763" t="s">
        <v>432</v>
      </c>
      <c r="R18" s="764" t="s">
        <v>432</v>
      </c>
      <c r="S18" s="521">
        <v>6</v>
      </c>
      <c r="T18" s="528">
        <v>6</v>
      </c>
      <c r="U18" s="842"/>
      <c r="V18" s="853"/>
    </row>
    <row r="19" spans="1:22" x14ac:dyDescent="0.25">
      <c r="A19" s="325" t="s">
        <v>433</v>
      </c>
      <c r="B19" s="325"/>
      <c r="C19" s="326">
        <f t="shared" ref="C19:V19" si="1">SUM(C4:C18)</f>
        <v>8709</v>
      </c>
      <c r="D19" s="327">
        <f t="shared" si="1"/>
        <v>8489</v>
      </c>
      <c r="E19" s="327">
        <f t="shared" si="1"/>
        <v>0</v>
      </c>
      <c r="F19" s="327">
        <f t="shared" si="1"/>
        <v>1014.1999999999999</v>
      </c>
      <c r="G19" s="327">
        <f t="shared" si="1"/>
        <v>8293</v>
      </c>
      <c r="H19" s="327">
        <f t="shared" si="1"/>
        <v>12013</v>
      </c>
      <c r="I19" s="327">
        <f t="shared" si="1"/>
        <v>3052</v>
      </c>
      <c r="J19" s="327">
        <f t="shared" si="1"/>
        <v>1982</v>
      </c>
      <c r="K19" s="327">
        <f t="shared" si="1"/>
        <v>2082</v>
      </c>
      <c r="L19" s="328">
        <f t="shared" si="1"/>
        <v>4064</v>
      </c>
      <c r="M19" s="201">
        <f t="shared" si="1"/>
        <v>26.518247583948931</v>
      </c>
      <c r="N19" s="410">
        <f t="shared" si="1"/>
        <v>6</v>
      </c>
      <c r="O19" s="659">
        <f t="shared" si="1"/>
        <v>4</v>
      </c>
      <c r="P19" s="660">
        <f t="shared" si="1"/>
        <v>19</v>
      </c>
      <c r="Q19" s="625">
        <f t="shared" si="1"/>
        <v>8</v>
      </c>
      <c r="R19" s="625">
        <f t="shared" si="1"/>
        <v>4</v>
      </c>
      <c r="S19" s="623">
        <f t="shared" si="1"/>
        <v>90</v>
      </c>
      <c r="T19" s="502">
        <f t="shared" si="1"/>
        <v>90</v>
      </c>
      <c r="U19" s="844">
        <f t="shared" si="1"/>
        <v>22</v>
      </c>
      <c r="V19" s="854">
        <f t="shared" si="1"/>
        <v>1</v>
      </c>
    </row>
    <row r="20" spans="1:22" x14ac:dyDescent="0.25">
      <c r="A20" s="203" t="s">
        <v>434</v>
      </c>
      <c r="B20" s="172"/>
      <c r="C20" s="598">
        <v>800</v>
      </c>
      <c r="D20" s="599">
        <v>1500</v>
      </c>
      <c r="E20" s="599">
        <v>1000</v>
      </c>
      <c r="F20" s="599">
        <v>200</v>
      </c>
      <c r="G20" s="599">
        <v>2700</v>
      </c>
      <c r="H20" s="599">
        <v>100000</v>
      </c>
      <c r="I20" s="599">
        <v>9000</v>
      </c>
      <c r="J20" s="599">
        <v>160</v>
      </c>
      <c r="K20" s="599">
        <v>380</v>
      </c>
      <c r="L20" s="600">
        <v>380</v>
      </c>
      <c r="M20" s="329"/>
      <c r="N20" s="417" t="s">
        <v>435</v>
      </c>
      <c r="O20" s="655"/>
      <c r="P20" s="657">
        <f>SUM(N19:P19)</f>
        <v>29</v>
      </c>
      <c r="Q20" s="626" t="s">
        <v>435</v>
      </c>
      <c r="R20" s="624">
        <f>Q19+R19</f>
        <v>12</v>
      </c>
      <c r="S20" s="500"/>
      <c r="T20" s="500"/>
      <c r="U20" s="500"/>
      <c r="V20"/>
    </row>
    <row r="21" spans="1:22" x14ac:dyDescent="0.25">
      <c r="A21" s="206" t="s">
        <v>436</v>
      </c>
      <c r="B21" s="206"/>
      <c r="C21" s="207">
        <f t="shared" ref="C21:I21" si="2">C19/C20</f>
        <v>10.88625</v>
      </c>
      <c r="D21" s="208">
        <f t="shared" si="2"/>
        <v>5.6593333333333335</v>
      </c>
      <c r="E21" s="208">
        <f t="shared" si="2"/>
        <v>0</v>
      </c>
      <c r="F21" s="208">
        <f t="shared" si="2"/>
        <v>5.0709999999999997</v>
      </c>
      <c r="G21" s="208">
        <f t="shared" si="2"/>
        <v>3.0714814814814817</v>
      </c>
      <c r="H21" s="208">
        <f t="shared" si="2"/>
        <v>0.12013</v>
      </c>
      <c r="I21" s="208">
        <f t="shared" si="2"/>
        <v>0.33911111111111109</v>
      </c>
      <c r="J21" s="208">
        <f>1/J20*8*1/1132.6*J19</f>
        <v>8.749779268938726E-2</v>
      </c>
      <c r="K21" s="208">
        <f>1/K20*16*1/188.76*K19</f>
        <v>0.46441596680831132</v>
      </c>
      <c r="L21" s="209">
        <f>1/L20*16*1/188.76*L19</f>
        <v>0.90652569121468651</v>
      </c>
      <c r="M21" s="210">
        <f>SUM(C21:L21)-J21</f>
        <v>26.51824758394892</v>
      </c>
      <c r="N21" s="416" t="s">
        <v>437</v>
      </c>
      <c r="O21" s="656"/>
      <c r="P21" s="414">
        <f>P19+(N19*0.68)+(O19*0.85)</f>
        <v>26.479999999999997</v>
      </c>
      <c r="Q21" s="205"/>
      <c r="R21" s="174"/>
      <c r="S21" s="174"/>
      <c r="T21" s="174"/>
      <c r="U21" s="174"/>
      <c r="V21" s="174"/>
    </row>
    <row r="22" spans="1:22" ht="13.9" customHeight="1" x14ac:dyDescent="0.25">
      <c r="A22" s="211" t="s">
        <v>438</v>
      </c>
      <c r="B22" s="211"/>
      <c r="C22" s="212">
        <f>C19/(M21*C20)</f>
        <v>0.41051920816175186</v>
      </c>
      <c r="D22" s="213">
        <f>D19/(M21*D20)</f>
        <v>0.21341279492234771</v>
      </c>
      <c r="E22" s="213">
        <f>E19/(M21*E20)</f>
        <v>0</v>
      </c>
      <c r="F22" s="213">
        <f>F19/(M21*F20)</f>
        <v>0.19122681406253242</v>
      </c>
      <c r="G22" s="213">
        <f>G19/(M21*G20)</f>
        <v>0.11582520571007118</v>
      </c>
      <c r="H22" s="213">
        <f>H19/(M21*H20)</f>
        <v>4.5300881824752561E-3</v>
      </c>
      <c r="I22" s="213">
        <f>I19/(M21*I20)</f>
        <v>1.2787840148093713E-2</v>
      </c>
      <c r="J22" s="213">
        <f>1/4*1/J20*8*1/1132.6*J19</f>
        <v>2.1874448172346815E-2</v>
      </c>
      <c r="K22" s="213">
        <f>1/M21*1/K20*16*1/188.76*K19</f>
        <v>1.7513071530767931E-2</v>
      </c>
      <c r="L22" s="214">
        <f>1/M21*1/L20*16*1/188.76*L19</f>
        <v>3.4184977281960079E-2</v>
      </c>
      <c r="M22" s="215">
        <f>SUM(C22:L22)-J22</f>
        <v>1.0000000000000002</v>
      </c>
      <c r="N22" s="174"/>
      <c r="O22" s="174"/>
      <c r="P22" s="174"/>
      <c r="Q22" s="174"/>
      <c r="R22" s="174"/>
      <c r="S22" s="174"/>
      <c r="T22" s="174"/>
      <c r="U22" s="174"/>
      <c r="V22"/>
    </row>
    <row r="23" spans="1:22" ht="13.9" hidden="1" customHeight="1" x14ac:dyDescent="0.25">
      <c r="A23" s="216" t="s">
        <v>439</v>
      </c>
      <c r="B23" s="216"/>
      <c r="C23" s="217">
        <f t="shared" ref="C23:I23" si="3">ROUND(1/C20,9)</f>
        <v>1.25E-3</v>
      </c>
      <c r="D23" s="218">
        <f t="shared" si="3"/>
        <v>6.6666700000000002E-4</v>
      </c>
      <c r="E23" s="218">
        <f t="shared" si="3"/>
        <v>1E-3</v>
      </c>
      <c r="F23" s="218">
        <f t="shared" si="3"/>
        <v>5.0000000000000001E-3</v>
      </c>
      <c r="G23" s="218">
        <f t="shared" si="3"/>
        <v>3.7037000000000002E-4</v>
      </c>
      <c r="H23" s="218">
        <f t="shared" si="3"/>
        <v>1.0000000000000001E-5</v>
      </c>
      <c r="I23" s="218">
        <f t="shared" si="3"/>
        <v>1.11111E-4</v>
      </c>
      <c r="J23" s="219">
        <f>(1/J20)*(1/L31)*8</f>
        <v>4.8611111111111115E-5</v>
      </c>
      <c r="K23" s="219">
        <f>(1/K20)*(1/L30)*16</f>
        <v>2.4561403508771931E-4</v>
      </c>
      <c r="L23" s="220">
        <f>(1/L20)*(1/L30)*16</f>
        <v>2.4561403508771931E-4</v>
      </c>
      <c r="M23"/>
      <c r="N23"/>
      <c r="O23"/>
      <c r="P23"/>
      <c r="Q23"/>
      <c r="R23"/>
      <c r="S23"/>
      <c r="T23"/>
      <c r="U23"/>
      <c r="V23"/>
    </row>
    <row r="24" spans="1:22" ht="13.9" hidden="1" customHeight="1" x14ac:dyDescent="0.25">
      <c r="A24" s="221" t="s">
        <v>440</v>
      </c>
      <c r="B24" s="221"/>
      <c r="C24" s="222" t="e">
        <f>C23/#REF!</f>
        <v>#REF!</v>
      </c>
      <c r="D24" s="223" t="e">
        <f>D23/#REF!</f>
        <v>#REF!</v>
      </c>
      <c r="E24" s="223" t="e">
        <f>E23/#REF!</f>
        <v>#REF!</v>
      </c>
      <c r="F24" s="223" t="e">
        <f>F23/#REF!</f>
        <v>#REF!</v>
      </c>
      <c r="G24" s="223" t="e">
        <f>G23/#REF!</f>
        <v>#REF!</v>
      </c>
      <c r="H24" s="223" t="e">
        <f>H23/#REF!</f>
        <v>#REF!</v>
      </c>
      <c r="I24" s="223" t="e">
        <f>I23/#REF!</f>
        <v>#REF!</v>
      </c>
      <c r="J24" s="224" t="e">
        <f>J23/#REF!</f>
        <v>#REF!</v>
      </c>
      <c r="K24" s="224" t="e">
        <f>K23/#REF!</f>
        <v>#REF!</v>
      </c>
      <c r="L24" s="225" t="e">
        <f>L23/#REF!</f>
        <v>#REF!</v>
      </c>
      <c r="M24"/>
      <c r="N24"/>
      <c r="O24"/>
      <c r="P24"/>
      <c r="Q24"/>
      <c r="R24"/>
      <c r="S24"/>
      <c r="T24"/>
      <c r="U24"/>
      <c r="V24"/>
    </row>
    <row r="25" spans="1:22" ht="13.9" hidden="1" customHeight="1" x14ac:dyDescent="0.25">
      <c r="A25" s="226" t="s">
        <v>441</v>
      </c>
      <c r="B25" s="226"/>
      <c r="C25" s="227" t="s">
        <v>442</v>
      </c>
      <c r="D25" s="228" t="s">
        <v>443</v>
      </c>
      <c r="E25" s="228" t="s">
        <v>444</v>
      </c>
      <c r="F25" s="228" t="s">
        <v>445</v>
      </c>
      <c r="G25" s="229" t="s">
        <v>446</v>
      </c>
      <c r="H25" s="234">
        <v>100000</v>
      </c>
      <c r="I25" s="229" t="s">
        <v>447</v>
      </c>
      <c r="J25" s="230" t="s">
        <v>448</v>
      </c>
      <c r="K25" s="230" t="s">
        <v>449</v>
      </c>
      <c r="L25" s="231" t="s">
        <v>449</v>
      </c>
      <c r="M25"/>
      <c r="N25"/>
      <c r="O25"/>
      <c r="P25"/>
      <c r="Q25"/>
      <c r="R25"/>
      <c r="S25"/>
      <c r="T25"/>
      <c r="U25"/>
      <c r="V25"/>
    </row>
    <row r="26" spans="1:22" ht="13.9" hidden="1" customHeight="1" x14ac:dyDescent="0.25">
      <c r="C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ht="13.9" hidden="1" customHeight="1" x14ac:dyDescent="0.25">
      <c r="C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ht="13.9" hidden="1" customHeight="1" x14ac:dyDescent="0.25">
      <c r="C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ht="13.9" hidden="1" customHeight="1" x14ac:dyDescent="0.25">
      <c r="C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ht="13.9" hidden="1" customHeight="1" x14ac:dyDescent="0.25">
      <c r="C30"/>
      <c r="J30" s="84">
        <f>30/7</f>
        <v>4.2857142857142856</v>
      </c>
      <c r="K30" s="84">
        <v>40</v>
      </c>
      <c r="L30" s="84">
        <f>J30*K30</f>
        <v>171.42857142857142</v>
      </c>
      <c r="M30" s="84"/>
      <c r="N30" s="84"/>
      <c r="O30" s="84"/>
      <c r="P30" s="84"/>
      <c r="Q30" s="84"/>
      <c r="R30" s="84"/>
      <c r="S30" s="84"/>
      <c r="T30" s="84"/>
      <c r="U30" s="84"/>
      <c r="V30"/>
    </row>
    <row r="31" spans="1:22" ht="13.9" hidden="1" customHeight="1" x14ac:dyDescent="0.25">
      <c r="C31"/>
      <c r="J31" s="84"/>
      <c r="K31" s="84"/>
      <c r="L31" s="84">
        <f>L30*6</f>
        <v>1028.5714285714284</v>
      </c>
      <c r="M31" s="84" t="s">
        <v>450</v>
      </c>
      <c r="N31" s="84"/>
      <c r="O31" s="84"/>
      <c r="P31" s="84"/>
      <c r="Q31" s="84"/>
      <c r="R31" s="84"/>
      <c r="S31" s="84"/>
      <c r="T31" s="84"/>
      <c r="U31" s="84"/>
      <c r="V31" s="84" t="s">
        <v>451</v>
      </c>
    </row>
    <row r="32" spans="1:22" x14ac:dyDescent="0.25">
      <c r="A32" s="233" t="s">
        <v>441</v>
      </c>
      <c r="B32" s="675"/>
      <c r="C32" s="228" t="s">
        <v>442</v>
      </c>
      <c r="D32" s="228" t="s">
        <v>443</v>
      </c>
      <c r="E32" s="228" t="s">
        <v>444</v>
      </c>
      <c r="F32" s="228" t="s">
        <v>445</v>
      </c>
      <c r="G32" s="229" t="s">
        <v>446</v>
      </c>
      <c r="H32" s="234">
        <v>100000</v>
      </c>
      <c r="I32" s="229" t="s">
        <v>447</v>
      </c>
      <c r="J32" s="229" t="s">
        <v>448</v>
      </c>
      <c r="K32" s="230" t="s">
        <v>449</v>
      </c>
      <c r="L32" s="231" t="s">
        <v>449</v>
      </c>
    </row>
  </sheetData>
  <mergeCells count="18">
    <mergeCell ref="A2:A3"/>
    <mergeCell ref="C2:C3"/>
    <mergeCell ref="D2:D3"/>
    <mergeCell ref="E2:E3"/>
    <mergeCell ref="F2:F3"/>
    <mergeCell ref="B2:B3"/>
    <mergeCell ref="M2:M3"/>
    <mergeCell ref="N2:P2"/>
    <mergeCell ref="Q2:R2"/>
    <mergeCell ref="C1:F1"/>
    <mergeCell ref="G1:I1"/>
    <mergeCell ref="J1:L1"/>
    <mergeCell ref="G2:G3"/>
    <mergeCell ref="H2:H3"/>
    <mergeCell ref="I2:I3"/>
    <mergeCell ref="J2:J3"/>
    <mergeCell ref="K2:K3"/>
    <mergeCell ref="L2:L3"/>
  </mergeCells>
  <pageMargins left="0" right="0" top="0.39374999999999999" bottom="0.39374999999999999" header="0" footer="0"/>
  <pageSetup paperSize="0" scale="0" firstPageNumber="0" orientation="portrait" usePrinterDefaults="0" horizontalDpi="0" verticalDpi="0" copies="0"/>
  <headerFooter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CFD6"/>
  </sheetPr>
  <dimension ref="A1:AMH192"/>
  <sheetViews>
    <sheetView zoomScale="80" zoomScaleNormal="80" workbookViewId="0">
      <selection activeCell="M148" sqref="M148:S194"/>
    </sheetView>
  </sheetViews>
  <sheetFormatPr defaultRowHeight="14.25" x14ac:dyDescent="0.2"/>
  <cols>
    <col min="1" max="1" width="50.25" style="84" customWidth="1"/>
    <col min="2" max="2" width="12.875" style="84" customWidth="1"/>
    <col min="3" max="3" width="13" style="84" customWidth="1"/>
    <col min="4" max="5" width="13.875" style="84" customWidth="1"/>
    <col min="6" max="6" width="15.375" style="84" customWidth="1"/>
    <col min="7" max="7" width="15" style="84" customWidth="1"/>
    <col min="8" max="1022" width="9" style="84"/>
  </cols>
  <sheetData>
    <row r="1" spans="1:7" ht="15.75" x14ac:dyDescent="0.2">
      <c r="A1" s="1013" t="s">
        <v>452</v>
      </c>
      <c r="B1" s="1013"/>
      <c r="C1" s="1013"/>
      <c r="D1" s="1013"/>
      <c r="E1" s="1013"/>
      <c r="F1" s="1013"/>
      <c r="G1" s="1013"/>
    </row>
    <row r="2" spans="1:7" ht="15.75" x14ac:dyDescent="0.2">
      <c r="A2" s="1014" t="s">
        <v>453</v>
      </c>
      <c r="B2" s="1014"/>
      <c r="C2" s="1014"/>
      <c r="D2" s="1014"/>
      <c r="E2" s="1014"/>
      <c r="F2" s="1014"/>
      <c r="G2" s="1014"/>
    </row>
    <row r="3" spans="1:7" ht="15.75" customHeight="1" x14ac:dyDescent="0.2">
      <c r="A3" s="1014" t="s">
        <v>454</v>
      </c>
      <c r="B3" s="1014"/>
      <c r="C3" s="1014"/>
      <c r="D3" s="1014"/>
      <c r="E3" s="1014"/>
      <c r="F3" s="1014"/>
      <c r="G3" s="1014"/>
    </row>
    <row r="4" spans="1:7" ht="15.75" x14ac:dyDescent="0.2">
      <c r="A4" s="85"/>
      <c r="B4" s="86"/>
      <c r="C4" s="87" t="s">
        <v>455</v>
      </c>
      <c r="D4" s="236" t="s">
        <v>456</v>
      </c>
      <c r="E4" s="236" t="s">
        <v>603</v>
      </c>
      <c r="F4" s="237" t="s">
        <v>457</v>
      </c>
      <c r="G4" s="237" t="s">
        <v>458</v>
      </c>
    </row>
    <row r="5" spans="1:7" x14ac:dyDescent="0.2">
      <c r="A5" s="88"/>
      <c r="B5" s="89" t="s">
        <v>459</v>
      </c>
      <c r="C5" s="90">
        <f>MC!D11</f>
        <v>1315.3636363636363</v>
      </c>
      <c r="D5" s="238">
        <f>MC!E11</f>
        <v>986.52272727272725</v>
      </c>
      <c r="E5" s="238">
        <f>MC!F11</f>
        <v>657.68181818181813</v>
      </c>
      <c r="F5" s="239">
        <f>MC!C11</f>
        <v>1446.9</v>
      </c>
      <c r="G5" s="239">
        <f>MC!D12</f>
        <v>1712.2181818181818</v>
      </c>
    </row>
    <row r="6" spans="1:7" x14ac:dyDescent="0.2">
      <c r="A6" s="88"/>
      <c r="B6" s="89" t="s">
        <v>460</v>
      </c>
      <c r="C6" s="91">
        <f>MC!D8</f>
        <v>44593</v>
      </c>
      <c r="D6" s="240">
        <f>MC!D8</f>
        <v>44593</v>
      </c>
      <c r="E6" s="240" t="str">
        <f>MC!E8</f>
        <v>5143-20</v>
      </c>
      <c r="F6" s="241">
        <f>MC!D8</f>
        <v>44593</v>
      </c>
      <c r="G6" s="241">
        <f>MC!D8</f>
        <v>44593</v>
      </c>
    </row>
    <row r="7" spans="1:7" x14ac:dyDescent="0.2">
      <c r="A7" s="88"/>
      <c r="B7" s="89" t="s">
        <v>461</v>
      </c>
      <c r="C7" s="91" t="str">
        <f>MC!C8</f>
        <v>PR000321/2022</v>
      </c>
      <c r="D7" s="240" t="str">
        <f>MC!C8</f>
        <v>PR000321/2022</v>
      </c>
      <c r="E7" s="240">
        <f>MC!D8</f>
        <v>44593</v>
      </c>
      <c r="F7" s="241" t="str">
        <f>MC!C8</f>
        <v>PR000321/2022</v>
      </c>
      <c r="G7" s="241" t="str">
        <f>MC!C8</f>
        <v>PR000321/2022</v>
      </c>
    </row>
    <row r="8" spans="1:7" x14ac:dyDescent="0.2">
      <c r="A8" s="88"/>
      <c r="B8" s="89" t="s">
        <v>462</v>
      </c>
      <c r="C8" s="92" t="str">
        <f>MC!E8</f>
        <v>5143-20</v>
      </c>
      <c r="D8" s="242" t="str">
        <f>MC!E8</f>
        <v>5143-20</v>
      </c>
      <c r="E8" s="242">
        <f>MC!F8</f>
        <v>0</v>
      </c>
      <c r="F8" s="243" t="str">
        <f>MC!E8</f>
        <v>5143-20</v>
      </c>
      <c r="G8" s="243" t="str">
        <f>MC!E8</f>
        <v>5143-20</v>
      </c>
    </row>
    <row r="9" spans="1:7" x14ac:dyDescent="0.2">
      <c r="A9" s="1010"/>
      <c r="B9" s="1010"/>
      <c r="C9" s="1010"/>
      <c r="D9" s="1010"/>
      <c r="E9" s="1010"/>
      <c r="F9" s="1010"/>
      <c r="G9" s="1010"/>
    </row>
    <row r="10" spans="1:7" ht="66.75" customHeight="1" x14ac:dyDescent="0.2">
      <c r="A10" s="630" t="s">
        <v>463</v>
      </c>
      <c r="B10" s="245" t="s">
        <v>464</v>
      </c>
      <c r="C10" s="245" t="s">
        <v>465</v>
      </c>
      <c r="D10" s="322" t="s">
        <v>466</v>
      </c>
      <c r="E10" s="322" t="s">
        <v>604</v>
      </c>
      <c r="F10" s="245" t="s">
        <v>467</v>
      </c>
      <c r="G10" s="245" t="s">
        <v>468</v>
      </c>
    </row>
    <row r="11" spans="1:7" ht="15.75" customHeight="1" x14ac:dyDescent="0.2">
      <c r="A11" s="441" t="s">
        <v>469</v>
      </c>
      <c r="B11" s="395"/>
      <c r="C11" s="395"/>
      <c r="D11" s="395"/>
      <c r="E11" s="395"/>
      <c r="F11" s="395"/>
      <c r="G11" s="442"/>
    </row>
    <row r="12" spans="1:7" ht="15.75" customHeight="1" x14ac:dyDescent="0.2">
      <c r="A12" s="443" t="s">
        <v>470</v>
      </c>
      <c r="B12" s="94" t="s">
        <v>471</v>
      </c>
      <c r="C12" s="94" t="s">
        <v>472</v>
      </c>
      <c r="D12" s="94" t="s">
        <v>472</v>
      </c>
      <c r="E12" s="94" t="s">
        <v>472</v>
      </c>
      <c r="F12" s="246"/>
      <c r="G12" s="444" t="s">
        <v>472</v>
      </c>
    </row>
    <row r="13" spans="1:7" ht="15.75" customHeight="1" x14ac:dyDescent="0.2">
      <c r="A13" s="445" t="s">
        <v>473</v>
      </c>
      <c r="B13" s="97"/>
      <c r="C13" s="98">
        <f>C5</f>
        <v>1315.3636363636363</v>
      </c>
      <c r="D13" s="247">
        <f>D5</f>
        <v>986.52272727272725</v>
      </c>
      <c r="E13" s="247">
        <f>E5</f>
        <v>657.68181818181813</v>
      </c>
      <c r="F13" s="247">
        <f>F5</f>
        <v>1446.9</v>
      </c>
      <c r="G13" s="446">
        <f>G5</f>
        <v>1712.2181818181818</v>
      </c>
    </row>
    <row r="14" spans="1:7" ht="15.75" customHeight="1" x14ac:dyDescent="0.2">
      <c r="A14" s="445" t="s">
        <v>474</v>
      </c>
      <c r="B14" s="100">
        <v>0</v>
      </c>
      <c r="C14" s="98">
        <f>C13*$B$14</f>
        <v>0</v>
      </c>
      <c r="D14" s="98">
        <f>D13*$B$14</f>
        <v>0</v>
      </c>
      <c r="E14" s="98"/>
      <c r="F14" s="98">
        <f>F13*$B$14</f>
        <v>0</v>
      </c>
      <c r="G14" s="446">
        <f>G13*$B$14</f>
        <v>0</v>
      </c>
    </row>
    <row r="15" spans="1:7" ht="15.75" customHeight="1" x14ac:dyDescent="0.2">
      <c r="A15" s="445" t="s">
        <v>475</v>
      </c>
      <c r="B15" s="101"/>
      <c r="C15" s="98"/>
      <c r="D15" s="247"/>
      <c r="E15" s="247"/>
      <c r="F15" s="247"/>
      <c r="G15" s="446"/>
    </row>
    <row r="16" spans="1:7" ht="15.75" customHeight="1" x14ac:dyDescent="0.2">
      <c r="A16" s="445" t="s">
        <v>476</v>
      </c>
      <c r="B16" s="101"/>
      <c r="C16" s="98"/>
      <c r="D16" s="247"/>
      <c r="E16" s="247"/>
      <c r="F16" s="247"/>
      <c r="G16" s="446"/>
    </row>
    <row r="17" spans="1:33" ht="15.75" customHeight="1" x14ac:dyDescent="0.2">
      <c r="A17" s="445" t="s">
        <v>477</v>
      </c>
      <c r="B17" s="101"/>
      <c r="C17" s="98"/>
      <c r="D17" s="247"/>
      <c r="E17" s="247"/>
      <c r="F17" s="247"/>
      <c r="G17" s="446"/>
    </row>
    <row r="18" spans="1:33" ht="15.75" customHeight="1" x14ac:dyDescent="0.2">
      <c r="A18" s="445" t="s">
        <v>478</v>
      </c>
      <c r="B18" s="102"/>
      <c r="C18" s="98"/>
      <c r="D18" s="98"/>
      <c r="E18" s="247"/>
      <c r="F18" s="247">
        <f>MC!C13</f>
        <v>33.9</v>
      </c>
      <c r="G18" s="446"/>
    </row>
    <row r="19" spans="1:33" ht="15.75" customHeight="1" x14ac:dyDescent="0.2">
      <c r="A19" s="447" t="s">
        <v>479</v>
      </c>
      <c r="B19" s="104"/>
      <c r="C19" s="113">
        <f>SUM(C13:C18)</f>
        <v>1315.3636363636363</v>
      </c>
      <c r="D19" s="248">
        <f>SUM(D13:D18)</f>
        <v>986.52272727272725</v>
      </c>
      <c r="E19" s="248">
        <f>SUM(E13:E18)</f>
        <v>657.68181818181813</v>
      </c>
      <c r="F19" s="248">
        <f>SUM(F13:F18)</f>
        <v>1480.8000000000002</v>
      </c>
      <c r="G19" s="448">
        <f>SUM(G13:G18)</f>
        <v>1712.2181818181818</v>
      </c>
    </row>
    <row r="20" spans="1:33" ht="15.75" customHeight="1" x14ac:dyDescent="0.2">
      <c r="A20" s="1019"/>
      <c r="B20" s="1007"/>
      <c r="C20" s="106"/>
      <c r="D20" s="249"/>
      <c r="E20" s="249"/>
      <c r="F20" s="249"/>
      <c r="G20" s="450"/>
    </row>
    <row r="21" spans="1:33" ht="15.75" customHeight="1" x14ac:dyDescent="0.2">
      <c r="A21" s="1020" t="s">
        <v>480</v>
      </c>
      <c r="B21" s="1012"/>
      <c r="C21" s="1012"/>
      <c r="D21" s="1012"/>
      <c r="E21" s="1012"/>
      <c r="F21" s="1012"/>
      <c r="G21" s="1021"/>
    </row>
    <row r="22" spans="1:33" ht="15.75" customHeight="1" x14ac:dyDescent="0.2">
      <c r="A22" s="451" t="s">
        <v>481</v>
      </c>
      <c r="B22" s="109" t="s">
        <v>471</v>
      </c>
      <c r="C22" s="109" t="s">
        <v>472</v>
      </c>
      <c r="D22" s="109" t="s">
        <v>472</v>
      </c>
      <c r="E22" s="109" t="s">
        <v>472</v>
      </c>
      <c r="F22" s="109" t="s">
        <v>472</v>
      </c>
      <c r="G22" s="452" t="s">
        <v>472</v>
      </c>
    </row>
    <row r="23" spans="1:33" ht="15.75" customHeight="1" x14ac:dyDescent="0.2">
      <c r="A23" s="453" t="s">
        <v>482</v>
      </c>
      <c r="B23" s="100">
        <f>1/12</f>
        <v>8.3333333333333329E-2</v>
      </c>
      <c r="C23" s="98">
        <f>ROUND($B23*C$19,2)</f>
        <v>109.61</v>
      </c>
      <c r="D23" s="98">
        <f>ROUND($B23*D$19,2)</f>
        <v>82.21</v>
      </c>
      <c r="E23" s="98">
        <f>ROUND($B23*E$19,2)</f>
        <v>54.81</v>
      </c>
      <c r="F23" s="98">
        <f>ROUND($B23*F$19,2)</f>
        <v>123.4</v>
      </c>
      <c r="G23" s="446">
        <f>ROUND($B23*G$19,2)</f>
        <v>142.68</v>
      </c>
    </row>
    <row r="24" spans="1:33" ht="15.75" customHeight="1" x14ac:dyDescent="0.2">
      <c r="A24" s="453" t="s">
        <v>483</v>
      </c>
      <c r="B24" s="100">
        <f>1/3*1/12</f>
        <v>2.7777777777777776E-2</v>
      </c>
      <c r="C24" s="98">
        <f>C$19*$B$24</f>
        <v>36.537878787878782</v>
      </c>
      <c r="D24" s="98">
        <f>D$19*$B$24</f>
        <v>27.40340909090909</v>
      </c>
      <c r="E24" s="98">
        <f>E$19*$B$24</f>
        <v>18.268939393939391</v>
      </c>
      <c r="F24" s="98">
        <f>F$19*$B$24</f>
        <v>41.133333333333333</v>
      </c>
      <c r="G24" s="446">
        <f>G$19*$B$24</f>
        <v>47.561616161616158</v>
      </c>
    </row>
    <row r="25" spans="1:33" ht="15.75" customHeight="1" x14ac:dyDescent="0.2">
      <c r="A25" s="447" t="s">
        <v>479</v>
      </c>
      <c r="B25" s="112">
        <f t="shared" ref="B25:G25" si="0">SUM(B23:B24)</f>
        <v>0.1111111111111111</v>
      </c>
      <c r="C25" s="113">
        <f t="shared" si="0"/>
        <v>146.14787878787877</v>
      </c>
      <c r="D25" s="113">
        <f t="shared" si="0"/>
        <v>109.61340909090909</v>
      </c>
      <c r="E25" s="113">
        <f t="shared" si="0"/>
        <v>73.078939393939393</v>
      </c>
      <c r="F25" s="113">
        <f t="shared" si="0"/>
        <v>164.53333333333333</v>
      </c>
      <c r="G25" s="448">
        <f t="shared" si="0"/>
        <v>190.24161616161615</v>
      </c>
    </row>
    <row r="26" spans="1:33" ht="15.75" customHeight="1" x14ac:dyDescent="0.2">
      <c r="A26" s="451" t="s">
        <v>484</v>
      </c>
      <c r="B26" s="109" t="s">
        <v>471</v>
      </c>
      <c r="C26" s="109" t="s">
        <v>472</v>
      </c>
      <c r="D26" s="109" t="s">
        <v>472</v>
      </c>
      <c r="E26" s="109" t="s">
        <v>472</v>
      </c>
      <c r="F26" s="109" t="s">
        <v>472</v>
      </c>
      <c r="G26" s="452" t="s">
        <v>472</v>
      </c>
      <c r="AG26" s="84" t="s">
        <v>605</v>
      </c>
    </row>
    <row r="27" spans="1:33" ht="15.75" customHeight="1" x14ac:dyDescent="0.2">
      <c r="A27" s="451" t="s">
        <v>485</v>
      </c>
      <c r="B27" s="115"/>
      <c r="C27" s="115"/>
      <c r="D27" s="115"/>
      <c r="E27" s="250"/>
      <c r="F27" s="250"/>
      <c r="G27" s="454"/>
    </row>
    <row r="28" spans="1:33" ht="15.75" customHeight="1" x14ac:dyDescent="0.2">
      <c r="A28" s="453" t="s">
        <v>486</v>
      </c>
      <c r="B28" s="100">
        <v>0.2</v>
      </c>
      <c r="C28" s="117">
        <f t="shared" ref="C28:C35" si="1">ROUND(($C$19+$C$25)*B28,2)</f>
        <v>292.3</v>
      </c>
      <c r="D28" s="117">
        <f t="shared" ref="D28:D35" si="2">ROUND(($D$19+$D$25)*B28,2)</f>
        <v>219.23</v>
      </c>
      <c r="E28" s="117">
        <f>ROUND(($E$19+$E$25)*B28,2)</f>
        <v>146.15</v>
      </c>
      <c r="F28" s="117">
        <f t="shared" ref="F28:F35" si="3">ROUND(($F$19+$F$25)*B28,2)</f>
        <v>329.07</v>
      </c>
      <c r="G28" s="455">
        <f t="shared" ref="G28:G35" si="4">ROUND(($G$19+$G$25)*B28,2)</f>
        <v>380.49</v>
      </c>
    </row>
    <row r="29" spans="1:33" ht="15.75" customHeight="1" x14ac:dyDescent="0.2">
      <c r="A29" s="453" t="s">
        <v>487</v>
      </c>
      <c r="B29" s="100">
        <v>2.5000000000000001E-2</v>
      </c>
      <c r="C29" s="117">
        <f t="shared" si="1"/>
        <v>36.54</v>
      </c>
      <c r="D29" s="117">
        <f t="shared" si="2"/>
        <v>27.4</v>
      </c>
      <c r="E29" s="117">
        <f t="shared" ref="E29:E35" si="5">ROUND(($E$19+$E$25)*B29,2)</f>
        <v>18.27</v>
      </c>
      <c r="F29" s="117">
        <f t="shared" si="3"/>
        <v>41.13</v>
      </c>
      <c r="G29" s="455">
        <f t="shared" si="4"/>
        <v>47.56</v>
      </c>
    </row>
    <row r="30" spans="1:33" ht="15.75" customHeight="1" x14ac:dyDescent="0.2">
      <c r="A30" s="453" t="s">
        <v>488</v>
      </c>
      <c r="B30" s="100">
        <v>0.03</v>
      </c>
      <c r="C30" s="117">
        <f t="shared" si="1"/>
        <v>43.85</v>
      </c>
      <c r="D30" s="117">
        <f t="shared" si="2"/>
        <v>32.880000000000003</v>
      </c>
      <c r="E30" s="117">
        <f t="shared" si="5"/>
        <v>21.92</v>
      </c>
      <c r="F30" s="117">
        <f t="shared" si="3"/>
        <v>49.36</v>
      </c>
      <c r="G30" s="455">
        <f t="shared" si="4"/>
        <v>57.07</v>
      </c>
    </row>
    <row r="31" spans="1:33" ht="15.75" customHeight="1" x14ac:dyDescent="0.2">
      <c r="A31" s="453" t="s">
        <v>489</v>
      </c>
      <c r="B31" s="100">
        <v>1.4999999999999999E-2</v>
      </c>
      <c r="C31" s="117">
        <f t="shared" si="1"/>
        <v>21.92</v>
      </c>
      <c r="D31" s="117">
        <f t="shared" si="2"/>
        <v>16.440000000000001</v>
      </c>
      <c r="E31" s="117">
        <f t="shared" si="5"/>
        <v>10.96</v>
      </c>
      <c r="F31" s="117">
        <f t="shared" si="3"/>
        <v>24.68</v>
      </c>
      <c r="G31" s="455">
        <f t="shared" si="4"/>
        <v>28.54</v>
      </c>
    </row>
    <row r="32" spans="1:33" ht="15.75" customHeight="1" x14ac:dyDescent="0.2">
      <c r="A32" s="453" t="s">
        <v>490</v>
      </c>
      <c r="B32" s="100">
        <v>0.01</v>
      </c>
      <c r="C32" s="117">
        <f t="shared" si="1"/>
        <v>14.62</v>
      </c>
      <c r="D32" s="117">
        <f t="shared" si="2"/>
        <v>10.96</v>
      </c>
      <c r="E32" s="117">
        <f t="shared" si="5"/>
        <v>7.31</v>
      </c>
      <c r="F32" s="117">
        <f t="shared" si="3"/>
        <v>16.45</v>
      </c>
      <c r="G32" s="455">
        <f t="shared" si="4"/>
        <v>19.02</v>
      </c>
    </row>
    <row r="33" spans="1:7" ht="15.75" customHeight="1" x14ac:dyDescent="0.2">
      <c r="A33" s="453" t="s">
        <v>491</v>
      </c>
      <c r="B33" s="100">
        <v>6.0000000000000001E-3</v>
      </c>
      <c r="C33" s="117">
        <f t="shared" si="1"/>
        <v>8.77</v>
      </c>
      <c r="D33" s="117">
        <f t="shared" si="2"/>
        <v>6.58</v>
      </c>
      <c r="E33" s="117">
        <f t="shared" si="5"/>
        <v>4.38</v>
      </c>
      <c r="F33" s="117">
        <f t="shared" si="3"/>
        <v>9.8699999999999992</v>
      </c>
      <c r="G33" s="455">
        <f t="shared" si="4"/>
        <v>11.41</v>
      </c>
    </row>
    <row r="34" spans="1:7" ht="15.75" customHeight="1" x14ac:dyDescent="0.2">
      <c r="A34" s="453" t="s">
        <v>492</v>
      </c>
      <c r="B34" s="100">
        <v>2E-3</v>
      </c>
      <c r="C34" s="117">
        <f t="shared" si="1"/>
        <v>2.92</v>
      </c>
      <c r="D34" s="117">
        <f t="shared" si="2"/>
        <v>2.19</v>
      </c>
      <c r="E34" s="117">
        <f t="shared" si="5"/>
        <v>1.46</v>
      </c>
      <c r="F34" s="117">
        <f t="shared" si="3"/>
        <v>3.29</v>
      </c>
      <c r="G34" s="455">
        <f t="shared" si="4"/>
        <v>3.8</v>
      </c>
    </row>
    <row r="35" spans="1:7" ht="15.75" customHeight="1" x14ac:dyDescent="0.2">
      <c r="A35" s="453" t="s">
        <v>493</v>
      </c>
      <c r="B35" s="100">
        <v>0.08</v>
      </c>
      <c r="C35" s="117">
        <f t="shared" si="1"/>
        <v>116.92</v>
      </c>
      <c r="D35" s="117">
        <f t="shared" si="2"/>
        <v>87.69</v>
      </c>
      <c r="E35" s="117">
        <f t="shared" si="5"/>
        <v>58.46</v>
      </c>
      <c r="F35" s="117">
        <f t="shared" si="3"/>
        <v>131.63</v>
      </c>
      <c r="G35" s="455">
        <f t="shared" si="4"/>
        <v>152.19999999999999</v>
      </c>
    </row>
    <row r="36" spans="1:7" ht="15.75" customHeight="1" x14ac:dyDescent="0.2">
      <c r="A36" s="447" t="s">
        <v>479</v>
      </c>
      <c r="B36" s="112">
        <f>SUM(B28:B35)</f>
        <v>0.36800000000000005</v>
      </c>
      <c r="C36" s="113">
        <f>SUM(C27:C35)</f>
        <v>537.84</v>
      </c>
      <c r="D36" s="113">
        <f>SUM(D27:D35)</f>
        <v>403.36999999999995</v>
      </c>
      <c r="E36" s="113">
        <f>SUM(E27:E35)</f>
        <v>268.91000000000003</v>
      </c>
      <c r="F36" s="248">
        <f>SUM(F28:F35)</f>
        <v>605.48</v>
      </c>
      <c r="G36" s="448">
        <f>SUM(G27:G35)</f>
        <v>700.08999999999992</v>
      </c>
    </row>
    <row r="37" spans="1:7" ht="15.75" customHeight="1" x14ac:dyDescent="0.2">
      <c r="A37" s="451" t="s">
        <v>494</v>
      </c>
      <c r="B37" s="109" t="s">
        <v>495</v>
      </c>
      <c r="C37" s="109" t="s">
        <v>472</v>
      </c>
      <c r="D37" s="109" t="s">
        <v>472</v>
      </c>
      <c r="E37" s="109" t="s">
        <v>472</v>
      </c>
      <c r="F37" s="109" t="s">
        <v>472</v>
      </c>
      <c r="G37" s="452" t="s">
        <v>472</v>
      </c>
    </row>
    <row r="38" spans="1:7" ht="15.75" customHeight="1" x14ac:dyDescent="0.2">
      <c r="A38" s="453" t="s">
        <v>496</v>
      </c>
      <c r="B38" s="119">
        <f>MC!J84</f>
        <v>4.1189189189189195</v>
      </c>
      <c r="C38" s="98">
        <f>ROUND(((2*22*$B$38)-0.06*C$13),2)</f>
        <v>102.31</v>
      </c>
      <c r="D38" s="98">
        <f>ROUND(((2*22*$B$38)-0.06*D$13),2)</f>
        <v>122.04</v>
      </c>
      <c r="E38" s="98">
        <f>ROUND(((2*22*$B$38)-0.06*E$13),2)</f>
        <v>141.77000000000001</v>
      </c>
      <c r="F38" s="98">
        <f>ROUND(((2*22*$B$38)-0.06*F$13),2)</f>
        <v>94.42</v>
      </c>
      <c r="G38" s="446">
        <f>ROUND(((2*22*$B$38)-0.06*G$13),2)</f>
        <v>78.5</v>
      </c>
    </row>
    <row r="39" spans="1:7" ht="15.75" customHeight="1" x14ac:dyDescent="0.2">
      <c r="A39" s="453" t="s">
        <v>497</v>
      </c>
      <c r="B39" s="120"/>
      <c r="C39" s="117">
        <f>MC!E16</f>
        <v>400.68</v>
      </c>
      <c r="D39" s="117">
        <f>MC!E17</f>
        <v>400.68</v>
      </c>
      <c r="E39" s="117">
        <f>MC!E16</f>
        <v>400.68</v>
      </c>
      <c r="F39" s="117">
        <f>MC!E16</f>
        <v>400.68</v>
      </c>
      <c r="G39" s="455">
        <f>MC!E16</f>
        <v>400.68</v>
      </c>
    </row>
    <row r="40" spans="1:7" ht="15.75" customHeight="1" x14ac:dyDescent="0.2">
      <c r="A40" s="453" t="s">
        <v>498</v>
      </c>
      <c r="B40" s="100">
        <f>MC!C21</f>
        <v>1.4999999999999999E-2</v>
      </c>
      <c r="C40" s="117"/>
      <c r="D40" s="117"/>
      <c r="E40" s="117"/>
      <c r="F40" s="117">
        <f>MC!E21</f>
        <v>477.47700000000003</v>
      </c>
      <c r="G40" s="455"/>
    </row>
    <row r="41" spans="1:7" ht="15.75" customHeight="1" x14ac:dyDescent="0.2">
      <c r="A41" s="453" t="s">
        <v>499</v>
      </c>
      <c r="B41" s="121">
        <f>MC!E23</f>
        <v>71.5</v>
      </c>
      <c r="C41" s="117">
        <f>B41</f>
        <v>71.5</v>
      </c>
      <c r="D41" s="117">
        <f>B41</f>
        <v>71.5</v>
      </c>
      <c r="E41" s="251">
        <f>B41</f>
        <v>71.5</v>
      </c>
      <c r="F41" s="251">
        <f>B41</f>
        <v>71.5</v>
      </c>
      <c r="G41" s="455">
        <f>B41</f>
        <v>71.5</v>
      </c>
    </row>
    <row r="42" spans="1:7" ht="15.75" customHeight="1" x14ac:dyDescent="0.2">
      <c r="A42" s="453" t="s">
        <v>500</v>
      </c>
      <c r="B42" s="121">
        <f>MC!E24</f>
        <v>23.5</v>
      </c>
      <c r="C42" s="117">
        <f>B42</f>
        <v>23.5</v>
      </c>
      <c r="D42" s="117">
        <f>B42</f>
        <v>23.5</v>
      </c>
      <c r="E42" s="251">
        <f>B42</f>
        <v>23.5</v>
      </c>
      <c r="F42" s="251">
        <f>B42</f>
        <v>23.5</v>
      </c>
      <c r="G42" s="455">
        <f>B42</f>
        <v>23.5</v>
      </c>
    </row>
    <row r="43" spans="1:7" ht="15.75" customHeight="1" x14ac:dyDescent="0.2">
      <c r="A43" s="453" t="s">
        <v>501</v>
      </c>
      <c r="B43" s="100"/>
      <c r="C43" s="117"/>
      <c r="D43" s="117"/>
      <c r="E43" s="251"/>
      <c r="F43" s="251"/>
      <c r="G43" s="455"/>
    </row>
    <row r="44" spans="1:7" ht="15.75" customHeight="1" x14ac:dyDescent="0.2">
      <c r="A44" s="447" t="s">
        <v>479</v>
      </c>
      <c r="B44" s="104"/>
      <c r="C44" s="113">
        <f>SUM(C38:C43)</f>
        <v>597.99</v>
      </c>
      <c r="D44" s="113">
        <f>SUM(D38:D43)</f>
        <v>617.72</v>
      </c>
      <c r="E44" s="113">
        <f>SUM(E38:E43)</f>
        <v>637.45000000000005</v>
      </c>
      <c r="F44" s="248">
        <f>SUM(F38:F43)</f>
        <v>1067.577</v>
      </c>
      <c r="G44" s="448">
        <f>SUM(G38:G43)</f>
        <v>574.18000000000006</v>
      </c>
    </row>
    <row r="45" spans="1:7" ht="15.75" customHeight="1" x14ac:dyDescent="0.2">
      <c r="A45" s="443" t="s">
        <v>502</v>
      </c>
      <c r="B45" s="94" t="s">
        <v>471</v>
      </c>
      <c r="C45" s="94" t="s">
        <v>472</v>
      </c>
      <c r="D45" s="94" t="s">
        <v>472</v>
      </c>
      <c r="E45" s="94" t="s">
        <v>472</v>
      </c>
      <c r="F45" s="94" t="s">
        <v>472</v>
      </c>
      <c r="G45" s="444" t="s">
        <v>472</v>
      </c>
    </row>
    <row r="46" spans="1:7" ht="15.75" customHeight="1" x14ac:dyDescent="0.2">
      <c r="A46" s="453" t="s">
        <v>481</v>
      </c>
      <c r="B46" s="122">
        <f t="shared" ref="B46:G46" si="6">B25</f>
        <v>0.1111111111111111</v>
      </c>
      <c r="C46" s="123">
        <f t="shared" si="6"/>
        <v>146.14787878787877</v>
      </c>
      <c r="D46" s="123">
        <f t="shared" si="6"/>
        <v>109.61340909090909</v>
      </c>
      <c r="E46" s="123">
        <f t="shared" si="6"/>
        <v>73.078939393939393</v>
      </c>
      <c r="F46" s="123">
        <f t="shared" si="6"/>
        <v>164.53333333333333</v>
      </c>
      <c r="G46" s="456">
        <f t="shared" si="6"/>
        <v>190.24161616161615</v>
      </c>
    </row>
    <row r="47" spans="1:7" ht="15.75" customHeight="1" x14ac:dyDescent="0.2">
      <c r="A47" s="453" t="s">
        <v>503</v>
      </c>
      <c r="B47" s="122">
        <f t="shared" ref="B47:G47" si="7">B36</f>
        <v>0.36800000000000005</v>
      </c>
      <c r="C47" s="123">
        <f t="shared" si="7"/>
        <v>537.84</v>
      </c>
      <c r="D47" s="123">
        <f t="shared" si="7"/>
        <v>403.36999999999995</v>
      </c>
      <c r="E47" s="123">
        <f t="shared" si="7"/>
        <v>268.91000000000003</v>
      </c>
      <c r="F47" s="123">
        <f t="shared" si="7"/>
        <v>605.48</v>
      </c>
      <c r="G47" s="456">
        <f t="shared" si="7"/>
        <v>700.08999999999992</v>
      </c>
    </row>
    <row r="48" spans="1:7" ht="15.75" customHeight="1" x14ac:dyDescent="0.2">
      <c r="A48" s="453" t="s">
        <v>494</v>
      </c>
      <c r="B48" s="122"/>
      <c r="C48" s="123">
        <f>C44</f>
        <v>597.99</v>
      </c>
      <c r="D48" s="123">
        <f>D44</f>
        <v>617.72</v>
      </c>
      <c r="E48" s="123">
        <f>E44</f>
        <v>637.45000000000005</v>
      </c>
      <c r="F48" s="123">
        <f>F44</f>
        <v>1067.577</v>
      </c>
      <c r="G48" s="456">
        <f>G44</f>
        <v>574.18000000000006</v>
      </c>
    </row>
    <row r="49" spans="1:7" ht="15.75" customHeight="1" x14ac:dyDescent="0.2">
      <c r="A49" s="447" t="s">
        <v>479</v>
      </c>
      <c r="B49" s="104"/>
      <c r="C49" s="113">
        <f>SUM(C46:C48)</f>
        <v>1281.9778787878788</v>
      </c>
      <c r="D49" s="113">
        <f>SUM(D46:D48)</f>
        <v>1130.7034090909092</v>
      </c>
      <c r="E49" s="113">
        <f>SUM(E46:E48)</f>
        <v>979.43893939393945</v>
      </c>
      <c r="F49" s="248">
        <f>SUM(F46:F48)</f>
        <v>1837.5903333333333</v>
      </c>
      <c r="G49" s="448">
        <f>SUM(G46:G48)</f>
        <v>1464.5116161616161</v>
      </c>
    </row>
    <row r="50" spans="1:7" ht="15.75" customHeight="1" x14ac:dyDescent="0.2">
      <c r="A50" s="1019"/>
      <c r="B50" s="1007"/>
      <c r="C50" s="106"/>
      <c r="D50" s="107"/>
      <c r="E50" s="107"/>
      <c r="F50" s="107"/>
      <c r="G50" s="450"/>
    </row>
    <row r="51" spans="1:7" s="125" customFormat="1" ht="15.75" customHeight="1" x14ac:dyDescent="0.2">
      <c r="A51" s="1020" t="s">
        <v>504</v>
      </c>
      <c r="B51" s="1012"/>
      <c r="C51" s="1012"/>
      <c r="D51" s="1012"/>
      <c r="E51" s="1012"/>
      <c r="F51" s="1012"/>
      <c r="G51" s="1021"/>
    </row>
    <row r="52" spans="1:7" ht="15.75" customHeight="1" x14ac:dyDescent="0.2">
      <c r="A52" s="443" t="s">
        <v>505</v>
      </c>
      <c r="B52" s="94" t="s">
        <v>471</v>
      </c>
      <c r="C52" s="94" t="s">
        <v>472</v>
      </c>
      <c r="D52" s="94" t="s">
        <v>472</v>
      </c>
      <c r="E52" s="94" t="s">
        <v>472</v>
      </c>
      <c r="F52" s="94" t="s">
        <v>472</v>
      </c>
      <c r="G52" s="444" t="s">
        <v>472</v>
      </c>
    </row>
    <row r="53" spans="1:7" ht="15.75" customHeight="1" x14ac:dyDescent="0.2">
      <c r="A53" s="451" t="s">
        <v>506</v>
      </c>
      <c r="B53" s="126"/>
      <c r="C53" s="126"/>
      <c r="D53" s="126"/>
      <c r="E53" s="252"/>
      <c r="F53" s="252"/>
      <c r="G53" s="457"/>
    </row>
    <row r="54" spans="1:7" ht="15.75" customHeight="1" x14ac:dyDescent="0.2">
      <c r="A54" s="453" t="s">
        <v>507</v>
      </c>
      <c r="B54" s="122">
        <f>1/12*0.05</f>
        <v>4.1666666666666666E-3</v>
      </c>
      <c r="C54" s="128">
        <f>C19*$B54</f>
        <v>5.480681818181818</v>
      </c>
      <c r="D54" s="128">
        <f t="shared" ref="D54:G54" si="8">D19*$B54</f>
        <v>4.1105113636363635</v>
      </c>
      <c r="E54" s="128">
        <f t="shared" si="8"/>
        <v>2.740340909090909</v>
      </c>
      <c r="F54" s="128">
        <f t="shared" si="8"/>
        <v>6.1700000000000008</v>
      </c>
      <c r="G54" s="458">
        <f t="shared" si="8"/>
        <v>7.1342424242424238</v>
      </c>
    </row>
    <row r="55" spans="1:7" ht="15.75" customHeight="1" x14ac:dyDescent="0.2">
      <c r="A55" s="453" t="s">
        <v>508</v>
      </c>
      <c r="B55" s="122">
        <f>B35*B54</f>
        <v>3.3333333333333332E-4</v>
      </c>
      <c r="C55" s="128">
        <f>$B$55*C19</f>
        <v>0.43845454545454543</v>
      </c>
      <c r="D55" s="128">
        <f t="shared" ref="D55:G55" si="9">$B$55*D19</f>
        <v>0.32884090909090907</v>
      </c>
      <c r="E55" s="128">
        <f t="shared" si="9"/>
        <v>0.21922727272727272</v>
      </c>
      <c r="F55" s="128">
        <f t="shared" si="9"/>
        <v>0.49360000000000004</v>
      </c>
      <c r="G55" s="458">
        <f t="shared" si="9"/>
        <v>0.57073939393939388</v>
      </c>
    </row>
    <row r="56" spans="1:7" ht="15.75" customHeight="1" x14ac:dyDescent="0.2">
      <c r="A56" s="453" t="s">
        <v>509</v>
      </c>
      <c r="B56" s="122">
        <v>0</v>
      </c>
      <c r="C56" s="128">
        <f>C35*$B56</f>
        <v>0</v>
      </c>
      <c r="D56" s="128">
        <f t="shared" ref="D56:G56" si="10">D35*$B56</f>
        <v>0</v>
      </c>
      <c r="E56" s="128">
        <f t="shared" si="10"/>
        <v>0</v>
      </c>
      <c r="F56" s="128">
        <f t="shared" si="10"/>
        <v>0</v>
      </c>
      <c r="G56" s="458">
        <f t="shared" si="10"/>
        <v>0</v>
      </c>
    </row>
    <row r="57" spans="1:7" ht="15.75" customHeight="1" x14ac:dyDescent="0.2">
      <c r="A57" s="453" t="s">
        <v>510</v>
      </c>
      <c r="B57" s="122">
        <f>1/12*1/30*7</f>
        <v>1.9444444444444441E-2</v>
      </c>
      <c r="C57" s="123">
        <f>C19*$B57</f>
        <v>25.576515151515146</v>
      </c>
      <c r="D57" s="123">
        <f t="shared" ref="D57:G57" si="11">D19*$B57</f>
        <v>19.182386363636361</v>
      </c>
      <c r="E57" s="123">
        <f t="shared" si="11"/>
        <v>12.788257575757573</v>
      </c>
      <c r="F57" s="123">
        <f t="shared" si="11"/>
        <v>28.793333333333333</v>
      </c>
      <c r="G57" s="456">
        <f t="shared" si="11"/>
        <v>33.293131313131312</v>
      </c>
    </row>
    <row r="58" spans="1:7" ht="15.75" customHeight="1" x14ac:dyDescent="0.2">
      <c r="A58" s="453" t="s">
        <v>511</v>
      </c>
      <c r="B58" s="122">
        <f>B36*B57</f>
        <v>7.1555555555555556E-3</v>
      </c>
      <c r="C58" s="123">
        <f>$B58*C19</f>
        <v>9.4121575757575755</v>
      </c>
      <c r="D58" s="123">
        <f t="shared" ref="D58:G58" si="12">$B58*D19</f>
        <v>7.0591181818181816</v>
      </c>
      <c r="E58" s="123">
        <f t="shared" si="12"/>
        <v>4.7060787878787878</v>
      </c>
      <c r="F58" s="123">
        <f t="shared" si="12"/>
        <v>10.595946666666668</v>
      </c>
      <c r="G58" s="456">
        <f t="shared" si="12"/>
        <v>12.251872323232323</v>
      </c>
    </row>
    <row r="59" spans="1:7" ht="15.75" customHeight="1" x14ac:dyDescent="0.2">
      <c r="A59" s="453" t="s">
        <v>512</v>
      </c>
      <c r="B59" s="122">
        <f>B35*40/100*90/100*(1+1/12+1/12+1/3*1/12)</f>
        <v>3.4399999999999993E-2</v>
      </c>
      <c r="C59" s="123">
        <f>C19*$B59</f>
        <v>45.248509090909081</v>
      </c>
      <c r="D59" s="123">
        <f t="shared" ref="D59:G59" si="13">D19*$B59</f>
        <v>33.936381818181808</v>
      </c>
      <c r="E59" s="123">
        <f t="shared" si="13"/>
        <v>22.624254545454541</v>
      </c>
      <c r="F59" s="123">
        <f t="shared" si="13"/>
        <v>50.939519999999995</v>
      </c>
      <c r="G59" s="456">
        <f t="shared" si="13"/>
        <v>58.900305454545446</v>
      </c>
    </row>
    <row r="60" spans="1:7" ht="15.75" customHeight="1" x14ac:dyDescent="0.2">
      <c r="A60" s="447" t="s">
        <v>479</v>
      </c>
      <c r="B60" s="112">
        <f t="shared" ref="B60:G60" si="14">SUM(B54:B59)</f>
        <v>6.5499999999999989E-2</v>
      </c>
      <c r="C60" s="129">
        <f t="shared" si="14"/>
        <v>86.156318181818165</v>
      </c>
      <c r="D60" s="129">
        <f t="shared" si="14"/>
        <v>64.617238636363624</v>
      </c>
      <c r="E60" s="129">
        <f t="shared" si="14"/>
        <v>43.078159090909082</v>
      </c>
      <c r="F60" s="253">
        <f t="shared" si="14"/>
        <v>96.992400000000004</v>
      </c>
      <c r="G60" s="459">
        <f t="shared" si="14"/>
        <v>112.1502909090909</v>
      </c>
    </row>
    <row r="61" spans="1:7" ht="15.75" customHeight="1" x14ac:dyDescent="0.2">
      <c r="A61" s="1019"/>
      <c r="B61" s="1007"/>
      <c r="C61" s="396"/>
      <c r="D61" s="396"/>
      <c r="E61" s="397"/>
      <c r="F61" s="397"/>
      <c r="G61" s="460"/>
    </row>
    <row r="62" spans="1:7" ht="15.75" customHeight="1" x14ac:dyDescent="0.2">
      <c r="A62" s="1020" t="s">
        <v>513</v>
      </c>
      <c r="B62" s="1012"/>
      <c r="C62" s="1012"/>
      <c r="D62" s="1012"/>
      <c r="E62" s="1012"/>
      <c r="F62" s="1012"/>
      <c r="G62" s="1021"/>
    </row>
    <row r="63" spans="1:7" ht="15.75" customHeight="1" x14ac:dyDescent="0.2">
      <c r="A63" s="451" t="s">
        <v>41</v>
      </c>
      <c r="B63" s="109" t="s">
        <v>495</v>
      </c>
      <c r="C63" s="109" t="s">
        <v>472</v>
      </c>
      <c r="D63" s="109" t="s">
        <v>472</v>
      </c>
      <c r="E63" s="109" t="s">
        <v>472</v>
      </c>
      <c r="F63" s="109" t="s">
        <v>472</v>
      </c>
      <c r="G63" s="452" t="s">
        <v>472</v>
      </c>
    </row>
    <row r="64" spans="1:7" ht="15.75" customHeight="1" x14ac:dyDescent="0.2">
      <c r="A64" s="453" t="s">
        <v>42</v>
      </c>
      <c r="B64" s="100">
        <f>1/12</f>
        <v>8.3333333333333329E-2</v>
      </c>
      <c r="C64" s="117">
        <f>B64*($C$19+$C$49+$C$60)</f>
        <v>223.62481944444443</v>
      </c>
      <c r="D64" s="117">
        <f>B64*($D$19+$D$49+$D$60)</f>
        <v>181.82028124999999</v>
      </c>
      <c r="E64" s="117">
        <f>B64*($E$19+$E$49+$E$60)</f>
        <v>140.01657638888889</v>
      </c>
      <c r="F64" s="251">
        <f>B64*($F$19+$F$49+$F$60)</f>
        <v>284.61522777777782</v>
      </c>
      <c r="G64" s="455">
        <f>B64*($G$19+$G$49+$G$60)</f>
        <v>274.07334074074072</v>
      </c>
    </row>
    <row r="65" spans="1:7" ht="15.75" customHeight="1" x14ac:dyDescent="0.2">
      <c r="A65" s="453" t="s">
        <v>514</v>
      </c>
      <c r="B65" s="100">
        <f>MC!E51/30/12</f>
        <v>1.3538888888888885E-2</v>
      </c>
      <c r="C65" s="117">
        <f>B65*($C$19+$C$49+$C$60)</f>
        <v>36.331578999074061</v>
      </c>
      <c r="D65" s="117">
        <f>B65*($D$19+$D$49+$D$60)</f>
        <v>29.539735027083324</v>
      </c>
      <c r="E65" s="117">
        <f t="shared" ref="E65:E67" si="15">B65*($E$19+$E$49+$E$60)</f>
        <v>22.748026443981477</v>
      </c>
      <c r="F65" s="251">
        <f>B65*($F$19+$F$49+$F$60)</f>
        <v>46.240487339629624</v>
      </c>
      <c r="G65" s="455">
        <f>B65*($G$19+$G$49+$G$60)</f>
        <v>44.52778209234566</v>
      </c>
    </row>
    <row r="66" spans="1:7" ht="15.75" customHeight="1" x14ac:dyDescent="0.2">
      <c r="A66" s="453" t="s">
        <v>515</v>
      </c>
      <c r="B66" s="131">
        <f>(5/30)/12*MC!F53*MC!C54</f>
        <v>1.0764583333333333E-4</v>
      </c>
      <c r="C66" s="117">
        <f>B66*($C$19+$C$49+$C$60)</f>
        <v>0.28886736051736112</v>
      </c>
      <c r="D66" s="117">
        <f>B66*($D$19+$D$49+$D$60)</f>
        <v>0.2348663483046875</v>
      </c>
      <c r="E66" s="117">
        <f t="shared" si="15"/>
        <v>0.18086641255034722</v>
      </c>
      <c r="F66" s="251">
        <f>B66*($F$19+$F$49+$F$60)</f>
        <v>0.3676517204819445</v>
      </c>
      <c r="G66" s="455">
        <f>B66*($G$19+$G$49+$G$60)</f>
        <v>0.35403423790185184</v>
      </c>
    </row>
    <row r="67" spans="1:7" ht="15.75" customHeight="1" x14ac:dyDescent="0.2">
      <c r="A67" s="453" t="s">
        <v>516</v>
      </c>
      <c r="B67" s="131">
        <f>MC!C56/30/12</f>
        <v>2.6830555555555553E-3</v>
      </c>
      <c r="C67" s="117">
        <f>B67*($C$19+$C$49+$C$60)</f>
        <v>7.199973770046296</v>
      </c>
      <c r="D67" s="117">
        <f>B67*($D$19+$D$49+$D$60)</f>
        <v>5.8540069886458328</v>
      </c>
      <c r="E67" s="117">
        <f t="shared" si="15"/>
        <v>4.5080670378009255</v>
      </c>
      <c r="F67" s="251">
        <f>B67*($F$19+$F$49+$F$60)</f>
        <v>9.1636616170185192</v>
      </c>
      <c r="G67" s="455">
        <f>B67*($G$19+$G$49+$G$60)</f>
        <v>8.8242479940493812</v>
      </c>
    </row>
    <row r="68" spans="1:7" ht="15.75" customHeight="1" x14ac:dyDescent="0.2">
      <c r="A68" s="453" t="s">
        <v>517</v>
      </c>
      <c r="B68" s="100"/>
      <c r="C68" s="117"/>
      <c r="D68" s="117"/>
      <c r="E68" s="251"/>
      <c r="F68" s="251">
        <f>B68*($F$19+$F$49+$F$60)</f>
        <v>0</v>
      </c>
      <c r="G68" s="455"/>
    </row>
    <row r="69" spans="1:7" ht="15.75" customHeight="1" x14ac:dyDescent="0.2">
      <c r="A69" s="461" t="s">
        <v>518</v>
      </c>
      <c r="B69" s="133">
        <f t="shared" ref="B69:G69" si="16">SUM(B64:B68)</f>
        <v>9.9662923611111107E-2</v>
      </c>
      <c r="C69" s="134">
        <f t="shared" si="16"/>
        <v>267.44523957408217</v>
      </c>
      <c r="D69" s="134">
        <f t="shared" si="16"/>
        <v>217.44888961403385</v>
      </c>
      <c r="E69" s="134">
        <f t="shared" si="16"/>
        <v>167.45353628322164</v>
      </c>
      <c r="F69" s="255">
        <f t="shared" si="16"/>
        <v>340.38702845490792</v>
      </c>
      <c r="G69" s="462">
        <f t="shared" si="16"/>
        <v>327.77940506503757</v>
      </c>
    </row>
    <row r="70" spans="1:7" ht="15.75" customHeight="1" x14ac:dyDescent="0.2">
      <c r="A70" s="451" t="s">
        <v>519</v>
      </c>
      <c r="B70" s="109" t="s">
        <v>495</v>
      </c>
      <c r="C70" s="109" t="s">
        <v>472</v>
      </c>
      <c r="D70" s="109" t="s">
        <v>472</v>
      </c>
      <c r="E70" s="109" t="s">
        <v>472</v>
      </c>
      <c r="F70" s="109" t="s">
        <v>472</v>
      </c>
      <c r="G70" s="452" t="s">
        <v>472</v>
      </c>
    </row>
    <row r="71" spans="1:7" ht="15.75" customHeight="1" x14ac:dyDescent="0.2">
      <c r="A71" s="453" t="s">
        <v>520</v>
      </c>
      <c r="B71" s="100"/>
      <c r="C71" s="117"/>
      <c r="D71" s="117"/>
      <c r="E71" s="251"/>
      <c r="F71" s="251"/>
      <c r="G71" s="455"/>
    </row>
    <row r="72" spans="1:7" ht="15.75" customHeight="1" x14ac:dyDescent="0.2">
      <c r="A72" s="461" t="s">
        <v>518</v>
      </c>
      <c r="B72" s="133"/>
      <c r="C72" s="134">
        <f>C71</f>
        <v>0</v>
      </c>
      <c r="D72" s="134"/>
      <c r="E72" s="255"/>
      <c r="F72" s="255"/>
      <c r="G72" s="462"/>
    </row>
    <row r="73" spans="1:7" ht="15.75" customHeight="1" x14ac:dyDescent="0.2">
      <c r="A73" s="451" t="s">
        <v>63</v>
      </c>
      <c r="B73" s="109" t="s">
        <v>495</v>
      </c>
      <c r="C73" s="109" t="s">
        <v>472</v>
      </c>
      <c r="D73" s="109" t="s">
        <v>472</v>
      </c>
      <c r="E73" s="109" t="s">
        <v>472</v>
      </c>
      <c r="F73" s="109" t="s">
        <v>472</v>
      </c>
      <c r="G73" s="452" t="s">
        <v>472</v>
      </c>
    </row>
    <row r="74" spans="1:7" ht="15.75" customHeight="1" x14ac:dyDescent="0.2">
      <c r="A74" s="453" t="s">
        <v>64</v>
      </c>
      <c r="B74" s="100">
        <f>120/30*MC!C59*MC!C60</f>
        <v>6.18624E-3</v>
      </c>
      <c r="C74" s="117">
        <f>(((C19*2)+ (C19*1/3))+(C36)+(C44-C38-C39))*$B$74</f>
        <v>22.901595452509092</v>
      </c>
      <c r="D74" s="117">
        <f>(((D19*2)+ (D19*1/3))+(D36)+(D44-D38-D39))*$B$74</f>
        <v>17.323057926981818</v>
      </c>
      <c r="E74" s="117">
        <f>(((E19*2)+ (E19*1/3))+(E36)+(E44-E38-E39))*$B$74</f>
        <v>11.744582263854545</v>
      </c>
      <c r="F74" s="117">
        <f>(((F19*2)+ (F19*1/3))+(F36)+(F44-F38-F39))*$B$74</f>
        <v>28.661821159680002</v>
      </c>
      <c r="G74" s="455">
        <f>(((G19*2)+ (G19*1/3))+(G36)+(G44-G38-G39))*$B$74</f>
        <v>29.633733640145454</v>
      </c>
    </row>
    <row r="75" spans="1:7" ht="15.75" customHeight="1" x14ac:dyDescent="0.2">
      <c r="A75" s="461" t="s">
        <v>479</v>
      </c>
      <c r="B75" s="133"/>
      <c r="C75" s="134"/>
      <c r="D75" s="134"/>
      <c r="E75" s="255"/>
      <c r="F75" s="255"/>
      <c r="G75" s="462"/>
    </row>
    <row r="76" spans="1:7" ht="15.75" customHeight="1" x14ac:dyDescent="0.2">
      <c r="A76" s="443" t="s">
        <v>521</v>
      </c>
      <c r="B76" s="94" t="s">
        <v>495</v>
      </c>
      <c r="C76" s="94" t="s">
        <v>472</v>
      </c>
      <c r="D76" s="94" t="s">
        <v>472</v>
      </c>
      <c r="E76" s="94" t="s">
        <v>472</v>
      </c>
      <c r="F76" s="94" t="s">
        <v>472</v>
      </c>
      <c r="G76" s="444" t="s">
        <v>472</v>
      </c>
    </row>
    <row r="77" spans="1:7" ht="15.75" customHeight="1" x14ac:dyDescent="0.2">
      <c r="A77" s="453" t="s">
        <v>41</v>
      </c>
      <c r="B77" s="122">
        <f t="shared" ref="B77:G77" si="17">B69</f>
        <v>9.9662923611111107E-2</v>
      </c>
      <c r="C77" s="123">
        <f t="shared" si="17"/>
        <v>267.44523957408217</v>
      </c>
      <c r="D77" s="123">
        <f t="shared" si="17"/>
        <v>217.44888961403385</v>
      </c>
      <c r="E77" s="123">
        <f t="shared" si="17"/>
        <v>167.45353628322164</v>
      </c>
      <c r="F77" s="123">
        <f t="shared" si="17"/>
        <v>340.38702845490792</v>
      </c>
      <c r="G77" s="456">
        <f t="shared" si="17"/>
        <v>327.77940506503757</v>
      </c>
    </row>
    <row r="78" spans="1:7" ht="15.75" customHeight="1" x14ac:dyDescent="0.2">
      <c r="A78" s="453" t="s">
        <v>519</v>
      </c>
      <c r="B78" s="122">
        <f t="shared" ref="B78:G78" si="18">B72</f>
        <v>0</v>
      </c>
      <c r="C78" s="123">
        <f t="shared" si="18"/>
        <v>0</v>
      </c>
      <c r="D78" s="123">
        <f t="shared" si="18"/>
        <v>0</v>
      </c>
      <c r="E78" s="123">
        <f t="shared" si="18"/>
        <v>0</v>
      </c>
      <c r="F78" s="123">
        <f t="shared" si="18"/>
        <v>0</v>
      </c>
      <c r="G78" s="456">
        <f t="shared" si="18"/>
        <v>0</v>
      </c>
    </row>
    <row r="79" spans="1:7" ht="15.75" customHeight="1" x14ac:dyDescent="0.2">
      <c r="A79" s="453" t="s">
        <v>63</v>
      </c>
      <c r="B79" s="122">
        <f t="shared" ref="B79:G79" si="19">B74</f>
        <v>6.18624E-3</v>
      </c>
      <c r="C79" s="123">
        <f t="shared" si="19"/>
        <v>22.901595452509092</v>
      </c>
      <c r="D79" s="123">
        <f t="shared" si="19"/>
        <v>17.323057926981818</v>
      </c>
      <c r="E79" s="123">
        <f t="shared" si="19"/>
        <v>11.744582263854545</v>
      </c>
      <c r="F79" s="123">
        <f t="shared" si="19"/>
        <v>28.661821159680002</v>
      </c>
      <c r="G79" s="456">
        <f t="shared" si="19"/>
        <v>29.633733640145454</v>
      </c>
    </row>
    <row r="80" spans="1:7" ht="15.75" customHeight="1" x14ac:dyDescent="0.2">
      <c r="A80" s="447" t="s">
        <v>479</v>
      </c>
      <c r="B80" s="104"/>
      <c r="C80" s="113">
        <f>SUM(C77:C79)</f>
        <v>290.34683502659124</v>
      </c>
      <c r="D80" s="113">
        <f>SUM(D77:D79)</f>
        <v>234.77194754101566</v>
      </c>
      <c r="E80" s="113">
        <f>SUM(E77:E79)</f>
        <v>179.19811854707618</v>
      </c>
      <c r="F80" s="248">
        <f>SUM(F77:F79)</f>
        <v>369.04884961458794</v>
      </c>
      <c r="G80" s="448">
        <f>SUM(G77:G79)</f>
        <v>357.41313870518303</v>
      </c>
    </row>
    <row r="81" spans="1:7" ht="15.75" customHeight="1" x14ac:dyDescent="0.2">
      <c r="A81" s="449"/>
      <c r="B81" s="106"/>
      <c r="C81" s="106"/>
      <c r="D81" s="106"/>
      <c r="E81" s="249"/>
      <c r="F81" s="249"/>
      <c r="G81" s="450"/>
    </row>
    <row r="82" spans="1:7" ht="15.75" customHeight="1" x14ac:dyDescent="0.2">
      <c r="A82" s="463" t="s">
        <v>522</v>
      </c>
      <c r="B82" s="257"/>
      <c r="C82" s="257"/>
      <c r="D82" s="257"/>
      <c r="E82" s="257"/>
      <c r="F82" s="257"/>
      <c r="G82" s="464"/>
    </row>
    <row r="83" spans="1:7" ht="15.75" customHeight="1" x14ac:dyDescent="0.2">
      <c r="A83" s="443" t="s">
        <v>523</v>
      </c>
      <c r="B83" s="94" t="s">
        <v>495</v>
      </c>
      <c r="C83" s="94" t="s">
        <v>472</v>
      </c>
      <c r="D83" s="94" t="s">
        <v>472</v>
      </c>
      <c r="E83" s="94" t="s">
        <v>472</v>
      </c>
      <c r="F83" s="94" t="s">
        <v>472</v>
      </c>
      <c r="G83" s="444" t="s">
        <v>472</v>
      </c>
    </row>
    <row r="84" spans="1:7" ht="15.75" customHeight="1" x14ac:dyDescent="0.2">
      <c r="A84" s="768" t="s">
        <v>524</v>
      </c>
      <c r="B84" s="769">
        <f>Insumos!G117</f>
        <v>27.875416666666666</v>
      </c>
      <c r="C84" s="779">
        <f>B84</f>
        <v>27.875416666666666</v>
      </c>
      <c r="D84" s="780">
        <f>B84</f>
        <v>27.875416666666666</v>
      </c>
      <c r="E84" s="781">
        <f>B84</f>
        <v>27.875416666666666</v>
      </c>
      <c r="F84" s="778">
        <f>B84</f>
        <v>27.875416666666666</v>
      </c>
      <c r="G84" s="446">
        <f>Insumos!G118</f>
        <v>34.030416666666667</v>
      </c>
    </row>
    <row r="85" spans="1:7" ht="15.75" customHeight="1" x14ac:dyDescent="0.2">
      <c r="A85" s="770" t="s">
        <v>525</v>
      </c>
      <c r="B85" s="772">
        <f>Insumos!G59</f>
        <v>461.23111666666665</v>
      </c>
      <c r="C85" s="783">
        <f>B85</f>
        <v>461.23111666666665</v>
      </c>
      <c r="D85" s="783">
        <f>B85</f>
        <v>461.23111666666665</v>
      </c>
      <c r="E85" s="784">
        <f>B85</f>
        <v>461.23111666666665</v>
      </c>
      <c r="F85" s="776" t="s">
        <v>432</v>
      </c>
      <c r="G85" s="446"/>
    </row>
    <row r="86" spans="1:7" ht="15.75" customHeight="1" x14ac:dyDescent="0.2">
      <c r="A86" s="770" t="s">
        <v>526</v>
      </c>
      <c r="B86" s="772">
        <f>Insumos!J99</f>
        <v>17.122015804597702</v>
      </c>
      <c r="C86" s="783">
        <f>B86</f>
        <v>17.122015804597702</v>
      </c>
      <c r="D86" s="783">
        <f>B86</f>
        <v>17.122015804597702</v>
      </c>
      <c r="E86" s="784">
        <f>B86</f>
        <v>17.122015804597702</v>
      </c>
      <c r="F86" s="776" t="s">
        <v>432</v>
      </c>
      <c r="G86" s="446"/>
    </row>
    <row r="87" spans="1:7" ht="15.75" customHeight="1" x14ac:dyDescent="0.2">
      <c r="A87" s="770" t="s">
        <v>527</v>
      </c>
      <c r="B87" s="771" t="s">
        <v>432</v>
      </c>
      <c r="C87" s="785">
        <f>Insumos!I129</f>
        <v>36.666666666666671</v>
      </c>
      <c r="D87" s="785">
        <f>Insumos!H129</f>
        <v>25.446666666666665</v>
      </c>
      <c r="E87" s="786">
        <f>Insumos!H129</f>
        <v>25.446666666666665</v>
      </c>
      <c r="F87" s="776" t="s">
        <v>432</v>
      </c>
      <c r="G87" s="446"/>
    </row>
    <row r="88" spans="1:7" ht="15.75" customHeight="1" x14ac:dyDescent="0.2">
      <c r="A88" s="770" t="s">
        <v>528</v>
      </c>
      <c r="B88" s="775">
        <v>0.12</v>
      </c>
      <c r="C88" s="773" t="s">
        <v>432</v>
      </c>
      <c r="D88" s="773" t="s">
        <v>432</v>
      </c>
      <c r="E88" s="784"/>
      <c r="F88" s="787">
        <f>B88*(F84+F123+F124)</f>
        <v>401.55189000000001</v>
      </c>
      <c r="G88" s="446"/>
    </row>
    <row r="89" spans="1:7" ht="15.75" customHeight="1" x14ac:dyDescent="0.2">
      <c r="A89" s="770" t="s">
        <v>529</v>
      </c>
      <c r="B89" s="772">
        <f>Insumos!H145</f>
        <v>50.323333333333331</v>
      </c>
      <c r="C89" s="773" t="s">
        <v>432</v>
      </c>
      <c r="D89" s="773" t="s">
        <v>432</v>
      </c>
      <c r="E89" s="774" t="s">
        <v>432</v>
      </c>
      <c r="F89" s="776"/>
      <c r="G89" s="446">
        <f>B89</f>
        <v>50.323333333333331</v>
      </c>
    </row>
    <row r="90" spans="1:7" ht="15.75" customHeight="1" x14ac:dyDescent="0.2">
      <c r="A90" s="770" t="s">
        <v>530</v>
      </c>
      <c r="B90" s="771" t="s">
        <v>432</v>
      </c>
      <c r="C90" s="773" t="s">
        <v>432</v>
      </c>
      <c r="D90" s="773" t="s">
        <v>432</v>
      </c>
      <c r="E90" s="774" t="s">
        <v>432</v>
      </c>
      <c r="F90" s="777"/>
      <c r="G90" s="446" t="str">
        <f>B90</f>
        <v> </v>
      </c>
    </row>
    <row r="91" spans="1:7" ht="15.75" customHeight="1" x14ac:dyDescent="0.2">
      <c r="A91" s="461" t="s">
        <v>479</v>
      </c>
      <c r="B91" s="136"/>
      <c r="C91" s="134">
        <f>SUM(C84:C90)</f>
        <v>542.89521580459768</v>
      </c>
      <c r="D91" s="134">
        <f t="shared" ref="D91:G91" si="20">SUM(D84:D90)</f>
        <v>531.67521580459777</v>
      </c>
      <c r="E91" s="134">
        <f t="shared" si="20"/>
        <v>531.67521580459777</v>
      </c>
      <c r="F91" s="134">
        <f t="shared" si="20"/>
        <v>429.42730666666671</v>
      </c>
      <c r="G91" s="462">
        <f t="shared" si="20"/>
        <v>84.353749999999991</v>
      </c>
    </row>
    <row r="92" spans="1:7" ht="15.75" customHeight="1" x14ac:dyDescent="0.2">
      <c r="A92" s="1019"/>
      <c r="B92" s="1007"/>
      <c r="C92" s="137"/>
      <c r="D92" s="137"/>
      <c r="E92" s="259"/>
      <c r="F92" s="259"/>
      <c r="G92" s="466"/>
    </row>
    <row r="93" spans="1:7" ht="15.75" customHeight="1" x14ac:dyDescent="0.2">
      <c r="A93" s="463" t="s">
        <v>531</v>
      </c>
      <c r="B93" s="257"/>
      <c r="C93" s="257"/>
      <c r="D93" s="257"/>
      <c r="E93" s="257"/>
      <c r="F93" s="257"/>
      <c r="G93" s="464"/>
    </row>
    <row r="94" spans="1:7" ht="15.75" customHeight="1" x14ac:dyDescent="0.2">
      <c r="A94" s="443" t="s">
        <v>532</v>
      </c>
      <c r="B94" s="94" t="s">
        <v>471</v>
      </c>
      <c r="C94" s="94" t="s">
        <v>472</v>
      </c>
      <c r="D94" s="94" t="s">
        <v>472</v>
      </c>
      <c r="E94" s="94" t="s">
        <v>472</v>
      </c>
      <c r="F94" s="94" t="s">
        <v>472</v>
      </c>
      <c r="G94" s="444"/>
    </row>
    <row r="95" spans="1:7" ht="15.75" customHeight="1" x14ac:dyDescent="0.2">
      <c r="A95" s="445" t="s">
        <v>69</v>
      </c>
      <c r="B95" s="100">
        <f>MC!C63</f>
        <v>0.03</v>
      </c>
      <c r="C95" s="117">
        <f>($C$19+$C$49+$C$60+$C$80+$C$91)*$B$95</f>
        <v>105.50219652493566</v>
      </c>
      <c r="D95" s="117">
        <f>($D$19+$D$49+$D$60+$D$80+$D$91)*$B$95</f>
        <v>88.448716150368412</v>
      </c>
      <c r="E95" s="117">
        <f>($E$19+$E$49+$E$60+$E$80+$E$91)*$B$95</f>
        <v>71.732167530550214</v>
      </c>
      <c r="F95" s="251">
        <f>($F$19+$F$49+$F$60+$F$80+$F$91)*$B$95</f>
        <v>126.41576668843764</v>
      </c>
      <c r="G95" s="455">
        <f>($G$19+$G$49+$G$60+$G$80+$G$91)*$B$95</f>
        <v>111.91940932782214</v>
      </c>
    </row>
    <row r="96" spans="1:7" ht="15.75" customHeight="1" x14ac:dyDescent="0.2">
      <c r="A96" s="445" t="s">
        <v>70</v>
      </c>
      <c r="B96" s="100">
        <f>MC!C64</f>
        <v>6.7900000000000002E-2</v>
      </c>
      <c r="C96" s="117">
        <f>($C$19+$C$49+$C$60+$C$80+$C$91+C95)*B96</f>
        <v>245.9502372788142</v>
      </c>
      <c r="D96" s="117">
        <f>($D$19+$D$49+$D$60+$D$80+$D$91+$D$95)*$B$96</f>
        <v>206.19459538027718</v>
      </c>
      <c r="E96" s="117">
        <f>($E$19+$E$49+$E$60+$E$80+$E$91+$E$95)*$B$96</f>
        <v>167.22442001946968</v>
      </c>
      <c r="F96" s="117">
        <f>($F$19+$F$49+$F$60+$F$80+$F$91+$F$95)*$B$96</f>
        <v>294.70464916297544</v>
      </c>
      <c r="G96" s="455">
        <f>($G$19+$G$49+$G$60+$G$80+$G$91+G95)*$B$96</f>
        <v>260.91025767199659</v>
      </c>
    </row>
    <row r="97" spans="1:8" ht="15.75" customHeight="1" x14ac:dyDescent="0.2">
      <c r="A97" s="467" t="s">
        <v>533</v>
      </c>
      <c r="B97" s="261">
        <f>B98+B99</f>
        <v>0.1125</v>
      </c>
      <c r="C97" s="262">
        <f>((C19+C49+C60+C80+C91+C95+C96)/(1-($B$97)))*$B$97</f>
        <v>490.33423748893591</v>
      </c>
      <c r="D97" s="262">
        <f>((D19+D49+D60+D80+D91+D95+D96)/(1-($B$97)))*$B$97</f>
        <v>411.0761218153005</v>
      </c>
      <c r="E97" s="262">
        <f>((E19+E49+E60+E80+E91+E95+E96)/(1-($B$97)))*$B$97</f>
        <v>333.38393728331329</v>
      </c>
      <c r="F97" s="262">
        <f>((F19+F49+F60+F80+F91+F95+F96)/(1-($B$97)))*$B$97</f>
        <v>587.53258801681716</v>
      </c>
      <c r="G97" s="468">
        <f>((G19+G49+G60+G80+G91+G95+G96)/(1-($B$97)))*$B$97</f>
        <v>520.15901128654957</v>
      </c>
    </row>
    <row r="98" spans="1:8" ht="15.75" customHeight="1" x14ac:dyDescent="0.2">
      <c r="A98" s="445" t="s">
        <v>534</v>
      </c>
      <c r="B98" s="100">
        <f>0.0165+0.076</f>
        <v>9.2499999999999999E-2</v>
      </c>
      <c r="C98" s="263">
        <f>((C$19+C$49+C$60+C$80+C$91+C$95+C$96)/(1-($B$97)))*$B$98</f>
        <v>403.16370637979173</v>
      </c>
      <c r="D98" s="263">
        <f t="shared" ref="D98:G98" si="21">((D$19+D$49+D$60+D$80+D$91+D$95+D$96)/(1-($B$97)))*$B$98</f>
        <v>337.99592238146926</v>
      </c>
      <c r="E98" s="263">
        <f t="shared" si="21"/>
        <v>274.11568176627981</v>
      </c>
      <c r="F98" s="263">
        <f t="shared" si="21"/>
        <v>483.08235014716075</v>
      </c>
      <c r="G98" s="469">
        <f t="shared" si="21"/>
        <v>427.68629816894071</v>
      </c>
    </row>
    <row r="99" spans="1:8" ht="15.75" customHeight="1" x14ac:dyDescent="0.2">
      <c r="A99" s="445" t="s">
        <v>535</v>
      </c>
      <c r="B99" s="100">
        <v>0.02</v>
      </c>
      <c r="C99" s="264">
        <f>((C$19+C$49+C$60+C$80+C$91+C$95+C$96)/(1-($B$97)))*$B$99</f>
        <v>87.170531109144164</v>
      </c>
      <c r="D99" s="264">
        <f t="shared" ref="D99:G99" si="22">((D$19+D$49+D$60+D$80+D$91+D$95+D$96)/(1-($B$97)))*$B$99</f>
        <v>73.080199433831197</v>
      </c>
      <c r="E99" s="264">
        <f t="shared" si="22"/>
        <v>59.268255517033481</v>
      </c>
      <c r="F99" s="264">
        <f t="shared" si="22"/>
        <v>104.45023786965638</v>
      </c>
      <c r="G99" s="470">
        <f t="shared" si="22"/>
        <v>92.472713117608805</v>
      </c>
    </row>
    <row r="100" spans="1:8" ht="15.75" customHeight="1" x14ac:dyDescent="0.2">
      <c r="A100" s="467" t="s">
        <v>536</v>
      </c>
      <c r="B100" s="261">
        <f>B101+B102</f>
        <v>0.11749999999999999</v>
      </c>
      <c r="C100" s="262">
        <f>((C19+C49+C60+C80+C91+C95+C96)/(1-($B$100)))*$B$100</f>
        <v>515.02843893628551</v>
      </c>
      <c r="D100" s="262">
        <f t="shared" ref="D100:G100" si="23">((D19+D49+D60+D80+D91+D95+D96)/(1-($B$100)))*$B$100</f>
        <v>431.77872788720725</v>
      </c>
      <c r="E100" s="262">
        <f t="shared" si="23"/>
        <v>350.17381136745871</v>
      </c>
      <c r="F100" s="262">
        <f t="shared" si="23"/>
        <v>617.12189052946746</v>
      </c>
      <c r="G100" s="468">
        <f t="shared" si="23"/>
        <v>546.3552472972035</v>
      </c>
    </row>
    <row r="101" spans="1:8" ht="15.75" customHeight="1" x14ac:dyDescent="0.2">
      <c r="A101" s="445" t="s">
        <v>534</v>
      </c>
      <c r="B101" s="100">
        <f>0.0165+0.076</f>
        <v>9.2499999999999999E-2</v>
      </c>
      <c r="C101" s="263">
        <f>((C19+C49+C60+C80+C91+C95+C96)/(1-($B$100)))*$B$101</f>
        <v>405.44792001367159</v>
      </c>
      <c r="D101" s="263">
        <f t="shared" ref="D101:G101" si="24">((D19+D49+D60+D80+D91+D95+D96)/(1-($B$100)))*$B$101</f>
        <v>339.91091344312059</v>
      </c>
      <c r="E101" s="263">
        <f t="shared" si="24"/>
        <v>275.66874511906326</v>
      </c>
      <c r="F101" s="263">
        <f t="shared" si="24"/>
        <v>485.81936062958084</v>
      </c>
      <c r="G101" s="469">
        <f t="shared" si="24"/>
        <v>430.10944999992614</v>
      </c>
    </row>
    <row r="102" spans="1:8" ht="15.75" customHeight="1" x14ac:dyDescent="0.2">
      <c r="A102" s="445" t="s">
        <v>535</v>
      </c>
      <c r="B102" s="100">
        <v>2.5000000000000001E-2</v>
      </c>
      <c r="C102" s="264">
        <f>((C$19+C$49+C$60+C$80+C$91+C$95+C$96)/(1-($B$100)))*$B$102</f>
        <v>109.58051892261395</v>
      </c>
      <c r="D102" s="264">
        <f t="shared" ref="D102:G102" si="25">((D$19+D$49+D$60+D$80+D$91+D$95+D$96)/(1-($B$100)))*$B$102</f>
        <v>91.867814444086662</v>
      </c>
      <c r="E102" s="264">
        <f t="shared" si="25"/>
        <v>74.50506624839548</v>
      </c>
      <c r="F102" s="264">
        <f t="shared" si="25"/>
        <v>131.30252989988671</v>
      </c>
      <c r="G102" s="470">
        <f t="shared" si="25"/>
        <v>116.24579729727735</v>
      </c>
    </row>
    <row r="103" spans="1:8" ht="15.75" customHeight="1" x14ac:dyDescent="0.2">
      <c r="A103" s="467" t="s">
        <v>537</v>
      </c>
      <c r="B103" s="261">
        <f>B104+B105</f>
        <v>0.1225</v>
      </c>
      <c r="C103" s="262">
        <f>((C19+C49+C60+C80+C91+C95+C96)/(1-($B$103)))*$B$103</f>
        <v>540.00405578474454</v>
      </c>
      <c r="D103" s="262">
        <f t="shared" ref="D103:G103" si="26">((D19+D49+D60+D80+D91+D95+D96)/(1-($B$103)))*$B$103</f>
        <v>452.71726109383673</v>
      </c>
      <c r="E103" s="262">
        <f t="shared" si="26"/>
        <v>367.15502304800469</v>
      </c>
      <c r="F103" s="262">
        <f t="shared" si="26"/>
        <v>647.04839307075235</v>
      </c>
      <c r="G103" s="468">
        <f t="shared" si="26"/>
        <v>572.8500159119676</v>
      </c>
    </row>
    <row r="104" spans="1:8" ht="15.75" customHeight="1" x14ac:dyDescent="0.2">
      <c r="A104" s="445" t="s">
        <v>534</v>
      </c>
      <c r="B104" s="100">
        <f>0.0165+0.076</f>
        <v>9.2499999999999999E-2</v>
      </c>
      <c r="C104" s="263">
        <f>((C19+C49+C60+C80+C91+C95+C96)/(1-($B$103)))*$B$104</f>
        <v>407.75816457215404</v>
      </c>
      <c r="D104" s="263">
        <f t="shared" ref="D104:G104" si="27">((D19+D49+D60+D80+D91+D95+D96)/(1-($B$103)))*$B$104</f>
        <v>341.84772776473386</v>
      </c>
      <c r="E104" s="263">
        <f t="shared" si="27"/>
        <v>277.23950719951375</v>
      </c>
      <c r="F104" s="263">
        <f t="shared" si="27"/>
        <v>488.5875621146497</v>
      </c>
      <c r="G104" s="469">
        <f t="shared" si="27"/>
        <v>432.56021609679186</v>
      </c>
    </row>
    <row r="105" spans="1:8" ht="15.75" customHeight="1" x14ac:dyDescent="0.2">
      <c r="A105" s="445" t="s">
        <v>535</v>
      </c>
      <c r="B105" s="100">
        <v>0.03</v>
      </c>
      <c r="C105" s="264">
        <f>((C19+C49+C60+C80+C91+C95+C96)/(1-($B$103)))*$B$105</f>
        <v>132.24589121259049</v>
      </c>
      <c r="D105" s="264">
        <f t="shared" ref="D105:G105" si="28">((D19+D49+D60+D80+D91+D95+D96)/(1-($B$103)))*$B$105</f>
        <v>110.86953332910288</v>
      </c>
      <c r="E105" s="264">
        <f t="shared" si="28"/>
        <v>89.915515848490941</v>
      </c>
      <c r="F105" s="264">
        <f t="shared" si="28"/>
        <v>158.4608309561026</v>
      </c>
      <c r="G105" s="470">
        <f t="shared" si="28"/>
        <v>140.28979981517574</v>
      </c>
      <c r="H105" s="265"/>
    </row>
    <row r="106" spans="1:8" ht="15.75" customHeight="1" x14ac:dyDescent="0.2">
      <c r="A106" s="467" t="s">
        <v>538</v>
      </c>
      <c r="B106" s="261">
        <f>B107+B108</f>
        <v>0.13250000000000001</v>
      </c>
      <c r="C106" s="262">
        <f>((C19+C49+C60+C80+C91+C95+C96)/(1-($B$106)))*$B$106</f>
        <v>590.81899957440476</v>
      </c>
      <c r="D106" s="262">
        <f t="shared" ref="D106:G106" si="29">((D19+D49+D60+D80+D91+D95+D96)/(1-($B$106)))*$B$106</f>
        <v>495.31842663816064</v>
      </c>
      <c r="E106" s="262">
        <f t="shared" si="29"/>
        <v>401.70469292254501</v>
      </c>
      <c r="F106" s="262">
        <f t="shared" si="29"/>
        <v>707.93632043140656</v>
      </c>
      <c r="G106" s="468">
        <f t="shared" si="29"/>
        <v>626.75579874200639</v>
      </c>
    </row>
    <row r="107" spans="1:8" ht="15.75" customHeight="1" x14ac:dyDescent="0.2">
      <c r="A107" s="445" t="s">
        <v>534</v>
      </c>
      <c r="B107" s="100">
        <f>0.0165+0.076</f>
        <v>9.2499999999999999E-2</v>
      </c>
      <c r="C107" s="263">
        <f>((C19+C49+C60+C80+C91+C95+C96)/(1-($B$106)))*$B$107</f>
        <v>412.45854687269758</v>
      </c>
      <c r="D107" s="263">
        <f t="shared" ref="D107:G107" si="30">((D19+D49+D60+D80+D91+D95+D96)/(1-($B$106)))*$B$107</f>
        <v>345.78833557758384</v>
      </c>
      <c r="E107" s="263">
        <f t="shared" si="30"/>
        <v>280.43535166290877</v>
      </c>
      <c r="F107" s="263">
        <f t="shared" si="30"/>
        <v>494.21969539551026</v>
      </c>
      <c r="G107" s="469">
        <f t="shared" si="30"/>
        <v>437.54650100857049</v>
      </c>
    </row>
    <row r="108" spans="1:8" ht="15.75" customHeight="1" x14ac:dyDescent="0.2">
      <c r="A108" s="445" t="s">
        <v>535</v>
      </c>
      <c r="B108" s="100">
        <v>0.04</v>
      </c>
      <c r="C108" s="264">
        <f>((C19+C49+C60+C80+C91+C95+C96)/(1-($B$106)))*$B$108</f>
        <v>178.36045270170709</v>
      </c>
      <c r="D108" s="264">
        <f t="shared" ref="D108:G108" si="31">((D19+D49+D60+D80+D91+D95+D96)/(1-($B$106)))*$B$108</f>
        <v>149.53009106057681</v>
      </c>
      <c r="E108" s="264">
        <f t="shared" si="31"/>
        <v>121.26934125963622</v>
      </c>
      <c r="F108" s="264">
        <f t="shared" si="31"/>
        <v>213.71662503589633</v>
      </c>
      <c r="G108" s="470">
        <f t="shared" si="31"/>
        <v>189.2092977334359</v>
      </c>
    </row>
    <row r="109" spans="1:8" ht="15.75" customHeight="1" x14ac:dyDescent="0.2">
      <c r="A109" s="467" t="s">
        <v>539</v>
      </c>
      <c r="B109" s="261">
        <f>B110+B111</f>
        <v>0.14250000000000002</v>
      </c>
      <c r="C109" s="262">
        <f>((C19+C49+C60+C80+C91+C95+C96)/(1-($B$109)))*$B$109</f>
        <v>642.81913155740972</v>
      </c>
      <c r="D109" s="262">
        <f t="shared" ref="D109:G109" si="32">((D19+D49+D60+D80+D91+D95+D96)/(1-($B$109)))*$B$109</f>
        <v>538.91320537302272</v>
      </c>
      <c r="E109" s="262">
        <f t="shared" si="32"/>
        <v>437.06018600115613</v>
      </c>
      <c r="F109" s="262">
        <f t="shared" si="32"/>
        <v>770.24437437773213</v>
      </c>
      <c r="G109" s="468">
        <f t="shared" si="32"/>
        <v>681.91885930569038</v>
      </c>
    </row>
    <row r="110" spans="1:8" ht="15.75" customHeight="1" x14ac:dyDescent="0.2">
      <c r="A110" s="445" t="s">
        <v>534</v>
      </c>
      <c r="B110" s="100">
        <f>0.0165+0.076</f>
        <v>9.2499999999999999E-2</v>
      </c>
      <c r="C110" s="263">
        <f>((C19+C49+C60+C80+C91+C95+C96)/(1-($B$109)))*$B$110</f>
        <v>417.2685590811256</v>
      </c>
      <c r="D110" s="263">
        <f t="shared" ref="D110:G110" si="33">((D19+D49+D60+D80+D91+D95+D96)/(1-($B$109)))*$B$110</f>
        <v>349.82085261055857</v>
      </c>
      <c r="E110" s="263">
        <f t="shared" si="33"/>
        <v>283.70573477268027</v>
      </c>
      <c r="F110" s="263">
        <f t="shared" si="33"/>
        <v>499.98319038554536</v>
      </c>
      <c r="G110" s="469">
        <f t="shared" si="33"/>
        <v>442.64908411071121</v>
      </c>
    </row>
    <row r="111" spans="1:8" ht="15.75" customHeight="1" x14ac:dyDescent="0.2">
      <c r="A111" s="445" t="s">
        <v>535</v>
      </c>
      <c r="B111" s="266">
        <v>0.05</v>
      </c>
      <c r="C111" s="264">
        <f>((C19+C49+C60+C80+C91+C95+C96)/(1-($B$109)))*$B$111</f>
        <v>225.55057247628412</v>
      </c>
      <c r="D111" s="264">
        <f t="shared" ref="D111:G111" si="34">((D19+D49+D60+D80+D91+D95+D96)/(1-($B$109)))*$B$111</f>
        <v>189.09235276246412</v>
      </c>
      <c r="E111" s="264">
        <f t="shared" si="34"/>
        <v>153.35445122847582</v>
      </c>
      <c r="F111" s="264">
        <f t="shared" si="34"/>
        <v>270.26118399218666</v>
      </c>
      <c r="G111" s="470">
        <f t="shared" si="34"/>
        <v>239.26977519497905</v>
      </c>
    </row>
    <row r="112" spans="1:8" ht="15.75" customHeight="1" x14ac:dyDescent="0.2">
      <c r="A112" s="1022" t="s">
        <v>540</v>
      </c>
      <c r="B112" s="267">
        <v>0.02</v>
      </c>
      <c r="C112" s="268">
        <f>C95+C96+C97</f>
        <v>841.7866712926857</v>
      </c>
      <c r="D112" s="268">
        <f>D95+D96+D97</f>
        <v>705.71943334594607</v>
      </c>
      <c r="E112" s="268">
        <f>E95+E96+E97</f>
        <v>572.34052483333312</v>
      </c>
      <c r="F112" s="268">
        <f>F95+F96+F97</f>
        <v>1008.6530038682303</v>
      </c>
      <c r="G112" s="471">
        <f>G95+G96+G97</f>
        <v>892.98867828636833</v>
      </c>
    </row>
    <row r="113" spans="1:8" ht="15.75" customHeight="1" x14ac:dyDescent="0.2">
      <c r="A113" s="1022"/>
      <c r="B113" s="269">
        <v>2.5000000000000001E-2</v>
      </c>
      <c r="C113" s="270">
        <f>C95+C96+C100</f>
        <v>866.48087274003535</v>
      </c>
      <c r="D113" s="270">
        <f>D95+D96+D100</f>
        <v>726.42203941785283</v>
      </c>
      <c r="E113" s="270">
        <f>E95+E96+E100</f>
        <v>589.1303989174786</v>
      </c>
      <c r="F113" s="270">
        <f>F95+F96+F100</f>
        <v>1038.2423063808806</v>
      </c>
      <c r="G113" s="472">
        <f>G95+G96+G100</f>
        <v>919.18491429702226</v>
      </c>
    </row>
    <row r="114" spans="1:8" ht="15.75" customHeight="1" x14ac:dyDescent="0.2">
      <c r="A114" s="1022"/>
      <c r="B114" s="269">
        <v>0.03</v>
      </c>
      <c r="C114" s="270">
        <f>C95+C96+C103</f>
        <v>891.45648958849438</v>
      </c>
      <c r="D114" s="270">
        <f>D95+D96+D103</f>
        <v>747.3605726244823</v>
      </c>
      <c r="E114" s="270">
        <f>E95+E96+E103</f>
        <v>606.11161059802453</v>
      </c>
      <c r="F114" s="270">
        <f>F95+F96+F103</f>
        <v>1068.1688089221655</v>
      </c>
      <c r="G114" s="472">
        <f>G95+G96+G103</f>
        <v>945.67968291178636</v>
      </c>
      <c r="H114" s="265"/>
    </row>
    <row r="115" spans="1:8" ht="15.75" customHeight="1" x14ac:dyDescent="0.2">
      <c r="A115" s="1022"/>
      <c r="B115" s="269">
        <v>0.04</v>
      </c>
      <c r="C115" s="270">
        <f>C95+C96+C106</f>
        <v>942.2714333781546</v>
      </c>
      <c r="D115" s="270">
        <f>D95+D96+D106</f>
        <v>789.96173816880628</v>
      </c>
      <c r="E115" s="270">
        <f>E95+E96+E106</f>
        <v>640.66128047256484</v>
      </c>
      <c r="F115" s="270">
        <f>F95+F96+F106</f>
        <v>1129.0567362828197</v>
      </c>
      <c r="G115" s="472">
        <f>G95+G96+G106</f>
        <v>999.58546574182515</v>
      </c>
    </row>
    <row r="116" spans="1:8" ht="15.75" customHeight="1" x14ac:dyDescent="0.2">
      <c r="A116" s="1043"/>
      <c r="B116" s="631">
        <v>0.05</v>
      </c>
      <c r="C116" s="632">
        <f>C95+C96+C109</f>
        <v>994.27156536115956</v>
      </c>
      <c r="D116" s="632">
        <f>D95+D96+D109</f>
        <v>833.55651690366835</v>
      </c>
      <c r="E116" s="632">
        <f>E95+E96+E109</f>
        <v>676.01677355117602</v>
      </c>
      <c r="F116" s="632">
        <f>F95+F96+F109</f>
        <v>1191.3647902291452</v>
      </c>
      <c r="G116" s="633">
        <f>G95+G96+G109</f>
        <v>1054.7485263055091</v>
      </c>
    </row>
    <row r="117" spans="1:8" ht="15.75" customHeight="1" x14ac:dyDescent="0.2">
      <c r="A117" s="634" t="s">
        <v>541</v>
      </c>
      <c r="B117" s="273"/>
      <c r="C117" s="274"/>
      <c r="D117" s="274"/>
      <c r="E117" s="275"/>
      <c r="F117" s="275"/>
      <c r="G117" s="276"/>
    </row>
    <row r="118" spans="1:8" ht="15.75" customHeight="1" x14ac:dyDescent="0.2">
      <c r="A118" s="143"/>
      <c r="B118" s="277"/>
      <c r="C118" s="278"/>
      <c r="D118" s="278"/>
      <c r="E118" s="279"/>
      <c r="F118" s="279"/>
      <c r="G118" s="280"/>
    </row>
    <row r="119" spans="1:8" ht="15.75" customHeight="1" x14ac:dyDescent="0.2">
      <c r="A119" s="1009"/>
      <c r="B119" s="1009"/>
      <c r="C119" s="1009"/>
      <c r="D119" s="1009"/>
      <c r="E119" s="1009"/>
      <c r="F119" s="1009"/>
      <c r="G119" s="1009"/>
    </row>
    <row r="120" spans="1:8" ht="15.75" customHeight="1" x14ac:dyDescent="0.2">
      <c r="A120" s="1010"/>
      <c r="B120" s="1010"/>
      <c r="C120" s="1010"/>
      <c r="D120" s="1010"/>
      <c r="E120" s="1010"/>
      <c r="F120" s="1010"/>
      <c r="G120" s="1010"/>
    </row>
    <row r="121" spans="1:8" ht="45.75" customHeight="1" x14ac:dyDescent="0.2">
      <c r="A121" s="1011" t="s">
        <v>542</v>
      </c>
      <c r="B121" s="1011"/>
      <c r="C121" s="281" t="str">
        <f>C10</f>
        <v xml:space="preserve">Servente 40h </v>
      </c>
      <c r="D121" s="281" t="str">
        <f>D10</f>
        <v xml:space="preserve">Servente 30h </v>
      </c>
      <c r="E121" s="282"/>
      <c r="F121" s="282" t="str">
        <f>F10</f>
        <v>Servente 44h limpeza de esquadrias com risco</v>
      </c>
      <c r="G121" s="283" t="str">
        <f>G10</f>
        <v>Encarregada 40h</v>
      </c>
    </row>
    <row r="122" spans="1:8" ht="15.75" customHeight="1" x14ac:dyDescent="0.2">
      <c r="A122" s="1005" t="s">
        <v>543</v>
      </c>
      <c r="B122" s="1005"/>
      <c r="C122" s="284" t="s">
        <v>472</v>
      </c>
      <c r="D122" s="284" t="s">
        <v>472</v>
      </c>
      <c r="E122" s="284" t="s">
        <v>472</v>
      </c>
      <c r="F122" s="284" t="s">
        <v>472</v>
      </c>
      <c r="G122" s="285" t="s">
        <v>472</v>
      </c>
    </row>
    <row r="123" spans="1:8" ht="15.75" customHeight="1" x14ac:dyDescent="0.2">
      <c r="A123" s="1006" t="s">
        <v>544</v>
      </c>
      <c r="B123" s="1006"/>
      <c r="C123" s="286">
        <f>C19</f>
        <v>1315.3636363636363</v>
      </c>
      <c r="D123" s="286">
        <f>D19</f>
        <v>986.52272727272725</v>
      </c>
      <c r="E123" s="286">
        <f>E19</f>
        <v>657.68181818181813</v>
      </c>
      <c r="F123" s="286">
        <f>F19</f>
        <v>1480.8000000000002</v>
      </c>
      <c r="G123" s="287">
        <f>G19</f>
        <v>1712.2181818181818</v>
      </c>
    </row>
    <row r="124" spans="1:8" ht="15.75" customHeight="1" x14ac:dyDescent="0.2">
      <c r="A124" s="1001" t="s">
        <v>545</v>
      </c>
      <c r="B124" s="1001"/>
      <c r="C124" s="139">
        <f>C49</f>
        <v>1281.9778787878788</v>
      </c>
      <c r="D124" s="139">
        <f>D49</f>
        <v>1130.7034090909092</v>
      </c>
      <c r="E124" s="139">
        <f>E49</f>
        <v>979.43893939393945</v>
      </c>
      <c r="F124" s="139">
        <f>F49</f>
        <v>1837.5903333333333</v>
      </c>
      <c r="G124" s="140">
        <f>G49</f>
        <v>1464.5116161616161</v>
      </c>
    </row>
    <row r="125" spans="1:8" ht="15.75" customHeight="1" x14ac:dyDescent="0.2">
      <c r="A125" s="1001" t="s">
        <v>546</v>
      </c>
      <c r="B125" s="1001"/>
      <c r="C125" s="139">
        <f>C60</f>
        <v>86.156318181818165</v>
      </c>
      <c r="D125" s="139">
        <f>D60</f>
        <v>64.617238636363624</v>
      </c>
      <c r="E125" s="139">
        <f>E60</f>
        <v>43.078159090909082</v>
      </c>
      <c r="F125" s="139">
        <f>F60</f>
        <v>96.992400000000004</v>
      </c>
      <c r="G125" s="140">
        <f>G60</f>
        <v>112.1502909090909</v>
      </c>
    </row>
    <row r="126" spans="1:8" ht="15.75" customHeight="1" x14ac:dyDescent="0.2">
      <c r="A126" s="1001" t="s">
        <v>547</v>
      </c>
      <c r="B126" s="1001"/>
      <c r="C126" s="139">
        <f>C80</f>
        <v>290.34683502659124</v>
      </c>
      <c r="D126" s="139">
        <f>D80</f>
        <v>234.77194754101566</v>
      </c>
      <c r="E126" s="139">
        <f>E80</f>
        <v>179.19811854707618</v>
      </c>
      <c r="F126" s="139">
        <f>F80</f>
        <v>369.04884961458794</v>
      </c>
      <c r="G126" s="140">
        <f>G69</f>
        <v>327.77940506503757</v>
      </c>
    </row>
    <row r="127" spans="1:8" ht="15.75" customHeight="1" x14ac:dyDescent="0.2">
      <c r="A127" s="1001" t="s">
        <v>548</v>
      </c>
      <c r="B127" s="1001"/>
      <c r="C127" s="139">
        <f>C91</f>
        <v>542.89521580459768</v>
      </c>
      <c r="D127" s="139">
        <f>D91</f>
        <v>531.67521580459777</v>
      </c>
      <c r="E127" s="139">
        <f>E91</f>
        <v>531.67521580459777</v>
      </c>
      <c r="F127" s="139">
        <f>F91</f>
        <v>429.42730666666671</v>
      </c>
      <c r="G127" s="140">
        <f>G91</f>
        <v>84.353749999999991</v>
      </c>
    </row>
    <row r="128" spans="1:8" ht="15.75" customHeight="1" x14ac:dyDescent="0.2">
      <c r="A128" s="1004" t="s">
        <v>549</v>
      </c>
      <c r="B128" s="1004"/>
      <c r="C128" s="141">
        <f>SUM(C123:C127)</f>
        <v>3516.7398841645222</v>
      </c>
      <c r="D128" s="141">
        <f>SUM(D123:D127)</f>
        <v>2948.2905383456136</v>
      </c>
      <c r="E128" s="141">
        <f>SUM(E123:E127)</f>
        <v>2391.0722510183405</v>
      </c>
      <c r="F128" s="288">
        <f>SUM(F123:F127)</f>
        <v>4213.8588896145884</v>
      </c>
      <c r="G128" s="142">
        <f>SUM(G123:G127)</f>
        <v>3701.0132439539266</v>
      </c>
    </row>
    <row r="129" spans="1:13" ht="15.75" customHeight="1" x14ac:dyDescent="0.2">
      <c r="A129" s="1002" t="s">
        <v>550</v>
      </c>
      <c r="B129" s="1002"/>
      <c r="C129" s="289">
        <f t="shared" ref="C129:G133" si="35">C112</f>
        <v>841.7866712926857</v>
      </c>
      <c r="D129" s="289">
        <f t="shared" si="35"/>
        <v>705.71943334594607</v>
      </c>
      <c r="E129" s="289">
        <f t="shared" si="35"/>
        <v>572.34052483333312</v>
      </c>
      <c r="F129" s="289">
        <f t="shared" si="35"/>
        <v>1008.6530038682303</v>
      </c>
      <c r="G129" s="290">
        <f t="shared" si="35"/>
        <v>892.98867828636833</v>
      </c>
    </row>
    <row r="130" spans="1:13" ht="15.75" customHeight="1" x14ac:dyDescent="0.2">
      <c r="A130" s="1001" t="s">
        <v>551</v>
      </c>
      <c r="B130" s="1001"/>
      <c r="C130" s="291">
        <f t="shared" si="35"/>
        <v>866.48087274003535</v>
      </c>
      <c r="D130" s="291">
        <f t="shared" si="35"/>
        <v>726.42203941785283</v>
      </c>
      <c r="E130" s="291">
        <f t="shared" si="35"/>
        <v>589.1303989174786</v>
      </c>
      <c r="F130" s="291">
        <f t="shared" si="35"/>
        <v>1038.2423063808806</v>
      </c>
      <c r="G130" s="292">
        <f t="shared" si="35"/>
        <v>919.18491429702226</v>
      </c>
    </row>
    <row r="131" spans="1:13" ht="15.75" customHeight="1" x14ac:dyDescent="0.2">
      <c r="A131" s="1001" t="s">
        <v>552</v>
      </c>
      <c r="B131" s="1001"/>
      <c r="C131" s="291">
        <f t="shared" si="35"/>
        <v>891.45648958849438</v>
      </c>
      <c r="D131" s="291">
        <f t="shared" si="35"/>
        <v>747.3605726244823</v>
      </c>
      <c r="E131" s="291">
        <f t="shared" si="35"/>
        <v>606.11161059802453</v>
      </c>
      <c r="F131" s="291">
        <f t="shared" si="35"/>
        <v>1068.1688089221655</v>
      </c>
      <c r="G131" s="292">
        <f t="shared" si="35"/>
        <v>945.67968291178636</v>
      </c>
    </row>
    <row r="132" spans="1:13" ht="15.75" customHeight="1" x14ac:dyDescent="0.2">
      <c r="A132" s="1001" t="s">
        <v>553</v>
      </c>
      <c r="B132" s="1001"/>
      <c r="C132" s="291">
        <f t="shared" si="35"/>
        <v>942.2714333781546</v>
      </c>
      <c r="D132" s="291">
        <f t="shared" si="35"/>
        <v>789.96173816880628</v>
      </c>
      <c r="E132" s="291">
        <f t="shared" si="35"/>
        <v>640.66128047256484</v>
      </c>
      <c r="F132" s="291">
        <f t="shared" si="35"/>
        <v>1129.0567362828197</v>
      </c>
      <c r="G132" s="292">
        <f t="shared" si="35"/>
        <v>999.58546574182515</v>
      </c>
    </row>
    <row r="133" spans="1:13" ht="15.75" customHeight="1" x14ac:dyDescent="0.2">
      <c r="A133" s="1002" t="s">
        <v>554</v>
      </c>
      <c r="B133" s="1002"/>
      <c r="C133" s="291">
        <f t="shared" si="35"/>
        <v>994.27156536115956</v>
      </c>
      <c r="D133" s="291">
        <f t="shared" si="35"/>
        <v>833.55651690366835</v>
      </c>
      <c r="E133" s="291">
        <f t="shared" si="35"/>
        <v>676.01677355117602</v>
      </c>
      <c r="F133" s="291">
        <f t="shared" si="35"/>
        <v>1191.3647902291452</v>
      </c>
      <c r="G133" s="292">
        <f t="shared" si="35"/>
        <v>1054.7485263055091</v>
      </c>
    </row>
    <row r="134" spans="1:13" ht="15.75" customHeight="1" x14ac:dyDescent="0.2">
      <c r="A134" s="293" t="s">
        <v>555</v>
      </c>
      <c r="B134" s="294"/>
      <c r="C134" s="295">
        <f>C128+C129</f>
        <v>4358.5265554572079</v>
      </c>
      <c r="D134" s="295">
        <f>D128+D129</f>
        <v>3654.0099716915597</v>
      </c>
      <c r="E134" s="295">
        <f>E128+E129</f>
        <v>2963.4127758516734</v>
      </c>
      <c r="F134" s="295">
        <f>F128+F129</f>
        <v>5222.5118934828188</v>
      </c>
      <c r="G134" s="296">
        <f>G128+G129</f>
        <v>4594.0019222402952</v>
      </c>
    </row>
    <row r="135" spans="1:13" ht="15.75" customHeight="1" x14ac:dyDescent="0.2">
      <c r="A135" s="297" t="s">
        <v>556</v>
      </c>
      <c r="B135" s="298"/>
      <c r="C135" s="299">
        <f>C128+C130</f>
        <v>4383.2207569045577</v>
      </c>
      <c r="D135" s="299">
        <f>D128+D130</f>
        <v>3674.7125777634665</v>
      </c>
      <c r="E135" s="299">
        <f>E128+E130</f>
        <v>2980.202649935819</v>
      </c>
      <c r="F135" s="299">
        <f>F128+F130</f>
        <v>5252.1011959954685</v>
      </c>
      <c r="G135" s="300">
        <f>G128+G130</f>
        <v>4620.1981582509488</v>
      </c>
    </row>
    <row r="136" spans="1:13" ht="15.75" customHeight="1" x14ac:dyDescent="0.2">
      <c r="A136" s="297" t="s">
        <v>557</v>
      </c>
      <c r="B136" s="298"/>
      <c r="C136" s="299">
        <f>C128+C131</f>
        <v>4408.1963737530168</v>
      </c>
      <c r="D136" s="299">
        <f>D128+D131</f>
        <v>3695.6511109700959</v>
      </c>
      <c r="E136" s="299">
        <f>E128+E131</f>
        <v>2997.183861616365</v>
      </c>
      <c r="F136" s="299">
        <f>F128+F131</f>
        <v>5282.0276985367536</v>
      </c>
      <c r="G136" s="300">
        <f>G128+G131</f>
        <v>4646.6929268657132</v>
      </c>
    </row>
    <row r="137" spans="1:13" ht="15.75" customHeight="1" x14ac:dyDescent="0.2">
      <c r="A137" s="297" t="s">
        <v>558</v>
      </c>
      <c r="B137" s="298"/>
      <c r="C137" s="299">
        <f>C128+C132</f>
        <v>4459.0113175426768</v>
      </c>
      <c r="D137" s="299">
        <f>D128+D132</f>
        <v>3738.2522765144199</v>
      </c>
      <c r="E137" s="299">
        <f>E128+E132</f>
        <v>3031.7335314909051</v>
      </c>
      <c r="F137" s="299">
        <f>F128+F132</f>
        <v>5342.9156258974081</v>
      </c>
      <c r="G137" s="300">
        <f>G128+G132</f>
        <v>4700.5987096957515</v>
      </c>
    </row>
    <row r="138" spans="1:13" ht="15.75" customHeight="1" x14ac:dyDescent="0.2">
      <c r="A138" s="297" t="s">
        <v>559</v>
      </c>
      <c r="B138" s="298"/>
      <c r="C138" s="299">
        <f>C128+C133</f>
        <v>4511.0114495256821</v>
      </c>
      <c r="D138" s="299">
        <f>D128+D133</f>
        <v>3781.8470552492818</v>
      </c>
      <c r="E138" s="299">
        <f>E128+E133</f>
        <v>3067.0890245695164</v>
      </c>
      <c r="F138" s="299">
        <f>F128+F133</f>
        <v>5405.2236798437334</v>
      </c>
      <c r="G138" s="300">
        <f>G128+G133</f>
        <v>4755.7617702594362</v>
      </c>
    </row>
    <row r="139" spans="1:13" ht="15.75" customHeight="1" x14ac:dyDescent="0.2">
      <c r="A139" s="301" t="s">
        <v>560</v>
      </c>
      <c r="B139" s="302"/>
      <c r="C139" s="303">
        <f>C134/200</f>
        <v>21.792632777286041</v>
      </c>
      <c r="D139" s="303"/>
      <c r="E139" s="303"/>
      <c r="F139" s="304"/>
      <c r="G139" s="305"/>
    </row>
    <row r="140" spans="1:13" ht="15.75" customHeight="1" x14ac:dyDescent="0.2">
      <c r="A140" s="306" t="s">
        <v>561</v>
      </c>
      <c r="B140" s="307"/>
      <c r="C140" s="308">
        <f>C135/200</f>
        <v>21.91610378452279</v>
      </c>
      <c r="D140" s="308"/>
      <c r="E140" s="308"/>
      <c r="F140" s="309"/>
      <c r="G140" s="310"/>
    </row>
    <row r="141" spans="1:13" ht="15.75" customHeight="1" x14ac:dyDescent="0.2">
      <c r="A141" s="306" t="s">
        <v>562</v>
      </c>
      <c r="B141" s="307"/>
      <c r="C141" s="308">
        <f>C136/200</f>
        <v>22.040981868765083</v>
      </c>
      <c r="D141" s="308"/>
      <c r="E141" s="308"/>
      <c r="F141" s="309"/>
      <c r="G141" s="310"/>
    </row>
    <row r="142" spans="1:13" ht="15.75" customHeight="1" x14ac:dyDescent="0.2">
      <c r="A142" s="306" t="s">
        <v>563</v>
      </c>
      <c r="B142" s="307"/>
      <c r="C142" s="308">
        <f>C137/200</f>
        <v>22.295056587713383</v>
      </c>
      <c r="D142" s="308"/>
      <c r="E142" s="308"/>
      <c r="F142" s="309"/>
      <c r="G142" s="310"/>
    </row>
    <row r="143" spans="1:13" ht="15.75" customHeight="1" x14ac:dyDescent="0.2">
      <c r="A143" s="311" t="s">
        <v>564</v>
      </c>
      <c r="B143" s="312"/>
      <c r="C143" s="313">
        <f>C138/200</f>
        <v>22.555057247628412</v>
      </c>
      <c r="D143" s="313"/>
      <c r="E143" s="313"/>
      <c r="F143" s="314"/>
      <c r="G143" s="315"/>
    </row>
    <row r="144" spans="1:13" x14ac:dyDescent="0.2">
      <c r="A144" s="316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022" ht="14.25" customHeight="1" x14ac:dyDescent="0.2">
      <c r="A145" s="1003" t="s">
        <v>565</v>
      </c>
      <c r="B145" s="1003"/>
      <c r="C145" s="1003" t="s">
        <v>566</v>
      </c>
      <c r="D145" s="1003"/>
      <c r="E145" s="999" t="s">
        <v>567</v>
      </c>
      <c r="F145" s="1000"/>
      <c r="G145" s="998" t="s">
        <v>568</v>
      </c>
      <c r="H145" s="998"/>
      <c r="I145" s="998" t="s">
        <v>569</v>
      </c>
      <c r="J145" s="998"/>
      <c r="K145" s="998" t="s">
        <v>570</v>
      </c>
      <c r="L145" s="998"/>
      <c r="AMH145"/>
    </row>
    <row r="146" spans="1:1022" ht="38.25" x14ac:dyDescent="0.2">
      <c r="A146" s="347" t="s">
        <v>571</v>
      </c>
      <c r="B146" s="348" t="s">
        <v>572</v>
      </c>
      <c r="C146" s="348" t="s">
        <v>573</v>
      </c>
      <c r="D146" s="348" t="s">
        <v>574</v>
      </c>
      <c r="E146" s="348" t="s">
        <v>573</v>
      </c>
      <c r="F146" s="348" t="s">
        <v>574</v>
      </c>
      <c r="G146" s="348" t="s">
        <v>573</v>
      </c>
      <c r="H146" s="348" t="s">
        <v>574</v>
      </c>
      <c r="I146" s="348" t="s">
        <v>573</v>
      </c>
      <c r="J146" s="348" t="s">
        <v>574</v>
      </c>
      <c r="K146" s="348" t="s">
        <v>573</v>
      </c>
      <c r="L146" s="348" t="s">
        <v>574</v>
      </c>
      <c r="AMH146"/>
    </row>
    <row r="147" spans="1:1022" x14ac:dyDescent="0.2">
      <c r="A147" s="349" t="s">
        <v>575</v>
      </c>
      <c r="B147" s="350">
        <f>1/'Prod. GEXLON'!C20</f>
        <v>1.25E-3</v>
      </c>
      <c r="C147" s="351">
        <f>C134</f>
        <v>4358.5265554572079</v>
      </c>
      <c r="D147" s="351">
        <f>B147*C147</f>
        <v>5.4481581943215103</v>
      </c>
      <c r="E147" s="351">
        <f>C135</f>
        <v>4383.2207569045577</v>
      </c>
      <c r="F147" s="351">
        <f>B147*E147</f>
        <v>5.4790259461306974</v>
      </c>
      <c r="G147" s="351">
        <f>C136</f>
        <v>4408.1963737530168</v>
      </c>
      <c r="H147" s="351">
        <f>B147*G147</f>
        <v>5.5102454671912708</v>
      </c>
      <c r="I147" s="351">
        <f>C137</f>
        <v>4459.0113175426768</v>
      </c>
      <c r="J147" s="351">
        <f>B147*I147</f>
        <v>5.5737641469283465</v>
      </c>
      <c r="K147" s="351">
        <f>C138</f>
        <v>4511.0114495256821</v>
      </c>
      <c r="L147" s="351">
        <f>B147*K147</f>
        <v>5.6387643119071029</v>
      </c>
      <c r="AMH147"/>
    </row>
    <row r="148" spans="1:1022" x14ac:dyDescent="0.2">
      <c r="A148" s="352" t="s">
        <v>576</v>
      </c>
      <c r="B148" s="350">
        <f>B147/'Prod. GEXLON'!P20</f>
        <v>4.3103448275862072E-5</v>
      </c>
      <c r="C148" s="351">
        <f>G138</f>
        <v>4755.7617702594362</v>
      </c>
      <c r="D148" s="351">
        <f>C148*B148</f>
        <v>0.20498973147669985</v>
      </c>
      <c r="E148" s="351">
        <f>G138</f>
        <v>4755.7617702594362</v>
      </c>
      <c r="F148" s="351">
        <f>B148*E148</f>
        <v>0.20498973147669985</v>
      </c>
      <c r="G148" s="351">
        <f>G138</f>
        <v>4755.7617702594362</v>
      </c>
      <c r="H148" s="351">
        <f>B148*G148</f>
        <v>0.20498973147669985</v>
      </c>
      <c r="I148" s="351">
        <f>G138</f>
        <v>4755.7617702594362</v>
      </c>
      <c r="J148" s="351">
        <f>B148*I148</f>
        <v>0.20498973147669985</v>
      </c>
      <c r="K148" s="351">
        <f>G138</f>
        <v>4755.7617702594362</v>
      </c>
      <c r="L148" s="351">
        <f>B148*K148</f>
        <v>0.20498973147669985</v>
      </c>
      <c r="M148" s="987"/>
      <c r="N148" s="988"/>
      <c r="O148" s="517"/>
      <c r="AMH148"/>
    </row>
    <row r="149" spans="1:1022" x14ac:dyDescent="0.2">
      <c r="A149" s="353" t="s">
        <v>579</v>
      </c>
      <c r="B149" s="354"/>
      <c r="C149" s="355"/>
      <c r="D149" s="355">
        <f>SUM(D147:D148)</f>
        <v>5.6531479257982102</v>
      </c>
      <c r="E149" s="355"/>
      <c r="F149" s="355">
        <f>SUM(F147:F148)</f>
        <v>5.6840156776073973</v>
      </c>
      <c r="G149" s="355"/>
      <c r="H149" s="355">
        <f>SUM(H147:H148)</f>
        <v>5.7152351986679708</v>
      </c>
      <c r="I149" s="355"/>
      <c r="J149" s="355">
        <f>SUM(J147:J148)</f>
        <v>5.7787538784050465</v>
      </c>
      <c r="K149" s="355"/>
      <c r="L149" s="355">
        <f>SUM(L147:L148)</f>
        <v>5.8437540433838029</v>
      </c>
      <c r="M149" s="515"/>
      <c r="N149" s="516"/>
      <c r="AMH149"/>
    </row>
    <row r="150" spans="1:1022" x14ac:dyDescent="0.2">
      <c r="A150" s="317"/>
      <c r="B150" s="318"/>
      <c r="C150" s="318"/>
      <c r="D150" s="319"/>
      <c r="E150" s="319"/>
      <c r="F150"/>
      <c r="G150"/>
      <c r="H150"/>
      <c r="I150"/>
      <c r="J150"/>
      <c r="K150"/>
      <c r="L150"/>
      <c r="AMH150"/>
    </row>
    <row r="151" spans="1:1022" ht="14.25" customHeight="1" x14ac:dyDescent="0.2">
      <c r="A151" s="995" t="s">
        <v>580</v>
      </c>
      <c r="B151" s="995"/>
      <c r="C151" s="995" t="s">
        <v>566</v>
      </c>
      <c r="D151" s="995"/>
      <c r="E151" s="996" t="s">
        <v>567</v>
      </c>
      <c r="F151" s="997"/>
      <c r="G151" s="995" t="s">
        <v>568</v>
      </c>
      <c r="H151" s="995"/>
      <c r="I151" s="995" t="s">
        <v>569</v>
      </c>
      <c r="J151" s="995"/>
      <c r="K151" s="995" t="s">
        <v>570</v>
      </c>
      <c r="L151" s="995"/>
      <c r="AMH151"/>
    </row>
    <row r="152" spans="1:1022" ht="38.25" x14ac:dyDescent="0.2">
      <c r="A152" s="347" t="s">
        <v>571</v>
      </c>
      <c r="B152" s="348" t="s">
        <v>581</v>
      </c>
      <c r="C152" s="348" t="s">
        <v>573</v>
      </c>
      <c r="D152" s="348" t="s">
        <v>574</v>
      </c>
      <c r="E152" s="348" t="s">
        <v>573</v>
      </c>
      <c r="F152" s="348" t="s">
        <v>574</v>
      </c>
      <c r="G152" s="348" t="s">
        <v>573</v>
      </c>
      <c r="H152" s="348" t="s">
        <v>574</v>
      </c>
      <c r="I152" s="348" t="s">
        <v>573</v>
      </c>
      <c r="J152" s="348" t="s">
        <v>574</v>
      </c>
      <c r="K152" s="348" t="s">
        <v>573</v>
      </c>
      <c r="L152" s="348" t="s">
        <v>574</v>
      </c>
      <c r="AMH152"/>
    </row>
    <row r="153" spans="1:1022" x14ac:dyDescent="0.2">
      <c r="A153" s="349" t="s">
        <v>575</v>
      </c>
      <c r="B153" s="356">
        <f>1/'Prod. GEXLON'!D20</f>
        <v>6.6666666666666664E-4</v>
      </c>
      <c r="C153" s="357">
        <f>C134</f>
        <v>4358.5265554572079</v>
      </c>
      <c r="D153" s="351">
        <f>B153*C153</f>
        <v>2.905684370304805</v>
      </c>
      <c r="E153" s="351">
        <f>C135</f>
        <v>4383.2207569045577</v>
      </c>
      <c r="F153" s="351">
        <f>B153*E153</f>
        <v>2.9221471712697049</v>
      </c>
      <c r="G153" s="351">
        <f>C136</f>
        <v>4408.1963737530168</v>
      </c>
      <c r="H153" s="351">
        <f>B153*G153</f>
        <v>2.9387975825020112</v>
      </c>
      <c r="I153" s="351">
        <f>C137</f>
        <v>4459.0113175426768</v>
      </c>
      <c r="J153" s="351">
        <f>B153*I153</f>
        <v>2.9726742116951179</v>
      </c>
      <c r="K153" s="351">
        <f>C138</f>
        <v>4511.0114495256821</v>
      </c>
      <c r="L153" s="351">
        <f>B153*K153</f>
        <v>3.0073409663504544</v>
      </c>
      <c r="AMH153"/>
    </row>
    <row r="154" spans="1:1022" x14ac:dyDescent="0.2">
      <c r="A154" s="352" t="s">
        <v>576</v>
      </c>
      <c r="B154" s="350">
        <f>B153/'Prod. GEXLON'!P20</f>
        <v>2.2988505747126437E-5</v>
      </c>
      <c r="C154" s="351">
        <f>G138</f>
        <v>4755.7617702594362</v>
      </c>
      <c r="D154" s="351">
        <f>B154*C154</f>
        <v>0.10932785678757324</v>
      </c>
      <c r="E154" s="351">
        <f>G138</f>
        <v>4755.7617702594362</v>
      </c>
      <c r="F154" s="351">
        <f>B154*E154</f>
        <v>0.10932785678757324</v>
      </c>
      <c r="G154" s="351">
        <f>G138</f>
        <v>4755.7617702594362</v>
      </c>
      <c r="H154" s="351">
        <f>B154*G154</f>
        <v>0.10932785678757324</v>
      </c>
      <c r="I154" s="351">
        <f>G138</f>
        <v>4755.7617702594362</v>
      </c>
      <c r="J154" s="351">
        <f>B154*I154</f>
        <v>0.10932785678757324</v>
      </c>
      <c r="K154" s="351">
        <f>G138</f>
        <v>4755.7617702594362</v>
      </c>
      <c r="L154" s="351">
        <f>B154*K154</f>
        <v>0.10932785678757324</v>
      </c>
      <c r="AMH154"/>
    </row>
    <row r="155" spans="1:1022" x14ac:dyDescent="0.2">
      <c r="A155" s="353" t="s">
        <v>582</v>
      </c>
      <c r="B155" s="354"/>
      <c r="C155" s="355"/>
      <c r="D155" s="355">
        <f>SUM(D153:D154)</f>
        <v>3.0150122270923783</v>
      </c>
      <c r="E155" s="355"/>
      <c r="F155" s="355">
        <f>SUM(F153:F154)</f>
        <v>3.0314750280572782</v>
      </c>
      <c r="G155" s="355"/>
      <c r="H155" s="355">
        <f>SUM(H153:H154)</f>
        <v>3.0481254392895845</v>
      </c>
      <c r="I155" s="355"/>
      <c r="J155" s="355">
        <f>SUM(J153:J154)</f>
        <v>3.0820020684826912</v>
      </c>
      <c r="K155" s="355"/>
      <c r="L155" s="355">
        <f>SUM(L153:L154)</f>
        <v>3.1166688231380277</v>
      </c>
      <c r="AMH155"/>
    </row>
    <row r="156" spans="1:1022" x14ac:dyDescent="0.2">
      <c r="A156" s="317"/>
      <c r="B156" s="320"/>
      <c r="C156" s="320"/>
      <c r="D156" s="320"/>
      <c r="E156" s="320"/>
      <c r="F156"/>
      <c r="G156"/>
      <c r="H156"/>
      <c r="I156"/>
      <c r="J156"/>
      <c r="K156"/>
      <c r="L156"/>
      <c r="AMH156"/>
    </row>
    <row r="157" spans="1:1022" ht="14.25" customHeight="1" x14ac:dyDescent="0.2">
      <c r="A157" s="995" t="s">
        <v>583</v>
      </c>
      <c r="B157" s="995"/>
      <c r="C157" s="995" t="s">
        <v>566</v>
      </c>
      <c r="D157" s="995"/>
      <c r="E157" s="996" t="s">
        <v>567</v>
      </c>
      <c r="F157" s="997"/>
      <c r="G157" s="995" t="s">
        <v>568</v>
      </c>
      <c r="H157" s="995"/>
      <c r="I157" s="995" t="s">
        <v>569</v>
      </c>
      <c r="J157" s="995"/>
      <c r="K157" s="995" t="s">
        <v>570</v>
      </c>
      <c r="L157" s="995"/>
      <c r="AMH157"/>
    </row>
    <row r="158" spans="1:1022" ht="38.25" x14ac:dyDescent="0.2">
      <c r="A158" s="347" t="s">
        <v>571</v>
      </c>
      <c r="B158" s="348" t="s">
        <v>581</v>
      </c>
      <c r="C158" s="348" t="s">
        <v>573</v>
      </c>
      <c r="D158" s="348" t="s">
        <v>574</v>
      </c>
      <c r="E158" s="348" t="s">
        <v>573</v>
      </c>
      <c r="F158" s="348" t="s">
        <v>574</v>
      </c>
      <c r="G158" s="348" t="s">
        <v>573</v>
      </c>
      <c r="H158" s="348" t="s">
        <v>574</v>
      </c>
      <c r="I158" s="348" t="s">
        <v>573</v>
      </c>
      <c r="J158" s="348" t="s">
        <v>574</v>
      </c>
      <c r="K158" s="348" t="s">
        <v>573</v>
      </c>
      <c r="L158" s="348" t="s">
        <v>574</v>
      </c>
      <c r="AMH158"/>
    </row>
    <row r="159" spans="1:1022" x14ac:dyDescent="0.2">
      <c r="A159" s="349" t="s">
        <v>575</v>
      </c>
      <c r="B159" s="356">
        <f>1/'Prod. GEXLON'!E20</f>
        <v>1E-3</v>
      </c>
      <c r="C159" s="357">
        <f>C134</f>
        <v>4358.5265554572079</v>
      </c>
      <c r="D159" s="351">
        <f>B159*C159</f>
        <v>4.3585265554572077</v>
      </c>
      <c r="E159" s="351">
        <f>C135</f>
        <v>4383.2207569045577</v>
      </c>
      <c r="F159" s="351">
        <f>B159*E159</f>
        <v>4.3832207569045574</v>
      </c>
      <c r="G159" s="351">
        <f>C136</f>
        <v>4408.1963737530168</v>
      </c>
      <c r="H159" s="351">
        <f>B159*G159</f>
        <v>4.4081963737530172</v>
      </c>
      <c r="I159" s="351">
        <f>C137</f>
        <v>4459.0113175426768</v>
      </c>
      <c r="J159" s="351">
        <f>B159*I159</f>
        <v>4.4590113175426769</v>
      </c>
      <c r="K159" s="351">
        <f>C138</f>
        <v>4511.0114495256821</v>
      </c>
      <c r="L159" s="351">
        <f>B159*K159</f>
        <v>4.5110114495256823</v>
      </c>
      <c r="AMH159"/>
    </row>
    <row r="160" spans="1:1022" x14ac:dyDescent="0.2">
      <c r="A160" s="352" t="s">
        <v>576</v>
      </c>
      <c r="B160" s="350">
        <f>B159/'Prod. GEXLON'!P20</f>
        <v>3.4482758620689657E-5</v>
      </c>
      <c r="C160" s="351">
        <f>G138</f>
        <v>4755.7617702594362</v>
      </c>
      <c r="D160" s="351">
        <f>B160*C160</f>
        <v>0.16399178518135987</v>
      </c>
      <c r="E160" s="351">
        <f>G138</f>
        <v>4755.7617702594362</v>
      </c>
      <c r="F160" s="351">
        <f>B160*E160</f>
        <v>0.16399178518135987</v>
      </c>
      <c r="G160" s="351">
        <f>G138</f>
        <v>4755.7617702594362</v>
      </c>
      <c r="H160" s="351">
        <f>B160*G160</f>
        <v>0.16399178518135987</v>
      </c>
      <c r="I160" s="351">
        <f>G138</f>
        <v>4755.7617702594362</v>
      </c>
      <c r="J160" s="351">
        <f>B160*I160</f>
        <v>0.16399178518135987</v>
      </c>
      <c r="K160" s="351">
        <f>G138</f>
        <v>4755.7617702594362</v>
      </c>
      <c r="L160" s="351">
        <f>B160*K160</f>
        <v>0.16399178518135987</v>
      </c>
      <c r="AMH160"/>
    </row>
    <row r="161" spans="1:1022" x14ac:dyDescent="0.2">
      <c r="A161" s="353" t="s">
        <v>582</v>
      </c>
      <c r="B161" s="354"/>
      <c r="C161" s="355"/>
      <c r="D161" s="355">
        <f>SUM(D159:D160)</f>
        <v>4.5225183406385678</v>
      </c>
      <c r="E161" s="355"/>
      <c r="F161" s="355">
        <f>SUM(F159:F160)</f>
        <v>4.5472125420859175</v>
      </c>
      <c r="G161" s="355"/>
      <c r="H161" s="355">
        <f>SUM(H159:H160)</f>
        <v>4.5721881589343774</v>
      </c>
      <c r="I161" s="355"/>
      <c r="J161" s="355">
        <f>SUM(J159:J160)</f>
        <v>4.623003102724037</v>
      </c>
      <c r="K161" s="355"/>
      <c r="L161" s="355">
        <f>SUM(L159:L160)</f>
        <v>4.6750032347070425</v>
      </c>
      <c r="AMH161"/>
    </row>
    <row r="162" spans="1:1022" x14ac:dyDescent="0.2">
      <c r="A162" s="317"/>
      <c r="B162" s="320"/>
      <c r="C162" s="320"/>
      <c r="D162" s="320"/>
      <c r="E162" s="320"/>
      <c r="F162"/>
      <c r="G162"/>
      <c r="H162"/>
      <c r="I162"/>
      <c r="J162"/>
      <c r="K162"/>
      <c r="L162"/>
      <c r="AMH162"/>
    </row>
    <row r="163" spans="1:1022" ht="14.25" customHeight="1" x14ac:dyDescent="0.2">
      <c r="A163" s="995" t="s">
        <v>584</v>
      </c>
      <c r="B163" s="995"/>
      <c r="C163" s="995" t="s">
        <v>566</v>
      </c>
      <c r="D163" s="995"/>
      <c r="E163" s="996" t="s">
        <v>567</v>
      </c>
      <c r="F163" s="997"/>
      <c r="G163" s="995" t="s">
        <v>568</v>
      </c>
      <c r="H163" s="995"/>
      <c r="I163" s="995" t="s">
        <v>569</v>
      </c>
      <c r="J163" s="995"/>
      <c r="K163" s="995" t="s">
        <v>570</v>
      </c>
      <c r="L163" s="995"/>
      <c r="AMH163"/>
    </row>
    <row r="164" spans="1:1022" ht="38.25" x14ac:dyDescent="0.2">
      <c r="A164" s="347" t="s">
        <v>571</v>
      </c>
      <c r="B164" s="348" t="s">
        <v>581</v>
      </c>
      <c r="C164" s="348" t="s">
        <v>573</v>
      </c>
      <c r="D164" s="348" t="s">
        <v>574</v>
      </c>
      <c r="E164" s="348" t="s">
        <v>573</v>
      </c>
      <c r="F164" s="348" t="s">
        <v>574</v>
      </c>
      <c r="G164" s="348" t="s">
        <v>573</v>
      </c>
      <c r="H164" s="348" t="s">
        <v>574</v>
      </c>
      <c r="I164" s="348" t="s">
        <v>573</v>
      </c>
      <c r="J164" s="348" t="s">
        <v>574</v>
      </c>
      <c r="K164" s="348" t="s">
        <v>573</v>
      </c>
      <c r="L164" s="348" t="s">
        <v>574</v>
      </c>
      <c r="AMH164"/>
    </row>
    <row r="165" spans="1:1022" x14ac:dyDescent="0.2">
      <c r="A165" s="349" t="s">
        <v>575</v>
      </c>
      <c r="B165" s="356">
        <f>1/'Prod. GEXLON'!F20</f>
        <v>5.0000000000000001E-3</v>
      </c>
      <c r="C165" s="351">
        <f>C134</f>
        <v>4358.5265554572079</v>
      </c>
      <c r="D165" s="351">
        <f>B165*C165</f>
        <v>21.792632777286041</v>
      </c>
      <c r="E165" s="351">
        <f>C135</f>
        <v>4383.2207569045577</v>
      </c>
      <c r="F165" s="351">
        <f>B165*E165</f>
        <v>21.91610378452279</v>
      </c>
      <c r="G165" s="351">
        <f>C136</f>
        <v>4408.1963737530168</v>
      </c>
      <c r="H165" s="351">
        <f>B165*G165</f>
        <v>22.040981868765083</v>
      </c>
      <c r="I165" s="351">
        <f>C137</f>
        <v>4459.0113175426768</v>
      </c>
      <c r="J165" s="351">
        <f>B165*I165</f>
        <v>22.295056587713386</v>
      </c>
      <c r="K165" s="351">
        <f>C138</f>
        <v>4511.0114495256821</v>
      </c>
      <c r="L165" s="351">
        <f>B165*K165</f>
        <v>22.555057247628412</v>
      </c>
      <c r="AMH165"/>
    </row>
    <row r="166" spans="1:1022" x14ac:dyDescent="0.2">
      <c r="A166" s="352" t="s">
        <v>576</v>
      </c>
      <c r="B166" s="350">
        <f>B165/'Prod. GEXLON'!P20</f>
        <v>1.7241379310344829E-4</v>
      </c>
      <c r="C166" s="351">
        <f>G138</f>
        <v>4755.7617702594362</v>
      </c>
      <c r="D166" s="351">
        <f>C166*B166</f>
        <v>0.81995892590679942</v>
      </c>
      <c r="E166" s="351">
        <f>G138</f>
        <v>4755.7617702594362</v>
      </c>
      <c r="F166" s="351">
        <f>B166*E166</f>
        <v>0.81995892590679942</v>
      </c>
      <c r="G166" s="351">
        <f>G138</f>
        <v>4755.7617702594362</v>
      </c>
      <c r="H166" s="351">
        <f>B166*G166</f>
        <v>0.81995892590679942</v>
      </c>
      <c r="I166" s="351">
        <f>G138</f>
        <v>4755.7617702594362</v>
      </c>
      <c r="J166" s="351">
        <f>B166*I166</f>
        <v>0.81995892590679942</v>
      </c>
      <c r="K166" s="351">
        <f>G138</f>
        <v>4755.7617702594362</v>
      </c>
      <c r="L166" s="351">
        <f>B166*K166</f>
        <v>0.81995892590679942</v>
      </c>
      <c r="AMH166"/>
    </row>
    <row r="167" spans="1:1022" x14ac:dyDescent="0.2">
      <c r="A167" s="353" t="s">
        <v>582</v>
      </c>
      <c r="B167" s="354"/>
      <c r="C167" s="355"/>
      <c r="D167" s="355">
        <f>SUM(D165:D166)</f>
        <v>22.612591703192841</v>
      </c>
      <c r="E167" s="355"/>
      <c r="F167" s="355">
        <f>SUM(F165:F166)</f>
        <v>22.736062710429589</v>
      </c>
      <c r="G167" s="355"/>
      <c r="H167" s="355">
        <f>SUM(H165:H166)</f>
        <v>22.860940794671883</v>
      </c>
      <c r="I167" s="355"/>
      <c r="J167" s="355">
        <f>SUM(J165:J166)</f>
        <v>23.115015513620186</v>
      </c>
      <c r="K167" s="355"/>
      <c r="L167" s="355">
        <f>SUM(L165:L166)</f>
        <v>23.375016173535212</v>
      </c>
      <c r="AMH167"/>
    </row>
    <row r="168" spans="1:1022" x14ac:dyDescent="0.2">
      <c r="A168" s="317"/>
      <c r="B168" s="321"/>
      <c r="C168" s="321"/>
      <c r="D168" s="321"/>
      <c r="E168" s="321"/>
      <c r="AMH168"/>
    </row>
    <row r="169" spans="1:1022" ht="14.25" customHeight="1" x14ac:dyDescent="0.2">
      <c r="A169" s="989" t="s">
        <v>585</v>
      </c>
      <c r="B169" s="989"/>
      <c r="C169" s="989" t="s">
        <v>566</v>
      </c>
      <c r="D169" s="989"/>
      <c r="E169" s="993" t="s">
        <v>567</v>
      </c>
      <c r="F169" s="994"/>
      <c r="G169" s="989" t="s">
        <v>568</v>
      </c>
      <c r="H169" s="989"/>
      <c r="I169" s="989" t="s">
        <v>569</v>
      </c>
      <c r="J169" s="989"/>
      <c r="K169" s="989" t="s">
        <v>570</v>
      </c>
      <c r="L169" s="989"/>
      <c r="AMH169"/>
    </row>
    <row r="170" spans="1:1022" ht="38.25" x14ac:dyDescent="0.2">
      <c r="A170" s="347" t="s">
        <v>571</v>
      </c>
      <c r="B170" s="348" t="s">
        <v>581</v>
      </c>
      <c r="C170" s="348" t="s">
        <v>573</v>
      </c>
      <c r="D170" s="348" t="s">
        <v>574</v>
      </c>
      <c r="E170" s="348" t="s">
        <v>573</v>
      </c>
      <c r="F170" s="348" t="s">
        <v>574</v>
      </c>
      <c r="G170" s="348" t="s">
        <v>573</v>
      </c>
      <c r="H170" s="348" t="s">
        <v>574</v>
      </c>
      <c r="I170" s="348" t="s">
        <v>573</v>
      </c>
      <c r="J170" s="348" t="s">
        <v>574</v>
      </c>
      <c r="K170" s="348" t="s">
        <v>573</v>
      </c>
      <c r="L170" s="348" t="s">
        <v>574</v>
      </c>
      <c r="AMH170"/>
    </row>
    <row r="171" spans="1:1022" x14ac:dyDescent="0.2">
      <c r="A171" s="349" t="s">
        <v>586</v>
      </c>
      <c r="B171" s="356">
        <f>1/'Prod. GEXLON'!G20</f>
        <v>3.7037037037037035E-4</v>
      </c>
      <c r="C171" s="351">
        <f>C134</f>
        <v>4358.5265554572079</v>
      </c>
      <c r="D171" s="351">
        <f>B171*C171</f>
        <v>1.6142690946137805</v>
      </c>
      <c r="E171" s="351">
        <f>C135</f>
        <v>4383.2207569045577</v>
      </c>
      <c r="F171" s="351">
        <f>B171*E171</f>
        <v>1.6234150951498361</v>
      </c>
      <c r="G171" s="351">
        <f>C136</f>
        <v>4408.1963737530168</v>
      </c>
      <c r="H171" s="351">
        <f>B171*G171</f>
        <v>1.6326653236122284</v>
      </c>
      <c r="I171" s="351">
        <f>C137</f>
        <v>4459.0113175426768</v>
      </c>
      <c r="J171" s="351">
        <f>B171*I171</f>
        <v>1.6514856731639542</v>
      </c>
      <c r="K171" s="351">
        <f>C138</f>
        <v>4511.0114495256821</v>
      </c>
      <c r="L171" s="351">
        <f>B171*K171</f>
        <v>1.6707449813058082</v>
      </c>
      <c r="AMH171"/>
    </row>
    <row r="172" spans="1:1022" x14ac:dyDescent="0.2">
      <c r="A172" s="352" t="s">
        <v>576</v>
      </c>
      <c r="B172" s="350">
        <f>B171/'Prod. GEXLON'!P20</f>
        <v>1.2771392081736908E-5</v>
      </c>
      <c r="C172" s="351">
        <f>G138</f>
        <v>4755.7617702594362</v>
      </c>
      <c r="D172" s="351">
        <f>B172*C172</f>
        <v>6.0737698215318464E-2</v>
      </c>
      <c r="E172" s="351">
        <f>G138</f>
        <v>4755.7617702594362</v>
      </c>
      <c r="F172" s="351">
        <f>B172*E172</f>
        <v>6.0737698215318464E-2</v>
      </c>
      <c r="G172" s="351">
        <f>G138</f>
        <v>4755.7617702594362</v>
      </c>
      <c r="H172" s="351">
        <f>B172*G172</f>
        <v>6.0737698215318464E-2</v>
      </c>
      <c r="I172" s="351">
        <f>G138</f>
        <v>4755.7617702594362</v>
      </c>
      <c r="J172" s="351">
        <f>B172*I172</f>
        <v>6.0737698215318464E-2</v>
      </c>
      <c r="K172" s="351">
        <f>G138</f>
        <v>4755.7617702594362</v>
      </c>
      <c r="L172" s="351">
        <f>B172*K172</f>
        <v>6.0737698215318464E-2</v>
      </c>
      <c r="M172" s="987"/>
      <c r="N172" s="988"/>
      <c r="AMH172"/>
    </row>
    <row r="173" spans="1:1022" x14ac:dyDescent="0.2">
      <c r="A173" s="358" t="s">
        <v>587</v>
      </c>
      <c r="B173" s="359"/>
      <c r="C173" s="360"/>
      <c r="D173" s="361">
        <f>SUM(D171:D172)</f>
        <v>1.675006792829099</v>
      </c>
      <c r="E173" s="360"/>
      <c r="F173" s="361">
        <f>SUM(F171:F172)</f>
        <v>1.6841527933651546</v>
      </c>
      <c r="G173" s="360"/>
      <c r="H173" s="361">
        <f>SUM(H171:H172)</f>
        <v>1.6934030218275469</v>
      </c>
      <c r="I173" s="360"/>
      <c r="J173" s="361">
        <f>SUM(J171:J172)</f>
        <v>1.7122233713792727</v>
      </c>
      <c r="K173" s="360"/>
      <c r="L173" s="361">
        <f>SUM(L171:L172)</f>
        <v>1.7314826795211267</v>
      </c>
      <c r="M173" s="515"/>
      <c r="N173" s="516"/>
      <c r="AMH173"/>
    </row>
    <row r="174" spans="1:1022" x14ac:dyDescent="0.2">
      <c r="A174" s="349" t="s">
        <v>588</v>
      </c>
      <c r="B174" s="356">
        <f>1/'Prod. GEXLON'!H20</f>
        <v>1.0000000000000001E-5</v>
      </c>
      <c r="C174" s="351">
        <f>C134</f>
        <v>4358.5265554572079</v>
      </c>
      <c r="D174" s="351">
        <f>B174*C174</f>
        <v>4.3585265554572081E-2</v>
      </c>
      <c r="E174" s="351">
        <f>C135</f>
        <v>4383.2207569045577</v>
      </c>
      <c r="F174" s="351">
        <f>B174*E174</f>
        <v>4.383220756904558E-2</v>
      </c>
      <c r="G174" s="351">
        <f>C136</f>
        <v>4408.1963737530168</v>
      </c>
      <c r="H174" s="351">
        <f>B174*G174</f>
        <v>4.4081963737530171E-2</v>
      </c>
      <c r="I174" s="351">
        <f>C137</f>
        <v>4459.0113175426768</v>
      </c>
      <c r="J174" s="351">
        <f>B174*I174</f>
        <v>4.4590113175426771E-2</v>
      </c>
      <c r="K174" s="351">
        <f>C138</f>
        <v>4511.0114495256821</v>
      </c>
      <c r="L174" s="351">
        <f>B174*K174</f>
        <v>4.5110114495256821E-2</v>
      </c>
      <c r="AMH174"/>
    </row>
    <row r="175" spans="1:1022" x14ac:dyDescent="0.2">
      <c r="A175" s="352" t="s">
        <v>576</v>
      </c>
      <c r="B175" s="350">
        <f>B174/'Prod. GEXLON'!P20</f>
        <v>3.4482758620689656E-7</v>
      </c>
      <c r="C175" s="351">
        <f>G138</f>
        <v>4755.7617702594362</v>
      </c>
      <c r="D175" s="351">
        <f>B175*C175</f>
        <v>1.6399178518135987E-3</v>
      </c>
      <c r="E175" s="351">
        <f>G138</f>
        <v>4755.7617702594362</v>
      </c>
      <c r="F175" s="351">
        <f>B175*E175</f>
        <v>1.6399178518135987E-3</v>
      </c>
      <c r="G175" s="351">
        <f>G138</f>
        <v>4755.7617702594362</v>
      </c>
      <c r="H175" s="351">
        <f>B175*G175</f>
        <v>1.6399178518135987E-3</v>
      </c>
      <c r="I175" s="351">
        <f>G138</f>
        <v>4755.7617702594362</v>
      </c>
      <c r="J175" s="351">
        <f>B175*I175</f>
        <v>1.6399178518135987E-3</v>
      </c>
      <c r="K175" s="351">
        <f>G138</f>
        <v>4755.7617702594362</v>
      </c>
      <c r="L175" s="351">
        <f>B175*K175</f>
        <v>1.6399178518135987E-3</v>
      </c>
      <c r="AMH175"/>
    </row>
    <row r="176" spans="1:1022" x14ac:dyDescent="0.2">
      <c r="A176" s="358" t="s">
        <v>589</v>
      </c>
      <c r="B176" s="362"/>
      <c r="C176" s="360"/>
      <c r="D176" s="361">
        <f>SUM(D174:D175)</f>
        <v>4.5225183406385677E-2</v>
      </c>
      <c r="E176" s="360"/>
      <c r="F176" s="361">
        <f>SUM(F174:F175)</f>
        <v>4.5472125420859176E-2</v>
      </c>
      <c r="G176" s="360"/>
      <c r="H176" s="361">
        <f>SUM(H174:H175)</f>
        <v>4.5721881589343767E-2</v>
      </c>
      <c r="I176" s="360"/>
      <c r="J176" s="361">
        <f>SUM(J174:J175)</f>
        <v>4.6230031027240368E-2</v>
      </c>
      <c r="K176" s="360"/>
      <c r="L176" s="361">
        <f>SUM(L174:L175)</f>
        <v>4.6750032347070418E-2</v>
      </c>
      <c r="AMH176"/>
    </row>
    <row r="177" spans="1:1022" x14ac:dyDescent="0.2">
      <c r="A177" s="349" t="s">
        <v>590</v>
      </c>
      <c r="B177" s="356">
        <f>1/'Prod. GEXLON'!I20</f>
        <v>1.1111111111111112E-4</v>
      </c>
      <c r="C177" s="351">
        <f>C134</f>
        <v>4358.5265554572079</v>
      </c>
      <c r="D177" s="351">
        <f>B177*C177</f>
        <v>0.48428072838413422</v>
      </c>
      <c r="E177" s="351">
        <f>C135</f>
        <v>4383.2207569045577</v>
      </c>
      <c r="F177" s="351">
        <f>B177*E177</f>
        <v>0.48702452854495087</v>
      </c>
      <c r="G177" s="351">
        <f>C136</f>
        <v>4408.1963737530168</v>
      </c>
      <c r="H177" s="351">
        <f>B177*G177</f>
        <v>0.48979959708366855</v>
      </c>
      <c r="I177" s="351">
        <f>C137</f>
        <v>4459.0113175426768</v>
      </c>
      <c r="J177" s="351">
        <f>B177*I177</f>
        <v>0.49544570194918636</v>
      </c>
      <c r="K177" s="351">
        <f>C138</f>
        <v>4511.0114495256821</v>
      </c>
      <c r="L177" s="351">
        <f>B177*K177</f>
        <v>0.50122349439174252</v>
      </c>
      <c r="AMH177"/>
    </row>
    <row r="178" spans="1:1022" x14ac:dyDescent="0.2">
      <c r="A178" s="352" t="s">
        <v>576</v>
      </c>
      <c r="B178" s="350">
        <f>B177/'Prod. GEXLON'!P20</f>
        <v>3.8314176245210733E-6</v>
      </c>
      <c r="C178" s="351">
        <f>G138</f>
        <v>4755.7617702594362</v>
      </c>
      <c r="D178" s="351">
        <f>B178*C178</f>
        <v>1.8221309464595544E-2</v>
      </c>
      <c r="E178" s="351">
        <f>G138</f>
        <v>4755.7617702594362</v>
      </c>
      <c r="F178" s="351">
        <f>B178*E178</f>
        <v>1.8221309464595544E-2</v>
      </c>
      <c r="G178" s="351">
        <f>G138</f>
        <v>4755.7617702594362</v>
      </c>
      <c r="H178" s="351">
        <f>B178*G178</f>
        <v>1.8221309464595544E-2</v>
      </c>
      <c r="I178" s="351">
        <f>G138</f>
        <v>4755.7617702594362</v>
      </c>
      <c r="J178" s="351">
        <f>B178*I178</f>
        <v>1.8221309464595544E-2</v>
      </c>
      <c r="K178" s="351">
        <f>G138</f>
        <v>4755.7617702594362</v>
      </c>
      <c r="L178" s="351">
        <f>B178*K178</f>
        <v>1.8221309464595544E-2</v>
      </c>
      <c r="AMH178"/>
    </row>
    <row r="179" spans="1:1022" x14ac:dyDescent="0.2">
      <c r="A179" s="358" t="s">
        <v>591</v>
      </c>
      <c r="B179" s="362"/>
      <c r="C179" s="360"/>
      <c r="D179" s="361">
        <f>SUM(D177:D178)</f>
        <v>0.50250203784872971</v>
      </c>
      <c r="E179" s="360"/>
      <c r="F179" s="361">
        <f>SUM(F177:F178)</f>
        <v>0.50524583800954637</v>
      </c>
      <c r="G179" s="360"/>
      <c r="H179" s="361">
        <f>SUM(H177:H178)</f>
        <v>0.50802090654826404</v>
      </c>
      <c r="I179" s="360"/>
      <c r="J179" s="361">
        <f>SUM(J177:J178)</f>
        <v>0.5136670114137819</v>
      </c>
      <c r="K179" s="360"/>
      <c r="L179" s="361">
        <f>SUM(L177:L178)</f>
        <v>0.51944480385633807</v>
      </c>
      <c r="AMH179"/>
    </row>
    <row r="180" spans="1:1022" x14ac:dyDescent="0.2">
      <c r="A180" s="317"/>
      <c r="B180" s="320"/>
      <c r="C180" s="320"/>
      <c r="D180" s="320"/>
      <c r="E180" s="320"/>
      <c r="AMH180"/>
    </row>
    <row r="181" spans="1:1022" ht="14.25" customHeight="1" x14ac:dyDescent="0.2">
      <c r="A181" s="992" t="s">
        <v>592</v>
      </c>
      <c r="B181" s="992"/>
      <c r="C181" s="992" t="s">
        <v>566</v>
      </c>
      <c r="D181" s="992"/>
      <c r="E181" s="990" t="s">
        <v>567</v>
      </c>
      <c r="F181" s="991"/>
      <c r="G181" s="992" t="s">
        <v>568</v>
      </c>
      <c r="H181" s="992"/>
      <c r="I181" s="992" t="s">
        <v>569</v>
      </c>
      <c r="J181" s="992"/>
      <c r="K181" s="992" t="s">
        <v>570</v>
      </c>
      <c r="L181" s="992"/>
      <c r="AMH181"/>
    </row>
    <row r="182" spans="1:1022" ht="38.25" x14ac:dyDescent="0.2">
      <c r="A182" s="347" t="s">
        <v>571</v>
      </c>
      <c r="B182" s="348" t="s">
        <v>581</v>
      </c>
      <c r="C182" s="348" t="s">
        <v>573</v>
      </c>
      <c r="D182" s="348" t="s">
        <v>574</v>
      </c>
      <c r="E182" s="348" t="s">
        <v>573</v>
      </c>
      <c r="F182" s="348" t="s">
        <v>574</v>
      </c>
      <c r="G182" s="348" t="s">
        <v>573</v>
      </c>
      <c r="H182" s="348" t="s">
        <v>574</v>
      </c>
      <c r="I182" s="348" t="s">
        <v>573</v>
      </c>
      <c r="J182" s="348" t="s">
        <v>574</v>
      </c>
      <c r="K182" s="348" t="s">
        <v>573</v>
      </c>
      <c r="L182" s="348" t="s">
        <v>574</v>
      </c>
      <c r="AMH182"/>
    </row>
    <row r="183" spans="1:1022" x14ac:dyDescent="0.2">
      <c r="A183" s="363" t="s">
        <v>593</v>
      </c>
      <c r="B183" s="356">
        <f>(1/'Prod. GEXLON'!J20)*(1/(30/7*44*6))*8</f>
        <v>4.4191919191919199E-5</v>
      </c>
      <c r="C183" s="788">
        <f>F134</f>
        <v>5222.5118934828188</v>
      </c>
      <c r="D183" s="351">
        <f>B183*C183</f>
        <v>0.23079282357562966</v>
      </c>
      <c r="E183" s="788">
        <f>F135</f>
        <v>5252.1011959954685</v>
      </c>
      <c r="F183" s="351">
        <f>B183*E183</f>
        <v>0.23210043164121391</v>
      </c>
      <c r="G183" s="788">
        <f>F136</f>
        <v>5282.0276985367536</v>
      </c>
      <c r="H183" s="351">
        <f>B183*G183</f>
        <v>0.23342294122321516</v>
      </c>
      <c r="I183" s="788">
        <f>F137</f>
        <v>5342.9156258974081</v>
      </c>
      <c r="J183" s="351">
        <f>B183*I183</f>
        <v>0.23611369558890064</v>
      </c>
      <c r="K183" s="788">
        <f>F138</f>
        <v>5405.2236798437334</v>
      </c>
      <c r="L183" s="351">
        <f>B183*K183</f>
        <v>0.23886720807390241</v>
      </c>
      <c r="AMH183"/>
    </row>
    <row r="184" spans="1:1022" x14ac:dyDescent="0.2">
      <c r="A184" s="352" t="s">
        <v>576</v>
      </c>
      <c r="B184" s="356">
        <f>B183/4</f>
        <v>1.10479797979798E-5</v>
      </c>
      <c r="C184" s="351">
        <f>G138</f>
        <v>4755.7617702594362</v>
      </c>
      <c r="D184" s="351">
        <f>B184*C184</f>
        <v>5.2541559961830901E-2</v>
      </c>
      <c r="E184" s="351">
        <f>G138</f>
        <v>4755.7617702594362</v>
      </c>
      <c r="F184" s="351">
        <f>B184*E184</f>
        <v>5.2541559961830901E-2</v>
      </c>
      <c r="G184" s="351">
        <f>G138</f>
        <v>4755.7617702594362</v>
      </c>
      <c r="H184" s="351">
        <f>B184*G184</f>
        <v>5.2541559961830901E-2</v>
      </c>
      <c r="I184" s="789">
        <f>G138</f>
        <v>4755.7617702594362</v>
      </c>
      <c r="J184" s="351">
        <f>B184*I184</f>
        <v>5.2541559961830901E-2</v>
      </c>
      <c r="K184" s="351">
        <f>G138</f>
        <v>4755.7617702594362</v>
      </c>
      <c r="L184" s="351">
        <f>B184*K184</f>
        <v>5.2541559961830901E-2</v>
      </c>
      <c r="M184" s="987"/>
      <c r="N184" s="988"/>
      <c r="AMH184"/>
    </row>
    <row r="185" spans="1:1022" ht="15.75" customHeight="1" x14ac:dyDescent="0.2">
      <c r="A185" s="364" t="s">
        <v>594</v>
      </c>
      <c r="B185" s="365"/>
      <c r="C185" s="366"/>
      <c r="D185" s="367">
        <f>SUM(D183:D184)</f>
        <v>0.28333438353746054</v>
      </c>
      <c r="E185" s="366"/>
      <c r="F185" s="367">
        <f>SUM(F183:F184)</f>
        <v>0.28464199160304482</v>
      </c>
      <c r="G185" s="366"/>
      <c r="H185" s="367">
        <f>SUM(H183:H184)</f>
        <v>0.28596450118504607</v>
      </c>
      <c r="I185" s="366"/>
      <c r="J185" s="367">
        <f>SUM(J183:J184)</f>
        <v>0.28865525555073152</v>
      </c>
      <c r="K185" s="366"/>
      <c r="L185" s="367">
        <f>SUM(L183:L184)</f>
        <v>0.29140876803573329</v>
      </c>
      <c r="M185" s="515"/>
      <c r="N185" s="516"/>
      <c r="AMH185"/>
    </row>
    <row r="186" spans="1:1022" x14ac:dyDescent="0.2">
      <c r="A186" s="363" t="s">
        <v>595</v>
      </c>
      <c r="B186" s="356">
        <f>1/'Prod. GEXLON'!K20*16*(1/188.76)</f>
        <v>2.2306242401936183E-4</v>
      </c>
      <c r="C186" s="351">
        <f>C134</f>
        <v>4358.5265554572079</v>
      </c>
      <c r="D186" s="351">
        <f>B186*C186</f>
        <v>0.97222349861304425</v>
      </c>
      <c r="E186" s="351">
        <f>C135</f>
        <v>4383.2207569045577</v>
      </c>
      <c r="F186" s="351">
        <f>B186*E186</f>
        <v>0.97773184704711258</v>
      </c>
      <c r="G186" s="351">
        <f>C136</f>
        <v>4408.1963737530168</v>
      </c>
      <c r="H186" s="351">
        <f>B186*G186</f>
        <v>0.98330296868270861</v>
      </c>
      <c r="I186" s="351">
        <f>C137</f>
        <v>4459.0113175426768</v>
      </c>
      <c r="J186" s="351">
        <f>B186*I186</f>
        <v>0.99463787322083785</v>
      </c>
      <c r="K186" s="351">
        <f>C138</f>
        <v>4511.0114495256821</v>
      </c>
      <c r="L186" s="351">
        <f>B186*K186</f>
        <v>1.0062371487102937</v>
      </c>
      <c r="AMH186"/>
    </row>
    <row r="187" spans="1:1022" x14ac:dyDescent="0.2">
      <c r="A187" s="352" t="s">
        <v>576</v>
      </c>
      <c r="B187" s="356">
        <f>1/('Prod. GEXLON'!P20*'Prod. GEXLON'!K20)*16*(1/188.76)</f>
        <v>7.6918077248055803E-6</v>
      </c>
      <c r="C187" s="351">
        <f>G138</f>
        <v>4755.7617702594362</v>
      </c>
      <c r="D187" s="351">
        <f>B187*C187</f>
        <v>3.6580405121816595E-2</v>
      </c>
      <c r="E187" s="351">
        <f>G138</f>
        <v>4755.7617702594362</v>
      </c>
      <c r="F187" s="351">
        <f>B187*E187</f>
        <v>3.6580405121816595E-2</v>
      </c>
      <c r="G187" s="351">
        <f>G138</f>
        <v>4755.7617702594362</v>
      </c>
      <c r="H187" s="351">
        <f>B187*G187</f>
        <v>3.6580405121816595E-2</v>
      </c>
      <c r="I187" s="351">
        <f>G138</f>
        <v>4755.7617702594362</v>
      </c>
      <c r="J187" s="351">
        <f>B187*I187</f>
        <v>3.6580405121816595E-2</v>
      </c>
      <c r="K187" s="351">
        <f>G138</f>
        <v>4755.7617702594362</v>
      </c>
      <c r="L187" s="351">
        <f>B187*K187</f>
        <v>3.6580405121816595E-2</v>
      </c>
      <c r="M187" s="987"/>
      <c r="N187" s="988"/>
      <c r="AMH187"/>
    </row>
    <row r="188" spans="1:1022" x14ac:dyDescent="0.2">
      <c r="A188" s="364" t="s">
        <v>596</v>
      </c>
      <c r="B188" s="365"/>
      <c r="C188" s="366"/>
      <c r="D188" s="367">
        <f>SUM(D186:D187)</f>
        <v>1.0088039037348608</v>
      </c>
      <c r="E188" s="366"/>
      <c r="F188" s="367">
        <f>SUM(F186:F187)</f>
        <v>1.0143122521689292</v>
      </c>
      <c r="G188" s="366"/>
      <c r="H188" s="367">
        <f>SUM(H186:H187)</f>
        <v>1.0198833738045252</v>
      </c>
      <c r="I188" s="366"/>
      <c r="J188" s="367">
        <f>SUM(J186:J187)</f>
        <v>1.0312182783426544</v>
      </c>
      <c r="K188" s="366"/>
      <c r="L188" s="367">
        <f>SUM(L186:L187)</f>
        <v>1.0428175538321103</v>
      </c>
      <c r="M188" s="515"/>
      <c r="N188" s="516"/>
      <c r="AMH188"/>
    </row>
    <row r="189" spans="1:1022" x14ac:dyDescent="0.2">
      <c r="A189" s="349" t="s">
        <v>597</v>
      </c>
      <c r="B189" s="356">
        <f>1/'Prod. GEXLON'!L20*16*(1/188.76)</f>
        <v>2.2306242401936183E-4</v>
      </c>
      <c r="C189" s="351">
        <f>C134</f>
        <v>4358.5265554572079</v>
      </c>
      <c r="D189" s="351">
        <f>B189*C189</f>
        <v>0.97222349861304425</v>
      </c>
      <c r="E189" s="351">
        <f>C135</f>
        <v>4383.2207569045577</v>
      </c>
      <c r="F189" s="351">
        <f>B189*E189</f>
        <v>0.97773184704711258</v>
      </c>
      <c r="G189" s="351">
        <f>C136</f>
        <v>4408.1963737530168</v>
      </c>
      <c r="H189" s="351">
        <f>B189*G189</f>
        <v>0.98330296868270861</v>
      </c>
      <c r="I189" s="351">
        <f>C137</f>
        <v>4459.0113175426768</v>
      </c>
      <c r="J189" s="351">
        <f>B189*I189</f>
        <v>0.99463787322083785</v>
      </c>
      <c r="K189" s="351">
        <f>C138</f>
        <v>4511.0114495256821</v>
      </c>
      <c r="L189" s="351">
        <f>B189*K189</f>
        <v>1.0062371487102937</v>
      </c>
      <c r="AMH189"/>
    </row>
    <row r="190" spans="1:1022" x14ac:dyDescent="0.2">
      <c r="A190" s="352" t="s">
        <v>576</v>
      </c>
      <c r="B190" s="356">
        <f>1/('Prod. GEXLON'!P20*'Prod. GEXLON'!L20)*16*(1/188.76)</f>
        <v>7.6918077248055803E-6</v>
      </c>
      <c r="C190" s="351">
        <f>G138</f>
        <v>4755.7617702594362</v>
      </c>
      <c r="D190" s="351">
        <f>B190*C190</f>
        <v>3.6580405121816595E-2</v>
      </c>
      <c r="E190" s="351">
        <f>G138</f>
        <v>4755.7617702594362</v>
      </c>
      <c r="F190" s="351">
        <f>B190*E190</f>
        <v>3.6580405121816595E-2</v>
      </c>
      <c r="G190" s="351">
        <f>G138</f>
        <v>4755.7617702594362</v>
      </c>
      <c r="H190" s="351">
        <f>B190*G190</f>
        <v>3.6580405121816595E-2</v>
      </c>
      <c r="I190" s="351">
        <f>G138</f>
        <v>4755.7617702594362</v>
      </c>
      <c r="J190" s="351">
        <f>B190*I190</f>
        <v>3.6580405121816595E-2</v>
      </c>
      <c r="K190" s="351">
        <f>G138</f>
        <v>4755.7617702594362</v>
      </c>
      <c r="L190" s="351">
        <f>B190*K190</f>
        <v>3.6580405121816595E-2</v>
      </c>
      <c r="M190" s="987"/>
      <c r="N190" s="988"/>
      <c r="AMH190"/>
    </row>
    <row r="191" spans="1:1022" x14ac:dyDescent="0.2">
      <c r="A191" s="364" t="s">
        <v>598</v>
      </c>
      <c r="B191" s="365"/>
      <c r="C191" s="366"/>
      <c r="D191" s="367">
        <f>SUM(D189:D190)</f>
        <v>1.0088039037348608</v>
      </c>
      <c r="E191" s="366"/>
      <c r="F191" s="367">
        <f>SUM(F189:F190)</f>
        <v>1.0143122521689292</v>
      </c>
      <c r="G191" s="366"/>
      <c r="H191" s="367">
        <f>SUM(H189:H190)</f>
        <v>1.0198833738045252</v>
      </c>
      <c r="I191" s="366"/>
      <c r="J191" s="367">
        <f>SUM(J189:J190)</f>
        <v>1.0312182783426544</v>
      </c>
      <c r="K191" s="366"/>
      <c r="L191" s="367">
        <f>SUM(L189:L190)</f>
        <v>1.0428175538321103</v>
      </c>
      <c r="M191" s="515"/>
      <c r="N191" s="516"/>
      <c r="AMH191"/>
    </row>
    <row r="192" spans="1:1022" x14ac:dyDescent="0.2">
      <c r="A192" s="316"/>
    </row>
  </sheetData>
  <mergeCells count="68">
    <mergeCell ref="A21:G21"/>
    <mergeCell ref="A1:G1"/>
    <mergeCell ref="A2:G2"/>
    <mergeCell ref="A3:G3"/>
    <mergeCell ref="A9:G9"/>
    <mergeCell ref="A20:B20"/>
    <mergeCell ref="A124:B124"/>
    <mergeCell ref="A50:B50"/>
    <mergeCell ref="A51:G51"/>
    <mergeCell ref="A61:B61"/>
    <mergeCell ref="A62:G62"/>
    <mergeCell ref="A92:B92"/>
    <mergeCell ref="A112:A116"/>
    <mergeCell ref="A119:G119"/>
    <mergeCell ref="A120:G120"/>
    <mergeCell ref="A121:B121"/>
    <mergeCell ref="A122:B122"/>
    <mergeCell ref="A123:B123"/>
    <mergeCell ref="E145:F145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45:B145"/>
    <mergeCell ref="C145:D145"/>
    <mergeCell ref="A151:B151"/>
    <mergeCell ref="C151:D151"/>
    <mergeCell ref="E151:F151"/>
    <mergeCell ref="G151:H151"/>
    <mergeCell ref="I151:J151"/>
    <mergeCell ref="K157:L157"/>
    <mergeCell ref="G145:H145"/>
    <mergeCell ref="I145:J145"/>
    <mergeCell ref="K145:L145"/>
    <mergeCell ref="M148:N148"/>
    <mergeCell ref="K151:L151"/>
    <mergeCell ref="A157:B157"/>
    <mergeCell ref="C157:D157"/>
    <mergeCell ref="E157:F157"/>
    <mergeCell ref="G157:H157"/>
    <mergeCell ref="I157:J157"/>
    <mergeCell ref="K169:L169"/>
    <mergeCell ref="A163:B163"/>
    <mergeCell ref="C163:D163"/>
    <mergeCell ref="E163:F163"/>
    <mergeCell ref="G163:H163"/>
    <mergeCell ref="I163:J163"/>
    <mergeCell ref="K163:L163"/>
    <mergeCell ref="A169:B169"/>
    <mergeCell ref="C169:D169"/>
    <mergeCell ref="E169:F169"/>
    <mergeCell ref="G169:H169"/>
    <mergeCell ref="I169:J169"/>
    <mergeCell ref="M184:N184"/>
    <mergeCell ref="M187:N187"/>
    <mergeCell ref="M190:N190"/>
    <mergeCell ref="M172:N172"/>
    <mergeCell ref="A181:B181"/>
    <mergeCell ref="C181:D181"/>
    <mergeCell ref="E181:F181"/>
    <mergeCell ref="G181:H181"/>
    <mergeCell ref="I181:J181"/>
    <mergeCell ref="K181:L181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CFD6"/>
  </sheetPr>
  <dimension ref="A1:ALZ144"/>
  <sheetViews>
    <sheetView topLeftCell="A70" zoomScale="80" zoomScaleNormal="80" workbookViewId="0">
      <selection activeCell="AB40" sqref="AB40"/>
    </sheetView>
  </sheetViews>
  <sheetFormatPr defaultRowHeight="14.25" x14ac:dyDescent="0.2"/>
  <cols>
    <col min="1" max="1" width="55.5" style="84" customWidth="1"/>
    <col min="2" max="2" width="17" style="84" customWidth="1"/>
    <col min="3" max="3" width="15.25" style="84" customWidth="1"/>
    <col min="4" max="4" width="16.25" style="84" customWidth="1"/>
    <col min="5" max="1014" width="9" style="84"/>
  </cols>
  <sheetData>
    <row r="1" spans="1:4" ht="15.75" x14ac:dyDescent="0.2">
      <c r="A1" s="1030" t="s">
        <v>452</v>
      </c>
      <c r="B1" s="1031"/>
      <c r="C1" s="1031"/>
      <c r="D1" s="1032"/>
    </row>
    <row r="2" spans="1:4" ht="15.75" x14ac:dyDescent="0.2">
      <c r="A2" s="1033" t="s">
        <v>453</v>
      </c>
      <c r="B2" s="1014"/>
      <c r="C2" s="1014"/>
      <c r="D2" s="1034"/>
    </row>
    <row r="3" spans="1:4" ht="15.75" customHeight="1" x14ac:dyDescent="0.2">
      <c r="A3" s="1033" t="s">
        <v>454</v>
      </c>
      <c r="B3" s="1014"/>
      <c r="C3" s="1014"/>
      <c r="D3" s="1034"/>
    </row>
    <row r="4" spans="1:4" ht="15.75" x14ac:dyDescent="0.2">
      <c r="A4" s="433"/>
      <c r="B4" s="86"/>
      <c r="C4" s="87" t="s">
        <v>455</v>
      </c>
      <c r="D4" s="434" t="s">
        <v>456</v>
      </c>
    </row>
    <row r="5" spans="1:4" x14ac:dyDescent="0.2">
      <c r="A5" s="435"/>
      <c r="B5" s="89" t="s">
        <v>459</v>
      </c>
      <c r="C5" s="90">
        <f>MC!D11</f>
        <v>1315.3636363636363</v>
      </c>
      <c r="D5" s="436">
        <f>MC!E11</f>
        <v>986.52272727272725</v>
      </c>
    </row>
    <row r="6" spans="1:4" x14ac:dyDescent="0.2">
      <c r="A6" s="435"/>
      <c r="B6" s="89" t="s">
        <v>460</v>
      </c>
      <c r="C6" s="91">
        <f>MC!D8</f>
        <v>44593</v>
      </c>
      <c r="D6" s="437">
        <f>MC!D8</f>
        <v>44593</v>
      </c>
    </row>
    <row r="7" spans="1:4" x14ac:dyDescent="0.2">
      <c r="A7" s="435"/>
      <c r="B7" s="89" t="s">
        <v>461</v>
      </c>
      <c r="C7" s="91" t="str">
        <f>MC!C8</f>
        <v>PR000321/2022</v>
      </c>
      <c r="D7" s="437" t="str">
        <f>MC!C8</f>
        <v>PR000321/2022</v>
      </c>
    </row>
    <row r="8" spans="1:4" x14ac:dyDescent="0.2">
      <c r="A8" s="435"/>
      <c r="B8" s="89" t="s">
        <v>462</v>
      </c>
      <c r="C8" s="92" t="str">
        <f>MC!E8</f>
        <v>5143-20</v>
      </c>
      <c r="D8" s="438" t="str">
        <f>MC!E8</f>
        <v>5143-20</v>
      </c>
    </row>
    <row r="9" spans="1:4" x14ac:dyDescent="0.2">
      <c r="A9" s="1035"/>
      <c r="B9" s="1015"/>
      <c r="C9" s="1015"/>
      <c r="D9" s="1036"/>
    </row>
    <row r="10" spans="1:4" ht="66.75" customHeight="1" x14ac:dyDescent="0.2">
      <c r="A10" s="439" t="s">
        <v>463</v>
      </c>
      <c r="B10" s="245" t="s">
        <v>464</v>
      </c>
      <c r="C10" s="245" t="s">
        <v>599</v>
      </c>
      <c r="D10" s="440" t="s">
        <v>600</v>
      </c>
    </row>
    <row r="11" spans="1:4" ht="14.25" customHeight="1" x14ac:dyDescent="0.2">
      <c r="A11" s="441" t="s">
        <v>469</v>
      </c>
      <c r="B11" s="395"/>
      <c r="C11" s="395"/>
      <c r="D11" s="442"/>
    </row>
    <row r="12" spans="1:4" ht="14.25" customHeight="1" x14ac:dyDescent="0.2">
      <c r="A12" s="443" t="s">
        <v>470</v>
      </c>
      <c r="B12" s="94" t="s">
        <v>471</v>
      </c>
      <c r="C12" s="94" t="s">
        <v>472</v>
      </c>
      <c r="D12" s="444" t="s">
        <v>472</v>
      </c>
    </row>
    <row r="13" spans="1:4" ht="14.25" customHeight="1" x14ac:dyDescent="0.2">
      <c r="A13" s="445" t="s">
        <v>473</v>
      </c>
      <c r="B13" s="97"/>
      <c r="C13" s="98">
        <f>C5</f>
        <v>1315.3636363636363</v>
      </c>
      <c r="D13" s="446">
        <f>D5</f>
        <v>986.52272727272725</v>
      </c>
    </row>
    <row r="14" spans="1:4" ht="14.25" customHeight="1" x14ac:dyDescent="0.2">
      <c r="A14" s="445" t="s">
        <v>474</v>
      </c>
      <c r="B14" s="100">
        <v>0</v>
      </c>
      <c r="C14" s="98">
        <f>C13*$B$14</f>
        <v>0</v>
      </c>
      <c r="D14" s="446">
        <f>D13*$B$14</f>
        <v>0</v>
      </c>
    </row>
    <row r="15" spans="1:4" ht="14.25" customHeight="1" x14ac:dyDescent="0.2">
      <c r="A15" s="445" t="s">
        <v>475</v>
      </c>
      <c r="B15" s="101"/>
      <c r="C15" s="98"/>
      <c r="D15" s="446"/>
    </row>
    <row r="16" spans="1:4" ht="14.25" customHeight="1" x14ac:dyDescent="0.2">
      <c r="A16" s="445" t="s">
        <v>476</v>
      </c>
      <c r="B16" s="101"/>
      <c r="C16" s="98"/>
      <c r="D16" s="446"/>
    </row>
    <row r="17" spans="1:4" ht="14.25" customHeight="1" x14ac:dyDescent="0.2">
      <c r="A17" s="445" t="s">
        <v>477</v>
      </c>
      <c r="B17" s="101"/>
      <c r="C17" s="98"/>
      <c r="D17" s="446"/>
    </row>
    <row r="18" spans="1:4" ht="14.25" customHeight="1" x14ac:dyDescent="0.2">
      <c r="A18" s="445" t="s">
        <v>478</v>
      </c>
      <c r="B18" s="102"/>
      <c r="C18" s="98"/>
      <c r="D18" s="446"/>
    </row>
    <row r="19" spans="1:4" ht="14.25" customHeight="1" x14ac:dyDescent="0.2">
      <c r="A19" s="447" t="s">
        <v>479</v>
      </c>
      <c r="B19" s="104"/>
      <c r="C19" s="113">
        <f>SUM(C13:C18)</f>
        <v>1315.3636363636363</v>
      </c>
      <c r="D19" s="448">
        <f>SUM(D13:D18)</f>
        <v>986.52272727272725</v>
      </c>
    </row>
    <row r="20" spans="1:4" ht="14.25" customHeight="1" x14ac:dyDescent="0.2">
      <c r="A20" s="1019"/>
      <c r="B20" s="1007"/>
      <c r="C20" s="106"/>
      <c r="D20" s="450"/>
    </row>
    <row r="21" spans="1:4" ht="14.25" customHeight="1" x14ac:dyDescent="0.2">
      <c r="A21" s="1020" t="s">
        <v>480</v>
      </c>
      <c r="B21" s="1012"/>
      <c r="C21" s="1012"/>
      <c r="D21" s="1021"/>
    </row>
    <row r="22" spans="1:4" ht="14.25" customHeight="1" x14ac:dyDescent="0.2">
      <c r="A22" s="451" t="s">
        <v>481</v>
      </c>
      <c r="B22" s="109" t="s">
        <v>471</v>
      </c>
      <c r="C22" s="109" t="s">
        <v>472</v>
      </c>
      <c r="D22" s="452" t="s">
        <v>472</v>
      </c>
    </row>
    <row r="23" spans="1:4" ht="14.25" customHeight="1" x14ac:dyDescent="0.2">
      <c r="A23" s="453" t="s">
        <v>482</v>
      </c>
      <c r="B23" s="100">
        <f>1/12</f>
        <v>8.3333333333333329E-2</v>
      </c>
      <c r="C23" s="98">
        <f>ROUND($B23*C$19,2)</f>
        <v>109.61</v>
      </c>
      <c r="D23" s="446">
        <f>ROUND($B23*D$19,2)</f>
        <v>82.21</v>
      </c>
    </row>
    <row r="24" spans="1:4" ht="14.25" customHeight="1" x14ac:dyDescent="0.2">
      <c r="A24" s="453" t="s">
        <v>483</v>
      </c>
      <c r="B24" s="100">
        <f>1/3*1/12</f>
        <v>2.7777777777777776E-2</v>
      </c>
      <c r="C24" s="98">
        <f>C$19*$B$24</f>
        <v>36.537878787878782</v>
      </c>
      <c r="D24" s="446">
        <f>D$19*$B$24</f>
        <v>27.40340909090909</v>
      </c>
    </row>
    <row r="25" spans="1:4" ht="14.25" customHeight="1" x14ac:dyDescent="0.2">
      <c r="A25" s="447" t="s">
        <v>479</v>
      </c>
      <c r="B25" s="112">
        <f>SUM(B23:B24)</f>
        <v>0.1111111111111111</v>
      </c>
      <c r="C25" s="113">
        <f>SUM(C23:C24)</f>
        <v>146.14787878787877</v>
      </c>
      <c r="D25" s="448">
        <f>SUM(D23:D24)</f>
        <v>109.61340909090909</v>
      </c>
    </row>
    <row r="26" spans="1:4" ht="14.25" customHeight="1" x14ac:dyDescent="0.2">
      <c r="A26" s="451" t="s">
        <v>484</v>
      </c>
      <c r="B26" s="109" t="s">
        <v>471</v>
      </c>
      <c r="C26" s="109" t="s">
        <v>472</v>
      </c>
      <c r="D26" s="452" t="s">
        <v>472</v>
      </c>
    </row>
    <row r="27" spans="1:4" ht="14.25" customHeight="1" x14ac:dyDescent="0.2">
      <c r="A27" s="451" t="s">
        <v>485</v>
      </c>
      <c r="B27" s="115"/>
      <c r="C27" s="115"/>
      <c r="D27" s="454"/>
    </row>
    <row r="28" spans="1:4" ht="14.25" customHeight="1" x14ac:dyDescent="0.2">
      <c r="A28" s="453" t="s">
        <v>486</v>
      </c>
      <c r="B28" s="100">
        <v>0.2</v>
      </c>
      <c r="C28" s="117">
        <f t="shared" ref="C28:C35" si="0">ROUND(($C$19+$C$25)*B28,2)</f>
        <v>292.3</v>
      </c>
      <c r="D28" s="455">
        <f t="shared" ref="D28:D35" si="1">ROUND(($D$19+$D$25)*B28,2)</f>
        <v>219.23</v>
      </c>
    </row>
    <row r="29" spans="1:4" ht="14.25" customHeight="1" x14ac:dyDescent="0.2">
      <c r="A29" s="453" t="s">
        <v>487</v>
      </c>
      <c r="B29" s="100">
        <v>2.5000000000000001E-2</v>
      </c>
      <c r="C29" s="117">
        <f t="shared" si="0"/>
        <v>36.54</v>
      </c>
      <c r="D29" s="455">
        <f t="shared" si="1"/>
        <v>27.4</v>
      </c>
    </row>
    <row r="30" spans="1:4" ht="14.25" customHeight="1" x14ac:dyDescent="0.2">
      <c r="A30" s="453" t="s">
        <v>488</v>
      </c>
      <c r="B30" s="100">
        <v>0.03</v>
      </c>
      <c r="C30" s="117">
        <f t="shared" si="0"/>
        <v>43.85</v>
      </c>
      <c r="D30" s="455">
        <f t="shared" si="1"/>
        <v>32.880000000000003</v>
      </c>
    </row>
    <row r="31" spans="1:4" ht="14.25" customHeight="1" x14ac:dyDescent="0.2">
      <c r="A31" s="453" t="s">
        <v>489</v>
      </c>
      <c r="B31" s="100">
        <v>1.4999999999999999E-2</v>
      </c>
      <c r="C31" s="117">
        <f t="shared" si="0"/>
        <v>21.92</v>
      </c>
      <c r="D31" s="455">
        <f t="shared" si="1"/>
        <v>16.440000000000001</v>
      </c>
    </row>
    <row r="32" spans="1:4" ht="14.25" customHeight="1" x14ac:dyDescent="0.2">
      <c r="A32" s="453" t="s">
        <v>490</v>
      </c>
      <c r="B32" s="100">
        <v>0.01</v>
      </c>
      <c r="C32" s="117">
        <f t="shared" si="0"/>
        <v>14.62</v>
      </c>
      <c r="D32" s="455">
        <f t="shared" si="1"/>
        <v>10.96</v>
      </c>
    </row>
    <row r="33" spans="1:4" ht="14.25" customHeight="1" x14ac:dyDescent="0.2">
      <c r="A33" s="453" t="s">
        <v>491</v>
      </c>
      <c r="B33" s="100">
        <v>6.0000000000000001E-3</v>
      </c>
      <c r="C33" s="117">
        <f t="shared" si="0"/>
        <v>8.77</v>
      </c>
      <c r="D33" s="455">
        <f t="shared" si="1"/>
        <v>6.58</v>
      </c>
    </row>
    <row r="34" spans="1:4" ht="14.25" customHeight="1" x14ac:dyDescent="0.2">
      <c r="A34" s="453" t="s">
        <v>492</v>
      </c>
      <c r="B34" s="100">
        <v>2E-3</v>
      </c>
      <c r="C34" s="117">
        <f t="shared" si="0"/>
        <v>2.92</v>
      </c>
      <c r="D34" s="455">
        <f t="shared" si="1"/>
        <v>2.19</v>
      </c>
    </row>
    <row r="35" spans="1:4" ht="14.25" customHeight="1" x14ac:dyDescent="0.2">
      <c r="A35" s="453" t="s">
        <v>493</v>
      </c>
      <c r="B35" s="100">
        <v>0.08</v>
      </c>
      <c r="C35" s="117">
        <f t="shared" si="0"/>
        <v>116.92</v>
      </c>
      <c r="D35" s="455">
        <f t="shared" si="1"/>
        <v>87.69</v>
      </c>
    </row>
    <row r="36" spans="1:4" ht="14.25" customHeight="1" x14ac:dyDescent="0.2">
      <c r="A36" s="447" t="s">
        <v>479</v>
      </c>
      <c r="B36" s="112">
        <f>SUM(B28:B35)</f>
        <v>0.36800000000000005</v>
      </c>
      <c r="C36" s="113">
        <f>SUM(C27:C35)</f>
        <v>537.84</v>
      </c>
      <c r="D36" s="448">
        <f>SUM(D27:D35)</f>
        <v>403.36999999999995</v>
      </c>
    </row>
    <row r="37" spans="1:4" ht="14.25" customHeight="1" x14ac:dyDescent="0.2">
      <c r="A37" s="451" t="s">
        <v>494</v>
      </c>
      <c r="B37" s="109" t="s">
        <v>495</v>
      </c>
      <c r="C37" s="109" t="s">
        <v>472</v>
      </c>
      <c r="D37" s="452" t="s">
        <v>472</v>
      </c>
    </row>
    <row r="38" spans="1:4" ht="14.25" customHeight="1" x14ac:dyDescent="0.2">
      <c r="A38" s="453" t="s">
        <v>496</v>
      </c>
      <c r="B38" s="119">
        <f>MC!J84</f>
        <v>4.1189189189189195</v>
      </c>
      <c r="C38" s="98">
        <f>ROUND(((2*22*$B$38)-0.06*C$13),2)</f>
        <v>102.31</v>
      </c>
      <c r="D38" s="446">
        <f>ROUND(((2*22*$B$38)-0.06*D$13),2)</f>
        <v>122.04</v>
      </c>
    </row>
    <row r="39" spans="1:4" ht="14.25" customHeight="1" x14ac:dyDescent="0.2">
      <c r="A39" s="453" t="s">
        <v>497</v>
      </c>
      <c r="B39" s="120"/>
      <c r="C39" s="117">
        <f>MC!E16</f>
        <v>400.68</v>
      </c>
      <c r="D39" s="455">
        <f>MC!E17</f>
        <v>400.68</v>
      </c>
    </row>
    <row r="40" spans="1:4" ht="14.25" customHeight="1" x14ac:dyDescent="0.2">
      <c r="A40" s="453" t="s">
        <v>498</v>
      </c>
      <c r="B40" s="100">
        <f>MC!C21</f>
        <v>1.4999999999999999E-2</v>
      </c>
      <c r="C40" s="117"/>
      <c r="D40" s="455"/>
    </row>
    <row r="41" spans="1:4" ht="14.25" customHeight="1" x14ac:dyDescent="0.2">
      <c r="A41" s="453" t="s">
        <v>499</v>
      </c>
      <c r="B41" s="121">
        <f>MC!E23</f>
        <v>71.5</v>
      </c>
      <c r="C41" s="117">
        <f>B41</f>
        <v>71.5</v>
      </c>
      <c r="D41" s="455">
        <f>B41</f>
        <v>71.5</v>
      </c>
    </row>
    <row r="42" spans="1:4" ht="14.25" customHeight="1" x14ac:dyDescent="0.2">
      <c r="A42" s="453" t="s">
        <v>500</v>
      </c>
      <c r="B42" s="121">
        <f>MC!E24</f>
        <v>23.5</v>
      </c>
      <c r="C42" s="117">
        <f>B42</f>
        <v>23.5</v>
      </c>
      <c r="D42" s="455">
        <f>B42</f>
        <v>23.5</v>
      </c>
    </row>
    <row r="43" spans="1:4" ht="14.25" customHeight="1" x14ac:dyDescent="0.2">
      <c r="A43" s="453" t="s">
        <v>501</v>
      </c>
      <c r="B43" s="100"/>
      <c r="C43" s="117"/>
      <c r="D43" s="455"/>
    </row>
    <row r="44" spans="1:4" ht="14.25" customHeight="1" x14ac:dyDescent="0.2">
      <c r="A44" s="447" t="s">
        <v>479</v>
      </c>
      <c r="B44" s="104"/>
      <c r="C44" s="113">
        <f>SUM(C38:C43)</f>
        <v>597.99</v>
      </c>
      <c r="D44" s="448">
        <f>SUM(D38:D43)</f>
        <v>617.72</v>
      </c>
    </row>
    <row r="45" spans="1:4" ht="14.25" customHeight="1" x14ac:dyDescent="0.2">
      <c r="A45" s="443" t="s">
        <v>502</v>
      </c>
      <c r="B45" s="94" t="s">
        <v>471</v>
      </c>
      <c r="C45" s="94" t="s">
        <v>472</v>
      </c>
      <c r="D45" s="444" t="s">
        <v>472</v>
      </c>
    </row>
    <row r="46" spans="1:4" ht="14.25" customHeight="1" x14ac:dyDescent="0.2">
      <c r="A46" s="453" t="s">
        <v>481</v>
      </c>
      <c r="B46" s="122">
        <f>B25</f>
        <v>0.1111111111111111</v>
      </c>
      <c r="C46" s="123">
        <f>C25</f>
        <v>146.14787878787877</v>
      </c>
      <c r="D46" s="456">
        <f>D25</f>
        <v>109.61340909090909</v>
      </c>
    </row>
    <row r="47" spans="1:4" ht="14.25" customHeight="1" x14ac:dyDescent="0.2">
      <c r="A47" s="453" t="s">
        <v>503</v>
      </c>
      <c r="B47" s="122">
        <f>B36</f>
        <v>0.36800000000000005</v>
      </c>
      <c r="C47" s="123">
        <f>C36</f>
        <v>537.84</v>
      </c>
      <c r="D47" s="456">
        <f>D36</f>
        <v>403.36999999999995</v>
      </c>
    </row>
    <row r="48" spans="1:4" ht="14.25" customHeight="1" x14ac:dyDescent="0.2">
      <c r="A48" s="453" t="s">
        <v>494</v>
      </c>
      <c r="B48" s="122"/>
      <c r="C48" s="123">
        <f>C44</f>
        <v>597.99</v>
      </c>
      <c r="D48" s="456">
        <f>D44</f>
        <v>617.72</v>
      </c>
    </row>
    <row r="49" spans="1:4" ht="14.25" customHeight="1" x14ac:dyDescent="0.2">
      <c r="A49" s="447" t="s">
        <v>479</v>
      </c>
      <c r="B49" s="104"/>
      <c r="C49" s="113">
        <f>SUM(C46:C48)</f>
        <v>1281.9778787878788</v>
      </c>
      <c r="D49" s="448">
        <f>SUM(D46:D48)</f>
        <v>1130.7034090909092</v>
      </c>
    </row>
    <row r="50" spans="1:4" ht="14.25" customHeight="1" x14ac:dyDescent="0.2">
      <c r="A50" s="1019"/>
      <c r="B50" s="1007"/>
      <c r="C50" s="106"/>
      <c r="D50" s="450"/>
    </row>
    <row r="51" spans="1:4" s="125" customFormat="1" ht="14.25" customHeight="1" x14ac:dyDescent="0.2">
      <c r="A51" s="1020" t="s">
        <v>504</v>
      </c>
      <c r="B51" s="1012"/>
      <c r="C51" s="1012"/>
      <c r="D51" s="1021"/>
    </row>
    <row r="52" spans="1:4" ht="14.25" customHeight="1" x14ac:dyDescent="0.2">
      <c r="A52" s="443" t="s">
        <v>505</v>
      </c>
      <c r="B52" s="94" t="s">
        <v>471</v>
      </c>
      <c r="C52" s="94" t="s">
        <v>472</v>
      </c>
      <c r="D52" s="444" t="s">
        <v>472</v>
      </c>
    </row>
    <row r="53" spans="1:4" ht="14.25" customHeight="1" x14ac:dyDescent="0.2">
      <c r="A53" s="451" t="s">
        <v>506</v>
      </c>
      <c r="B53" s="126"/>
      <c r="C53" s="126"/>
      <c r="D53" s="457"/>
    </row>
    <row r="54" spans="1:4" ht="14.25" customHeight="1" x14ac:dyDescent="0.2">
      <c r="A54" s="453" t="s">
        <v>507</v>
      </c>
      <c r="B54" s="122">
        <f>1/12*0.05</f>
        <v>4.1666666666666666E-3</v>
      </c>
      <c r="C54" s="128">
        <f>C19*$B54</f>
        <v>5.480681818181818</v>
      </c>
      <c r="D54" s="458">
        <f t="shared" ref="D54" si="2">D19*$B54</f>
        <v>4.1105113636363635</v>
      </c>
    </row>
    <row r="55" spans="1:4" ht="14.25" customHeight="1" x14ac:dyDescent="0.2">
      <c r="A55" s="453" t="s">
        <v>508</v>
      </c>
      <c r="B55" s="122">
        <f>B35*B54</f>
        <v>3.3333333333333332E-4</v>
      </c>
      <c r="C55" s="128">
        <f>$B$55*C19</f>
        <v>0.43845454545454543</v>
      </c>
      <c r="D55" s="458">
        <f t="shared" ref="D55" si="3">$B$55*D19</f>
        <v>0.32884090909090907</v>
      </c>
    </row>
    <row r="56" spans="1:4" ht="14.25" customHeight="1" x14ac:dyDescent="0.2">
      <c r="A56" s="453" t="s">
        <v>509</v>
      </c>
      <c r="B56" s="122">
        <v>0</v>
      </c>
      <c r="C56" s="128">
        <f>C35*$B56</f>
        <v>0</v>
      </c>
      <c r="D56" s="458">
        <f t="shared" ref="D56" si="4">D35*$B56</f>
        <v>0</v>
      </c>
    </row>
    <row r="57" spans="1:4" ht="14.25" customHeight="1" x14ac:dyDescent="0.2">
      <c r="A57" s="453" t="s">
        <v>510</v>
      </c>
      <c r="B57" s="122">
        <f>1/12*1/30*7</f>
        <v>1.9444444444444441E-2</v>
      </c>
      <c r="C57" s="123">
        <f>C19*$B57</f>
        <v>25.576515151515146</v>
      </c>
      <c r="D57" s="456">
        <f t="shared" ref="D57" si="5">D19*$B57</f>
        <v>19.182386363636361</v>
      </c>
    </row>
    <row r="58" spans="1:4" ht="14.25" customHeight="1" x14ac:dyDescent="0.2">
      <c r="A58" s="453" t="s">
        <v>511</v>
      </c>
      <c r="B58" s="122">
        <f>B36*B57</f>
        <v>7.1555555555555556E-3</v>
      </c>
      <c r="C58" s="123">
        <f>$B58*C19</f>
        <v>9.4121575757575755</v>
      </c>
      <c r="D58" s="456">
        <f t="shared" ref="D58" si="6">$B58*D19</f>
        <v>7.0591181818181816</v>
      </c>
    </row>
    <row r="59" spans="1:4" ht="14.25" customHeight="1" x14ac:dyDescent="0.2">
      <c r="A59" s="453" t="s">
        <v>512</v>
      </c>
      <c r="B59" s="122">
        <f>B35*40/100*90/100*(1+1/12+1/12+1/3*1/12)</f>
        <v>3.4399999999999993E-2</v>
      </c>
      <c r="C59" s="123">
        <f>C19*$B59</f>
        <v>45.248509090909081</v>
      </c>
      <c r="D59" s="456">
        <f t="shared" ref="D59" si="7">D19*$B59</f>
        <v>33.936381818181808</v>
      </c>
    </row>
    <row r="60" spans="1:4" ht="14.25" customHeight="1" x14ac:dyDescent="0.2">
      <c r="A60" s="447" t="s">
        <v>479</v>
      </c>
      <c r="B60" s="112">
        <f>SUM(B54:B59)</f>
        <v>6.5499999999999989E-2</v>
      </c>
      <c r="C60" s="129">
        <f>SUM(C54:C59)</f>
        <v>86.156318181818165</v>
      </c>
      <c r="D60" s="459">
        <f>SUM(D54:D59)</f>
        <v>64.617238636363624</v>
      </c>
    </row>
    <row r="61" spans="1:4" ht="14.25" customHeight="1" x14ac:dyDescent="0.2">
      <c r="A61" s="1019"/>
      <c r="B61" s="1007"/>
      <c r="C61" s="396"/>
      <c r="D61" s="460"/>
    </row>
    <row r="62" spans="1:4" ht="14.25" customHeight="1" x14ac:dyDescent="0.2">
      <c r="A62" s="1020" t="s">
        <v>513</v>
      </c>
      <c r="B62" s="1012"/>
      <c r="C62" s="1012"/>
      <c r="D62" s="1021"/>
    </row>
    <row r="63" spans="1:4" ht="14.25" customHeight="1" x14ac:dyDescent="0.2">
      <c r="A63" s="451" t="s">
        <v>41</v>
      </c>
      <c r="B63" s="109"/>
      <c r="C63" s="109"/>
      <c r="D63" s="452"/>
    </row>
    <row r="64" spans="1:4" ht="14.25" customHeight="1" x14ac:dyDescent="0.2">
      <c r="A64" s="453" t="s">
        <v>42</v>
      </c>
      <c r="B64" s="100">
        <f>1/12</f>
        <v>8.3333333333333329E-2</v>
      </c>
      <c r="C64" s="117">
        <f>B64*($C$19+$C$49+$C$60)</f>
        <v>223.62481944444443</v>
      </c>
      <c r="D64" s="455">
        <f>B64*($D$19+$D$49+$D$60)</f>
        <v>181.82028124999999</v>
      </c>
    </row>
    <row r="65" spans="1:4" ht="14.25" customHeight="1" x14ac:dyDescent="0.2">
      <c r="A65" s="453" t="s">
        <v>514</v>
      </c>
      <c r="B65" s="100">
        <f>MC!E51/30/12</f>
        <v>1.3538888888888885E-2</v>
      </c>
      <c r="C65" s="117">
        <f>B65*($C$19+$C$49+$C$60)</f>
        <v>36.331578999074061</v>
      </c>
      <c r="D65" s="455">
        <f>B65*($D$19+$D$49+$D$60)</f>
        <v>29.539735027083324</v>
      </c>
    </row>
    <row r="66" spans="1:4" ht="14.25" customHeight="1" x14ac:dyDescent="0.2">
      <c r="A66" s="453" t="s">
        <v>515</v>
      </c>
      <c r="B66" s="131">
        <f>(5/30)/12*MC!F53*MC!C54</f>
        <v>1.0764583333333333E-4</v>
      </c>
      <c r="C66" s="117">
        <f>B66*($C$19+$C$49+$C$60)</f>
        <v>0.28886736051736112</v>
      </c>
      <c r="D66" s="455">
        <f>B66*($D$19+$D$49+$D$60)</f>
        <v>0.2348663483046875</v>
      </c>
    </row>
    <row r="67" spans="1:4" ht="14.25" customHeight="1" x14ac:dyDescent="0.2">
      <c r="A67" s="453" t="s">
        <v>516</v>
      </c>
      <c r="B67" s="131">
        <f>MC!C56/30/12</f>
        <v>2.6830555555555553E-3</v>
      </c>
      <c r="C67" s="117">
        <f>B67*($C$19+$C$49+$C$60)</f>
        <v>7.199973770046296</v>
      </c>
      <c r="D67" s="455">
        <f>B67*($D$19+$D$49+$D$60)</f>
        <v>5.8540069886458328</v>
      </c>
    </row>
    <row r="68" spans="1:4" ht="14.25" customHeight="1" x14ac:dyDescent="0.2">
      <c r="A68" s="453" t="s">
        <v>517</v>
      </c>
      <c r="B68" s="100"/>
      <c r="C68" s="117"/>
      <c r="D68" s="455"/>
    </row>
    <row r="69" spans="1:4" ht="14.25" customHeight="1" x14ac:dyDescent="0.2">
      <c r="A69" s="461" t="s">
        <v>518</v>
      </c>
      <c r="B69" s="133">
        <f>SUM(B64:B68)</f>
        <v>9.9662923611111107E-2</v>
      </c>
      <c r="C69" s="134">
        <f>SUM(C64:C68)</f>
        <v>267.44523957408217</v>
      </c>
      <c r="D69" s="462">
        <f>SUM(D64:D68)</f>
        <v>217.44888961403385</v>
      </c>
    </row>
    <row r="70" spans="1:4" ht="14.25" customHeight="1" x14ac:dyDescent="0.2">
      <c r="A70" s="451" t="s">
        <v>519</v>
      </c>
      <c r="B70" s="109"/>
      <c r="C70" s="109"/>
      <c r="D70" s="452"/>
    </row>
    <row r="71" spans="1:4" ht="14.25" customHeight="1" x14ac:dyDescent="0.2">
      <c r="A71" s="453" t="s">
        <v>520</v>
      </c>
      <c r="B71" s="100"/>
      <c r="C71" s="117"/>
      <c r="D71" s="455"/>
    </row>
    <row r="72" spans="1:4" ht="14.25" customHeight="1" x14ac:dyDescent="0.2">
      <c r="A72" s="461" t="s">
        <v>518</v>
      </c>
      <c r="B72" s="133"/>
      <c r="C72" s="134">
        <f>C71</f>
        <v>0</v>
      </c>
      <c r="D72" s="462"/>
    </row>
    <row r="73" spans="1:4" ht="14.25" customHeight="1" x14ac:dyDescent="0.2">
      <c r="A73" s="451" t="s">
        <v>63</v>
      </c>
      <c r="B73" s="109"/>
      <c r="C73" s="109"/>
      <c r="D73" s="452"/>
    </row>
    <row r="74" spans="1:4" ht="14.25" customHeight="1" x14ac:dyDescent="0.2">
      <c r="A74" s="453" t="s">
        <v>64</v>
      </c>
      <c r="B74" s="100">
        <f>120/30*MC!C59*MC!C60</f>
        <v>6.18624E-3</v>
      </c>
      <c r="C74" s="117">
        <f>(((C19*2)+ (C19*1/3))+(C36)+(C44-C38-C39))*$B$74</f>
        <v>22.901595452509092</v>
      </c>
      <c r="D74" s="455">
        <f>(((D19*2)+ (D19*1/3))+(D36)+(D44-D38-D39))*$B$74</f>
        <v>17.323057926981818</v>
      </c>
    </row>
    <row r="75" spans="1:4" ht="14.25" customHeight="1" x14ac:dyDescent="0.2">
      <c r="A75" s="461" t="s">
        <v>479</v>
      </c>
      <c r="B75" s="133"/>
      <c r="C75" s="134"/>
      <c r="D75" s="462"/>
    </row>
    <row r="76" spans="1:4" ht="14.25" customHeight="1" x14ac:dyDescent="0.2">
      <c r="A76" s="443" t="s">
        <v>521</v>
      </c>
      <c r="B76" s="94"/>
      <c r="C76" s="94"/>
      <c r="D76" s="444"/>
    </row>
    <row r="77" spans="1:4" ht="14.25" customHeight="1" x14ac:dyDescent="0.2">
      <c r="A77" s="453" t="s">
        <v>41</v>
      </c>
      <c r="B77" s="122">
        <f>B69</f>
        <v>9.9662923611111107E-2</v>
      </c>
      <c r="C77" s="123">
        <f>C69</f>
        <v>267.44523957408217</v>
      </c>
      <c r="D77" s="456">
        <f>D69</f>
        <v>217.44888961403385</v>
      </c>
    </row>
    <row r="78" spans="1:4" ht="14.25" customHeight="1" x14ac:dyDescent="0.2">
      <c r="A78" s="453" t="s">
        <v>519</v>
      </c>
      <c r="B78" s="122">
        <f>B72</f>
        <v>0</v>
      </c>
      <c r="C78" s="123">
        <f>C72</f>
        <v>0</v>
      </c>
      <c r="D78" s="456">
        <f>D72</f>
        <v>0</v>
      </c>
    </row>
    <row r="79" spans="1:4" ht="14.25" customHeight="1" x14ac:dyDescent="0.2">
      <c r="A79" s="453" t="s">
        <v>63</v>
      </c>
      <c r="B79" s="122">
        <f>B74</f>
        <v>6.18624E-3</v>
      </c>
      <c r="C79" s="123">
        <f>C74</f>
        <v>22.901595452509092</v>
      </c>
      <c r="D79" s="456">
        <f>D74</f>
        <v>17.323057926981818</v>
      </c>
    </row>
    <row r="80" spans="1:4" ht="14.25" customHeight="1" x14ac:dyDescent="0.2">
      <c r="A80" s="447" t="s">
        <v>479</v>
      </c>
      <c r="B80" s="104"/>
      <c r="C80" s="113">
        <f>SUM(C77:C79)</f>
        <v>290.34683502659124</v>
      </c>
      <c r="D80" s="448">
        <f>SUM(D77:D79)</f>
        <v>234.77194754101566</v>
      </c>
    </row>
    <row r="81" spans="1:4" ht="14.25" customHeight="1" x14ac:dyDescent="0.2">
      <c r="A81" s="449"/>
      <c r="B81" s="106"/>
      <c r="C81" s="106"/>
      <c r="D81" s="450"/>
    </row>
    <row r="82" spans="1:4" ht="14.25" customHeight="1" x14ac:dyDescent="0.2">
      <c r="A82" s="463" t="s">
        <v>522</v>
      </c>
      <c r="B82" s="257"/>
      <c r="C82" s="257"/>
      <c r="D82" s="464"/>
    </row>
    <row r="83" spans="1:4" ht="14.25" customHeight="1" x14ac:dyDescent="0.2">
      <c r="A83" s="443" t="s">
        <v>523</v>
      </c>
      <c r="B83" s="94" t="s">
        <v>495</v>
      </c>
      <c r="C83" s="94" t="s">
        <v>472</v>
      </c>
      <c r="D83" s="444" t="s">
        <v>472</v>
      </c>
    </row>
    <row r="84" spans="1:4" ht="14.25" customHeight="1" x14ac:dyDescent="0.2">
      <c r="A84" s="453" t="s">
        <v>524</v>
      </c>
      <c r="B84" s="496">
        <f>Insumos!G117</f>
        <v>27.875416666666666</v>
      </c>
      <c r="C84" s="98">
        <f>B84</f>
        <v>27.875416666666666</v>
      </c>
      <c r="D84" s="446">
        <f>B84</f>
        <v>27.875416666666666</v>
      </c>
    </row>
    <row r="85" spans="1:4" ht="14.25" customHeight="1" x14ac:dyDescent="0.2">
      <c r="A85" s="465" t="s">
        <v>525</v>
      </c>
      <c r="B85" s="496">
        <f>Insumos!G69</f>
        <v>247.1166666666667</v>
      </c>
      <c r="C85" s="98">
        <f>B85</f>
        <v>247.1166666666667</v>
      </c>
      <c r="D85" s="446">
        <f>B85</f>
        <v>247.1166666666667</v>
      </c>
    </row>
    <row r="86" spans="1:4" ht="14.25" customHeight="1" x14ac:dyDescent="0.2">
      <c r="A86" s="465" t="s">
        <v>526</v>
      </c>
      <c r="B86" s="497">
        <v>0</v>
      </c>
      <c r="C86" s="98"/>
      <c r="D86" s="446"/>
    </row>
    <row r="87" spans="1:4" ht="14.25" customHeight="1" x14ac:dyDescent="0.2">
      <c r="A87" s="465" t="s">
        <v>527</v>
      </c>
      <c r="B87" s="498"/>
      <c r="C87" s="98">
        <f>Insumos!I122</f>
        <v>142.21333333333334</v>
      </c>
      <c r="D87" s="446">
        <f>Insumos!H122</f>
        <v>122.52333333333333</v>
      </c>
    </row>
    <row r="88" spans="1:4" ht="14.25" customHeight="1" x14ac:dyDescent="0.2">
      <c r="A88" s="465" t="s">
        <v>528</v>
      </c>
      <c r="B88" s="499">
        <v>0</v>
      </c>
      <c r="C88" s="98"/>
      <c r="D88" s="446"/>
    </row>
    <row r="89" spans="1:4" ht="14.25" customHeight="1" x14ac:dyDescent="0.2">
      <c r="A89" s="465" t="s">
        <v>601</v>
      </c>
      <c r="B89" s="496">
        <v>0</v>
      </c>
      <c r="C89" s="98"/>
      <c r="D89" s="446"/>
    </row>
    <row r="90" spans="1:4" ht="14.25" customHeight="1" x14ac:dyDescent="0.2">
      <c r="A90" s="465" t="s">
        <v>530</v>
      </c>
      <c r="B90" s="496">
        <v>0</v>
      </c>
      <c r="C90" s="98"/>
      <c r="D90" s="446"/>
    </row>
    <row r="91" spans="1:4" ht="14.25" customHeight="1" x14ac:dyDescent="0.2">
      <c r="A91" s="461" t="s">
        <v>479</v>
      </c>
      <c r="B91" s="136"/>
      <c r="C91" s="134">
        <f>SUM(C84:C90)</f>
        <v>417.20541666666668</v>
      </c>
      <c r="D91" s="462">
        <f t="shared" ref="D91" si="8">SUM(D84:D90)</f>
        <v>397.51541666666668</v>
      </c>
    </row>
    <row r="92" spans="1:4" ht="14.25" customHeight="1" x14ac:dyDescent="0.2">
      <c r="A92" s="1019"/>
      <c r="B92" s="1007"/>
      <c r="C92" s="137"/>
      <c r="D92" s="466"/>
    </row>
    <row r="93" spans="1:4" ht="14.25" customHeight="1" x14ac:dyDescent="0.2">
      <c r="A93" s="463" t="s">
        <v>531</v>
      </c>
      <c r="B93" s="257"/>
      <c r="C93" s="257"/>
      <c r="D93" s="464"/>
    </row>
    <row r="94" spans="1:4" ht="14.25" customHeight="1" x14ac:dyDescent="0.2">
      <c r="A94" s="443" t="s">
        <v>532</v>
      </c>
      <c r="B94" s="94" t="s">
        <v>471</v>
      </c>
      <c r="C94" s="94" t="s">
        <v>472</v>
      </c>
      <c r="D94" s="444" t="s">
        <v>472</v>
      </c>
    </row>
    <row r="95" spans="1:4" ht="14.25" customHeight="1" x14ac:dyDescent="0.2">
      <c r="A95" s="445" t="s">
        <v>69</v>
      </c>
      <c r="B95" s="100">
        <v>0.03</v>
      </c>
      <c r="C95" s="117">
        <f>($C$19+$C$49+$C$60+$C$80+$C$91)*$B$95</f>
        <v>101.73150255079773</v>
      </c>
      <c r="D95" s="455">
        <f>($D$19+$D$49+$D$60+$D$80+$D$91)*$B$95</f>
        <v>84.423922176230462</v>
      </c>
    </row>
    <row r="96" spans="1:4" ht="14.25" customHeight="1" x14ac:dyDescent="0.2">
      <c r="A96" s="445" t="s">
        <v>70</v>
      </c>
      <c r="B96" s="100">
        <v>6.7900000000000002E-2</v>
      </c>
      <c r="C96" s="117">
        <f>($C$19+$C$49+$C$60+$C$80+$C$91+C95)*B96</f>
        <v>237.15986979650472</v>
      </c>
      <c r="D96" s="455">
        <f>($D$19+$D$49+$D$60+$D$80+$D$91+$D$95)*$B$96</f>
        <v>196.81186150796768</v>
      </c>
    </row>
    <row r="97" spans="1:4" ht="14.25" customHeight="1" x14ac:dyDescent="0.2">
      <c r="A97" s="467" t="s">
        <v>533</v>
      </c>
      <c r="B97" s="261">
        <f>B98+B99</f>
        <v>0.1125</v>
      </c>
      <c r="C97" s="262">
        <f>((C19+C49+C60+C80+C91+C95+C96)/(1-($B$97)))*$B$97</f>
        <v>472.80948051218377</v>
      </c>
      <c r="D97" s="468">
        <f>((D19+D49+D60+D80+D91+D95+D96)/(1-($B$97)))*$B$97</f>
        <v>392.37040431023837</v>
      </c>
    </row>
    <row r="98" spans="1:4" ht="14.25" customHeight="1" x14ac:dyDescent="0.2">
      <c r="A98" s="445" t="s">
        <v>534</v>
      </c>
      <c r="B98" s="100">
        <f>0.0165+0.076</f>
        <v>9.2499999999999999E-2</v>
      </c>
      <c r="C98" s="263">
        <f>((C$19+C$49+C$60+C$80+C$91+C$95+C$96)/(1-($B$97)))*$B$98</f>
        <v>388.75446175446217</v>
      </c>
      <c r="D98" s="469">
        <f t="shared" ref="D98" si="9">((D$19+D$49+D$60+D$80+D$91+D$95+D$96)/(1-($B$97)))*$B$98</f>
        <v>322.615665766196</v>
      </c>
    </row>
    <row r="99" spans="1:4" ht="14.25" customHeight="1" x14ac:dyDescent="0.2">
      <c r="A99" s="445" t="s">
        <v>535</v>
      </c>
      <c r="B99" s="100">
        <v>0.02</v>
      </c>
      <c r="C99" s="264">
        <f>((C$19+C$49+C$60+C$80+C$91+C$95+C$96)/(1-($B$97)))*$B$99</f>
        <v>84.055018757721555</v>
      </c>
      <c r="D99" s="470">
        <f t="shared" ref="D99" si="10">((D$19+D$49+D$60+D$80+D$91+D$95+D$96)/(1-($B$97)))*$B$99</f>
        <v>69.754738544042382</v>
      </c>
    </row>
    <row r="100" spans="1:4" ht="14.25" customHeight="1" x14ac:dyDescent="0.2">
      <c r="A100" s="467" t="s">
        <v>536</v>
      </c>
      <c r="B100" s="261">
        <f>B101+B102</f>
        <v>0.11749999999999999</v>
      </c>
      <c r="C100" s="262">
        <f>((C19+C49+C60+C80+C91+C95+C96)/(1-($B$100)))*$B$100</f>
        <v>496.62110055686395</v>
      </c>
      <c r="D100" s="468">
        <f t="shared" ref="D100" si="11">((D19+D49+D60+D80+D91+D95+D96)/(1-($B$100)))*$B$100</f>
        <v>412.1309534728565</v>
      </c>
    </row>
    <row r="101" spans="1:4" ht="14.25" customHeight="1" x14ac:dyDescent="0.2">
      <c r="A101" s="445" t="s">
        <v>534</v>
      </c>
      <c r="B101" s="100">
        <f>0.0165+0.076</f>
        <v>9.2499999999999999E-2</v>
      </c>
      <c r="C101" s="263">
        <f>((C19+C49+C60+C80+C91+C95+C96)/(1-($B$100)))*$B$101</f>
        <v>390.95703660859505</v>
      </c>
      <c r="D101" s="469">
        <f t="shared" ref="D101" si="12">((D19+D49+D60+D80+D91+D95+D96)/(1-($B$100)))*$B$101</f>
        <v>324.44351656373811</v>
      </c>
    </row>
    <row r="102" spans="1:4" ht="14.25" customHeight="1" x14ac:dyDescent="0.2">
      <c r="A102" s="445" t="s">
        <v>535</v>
      </c>
      <c r="B102" s="100">
        <v>2.5000000000000001E-2</v>
      </c>
      <c r="C102" s="264">
        <f>((C$19+C$49+C$60+C$80+C$91+C$95+C$96)/(1-($B$100)))*$B$102</f>
        <v>105.66406394826893</v>
      </c>
      <c r="D102" s="470">
        <f t="shared" ref="D102" si="13">((D$19+D$49+D$60+D$80+D$91+D$95+D$96)/(1-($B$100)))*$B$102</f>
        <v>87.687436909118418</v>
      </c>
    </row>
    <row r="103" spans="1:4" ht="14.25" customHeight="1" x14ac:dyDescent="0.2">
      <c r="A103" s="467" t="s">
        <v>537</v>
      </c>
      <c r="B103" s="261">
        <f>B104+B105</f>
        <v>0.1225</v>
      </c>
      <c r="C103" s="262">
        <f>((C19+C49+C60+C80+C91+C95+C96)/(1-($B$103)))*$B$103</f>
        <v>520.70407809493111</v>
      </c>
      <c r="D103" s="468">
        <f t="shared" ref="D103" si="14">((D19+D49+D60+D80+D91+D95+D96)/(1-($B$103)))*$B$103</f>
        <v>432.11669407892344</v>
      </c>
    </row>
    <row r="104" spans="1:4" ht="14.25" customHeight="1" x14ac:dyDescent="0.2">
      <c r="A104" s="445" t="s">
        <v>534</v>
      </c>
      <c r="B104" s="100">
        <f>0.0165+0.076</f>
        <v>9.2499999999999999E-2</v>
      </c>
      <c r="C104" s="263">
        <f>((C19+C49+C60+C80+C91+C95+C96)/(1-($B$103)))*$B$104</f>
        <v>393.18471203086631</v>
      </c>
      <c r="D104" s="469">
        <f t="shared" ref="D104" si="15">((D19+D49+D60+D80+D91+D95+D96)/(1-($B$103)))*$B$104</f>
        <v>326.29219756979933</v>
      </c>
    </row>
    <row r="105" spans="1:4" ht="14.25" customHeight="1" x14ac:dyDescent="0.2">
      <c r="A105" s="445" t="s">
        <v>535</v>
      </c>
      <c r="B105" s="100">
        <v>0.03</v>
      </c>
      <c r="C105" s="264">
        <f>((C19+C49+C60+C80+C91+C95+C96)/(1-($B$103)))*$B$105</f>
        <v>127.51936606406474</v>
      </c>
      <c r="D105" s="470">
        <f t="shared" ref="D105" si="16">((D19+D49+D60+D80+D91+D95+D96)/(1-($B$103)))*$B$105</f>
        <v>105.82449650912412</v>
      </c>
    </row>
    <row r="106" spans="1:4" ht="14.25" customHeight="1" x14ac:dyDescent="0.2">
      <c r="A106" s="467" t="s">
        <v>538</v>
      </c>
      <c r="B106" s="261">
        <f>B107+B108</f>
        <v>0.13250000000000001</v>
      </c>
      <c r="C106" s="262">
        <f>((C19+C49+C60+C80+C91+C95+C96)/(1-($B$106)))*$B$106</f>
        <v>569.7028738928426</v>
      </c>
      <c r="D106" s="468">
        <f t="shared" ref="D106" si="17">((D19+D49+D60+D80+D91+D95+D96)/(1-($B$106)))*$B$106</f>
        <v>472.77932482210281</v>
      </c>
    </row>
    <row r="107" spans="1:4" ht="14.25" customHeight="1" x14ac:dyDescent="0.2">
      <c r="A107" s="445" t="s">
        <v>534</v>
      </c>
      <c r="B107" s="100">
        <f>0.0165+0.076</f>
        <v>9.2499999999999999E-2</v>
      </c>
      <c r="C107" s="263">
        <f>((C19+C49+C60+C80+C91+C95+C96)/(1-($B$106)))*$B$107</f>
        <v>397.71710064217308</v>
      </c>
      <c r="D107" s="469">
        <f t="shared" ref="D107" si="18">((D19+D49+D60+D80+D91+D95+D96)/(1-($B$106)))*$B$107</f>
        <v>330.05349091354344</v>
      </c>
    </row>
    <row r="108" spans="1:4" ht="14.25" customHeight="1" x14ac:dyDescent="0.2">
      <c r="A108" s="445" t="s">
        <v>535</v>
      </c>
      <c r="B108" s="100">
        <v>0.04</v>
      </c>
      <c r="C108" s="264">
        <f>((C19+C49+C60+C80+C91+C95+C96)/(1-($B$106)))*$B$108</f>
        <v>171.98577325066944</v>
      </c>
      <c r="D108" s="470">
        <f t="shared" ref="D108" si="19">((D19+D49+D60+D80+D91+D95+D96)/(1-($B$106)))*$B$108</f>
        <v>142.72583390855934</v>
      </c>
    </row>
    <row r="109" spans="1:4" ht="14.25" customHeight="1" x14ac:dyDescent="0.2">
      <c r="A109" s="467" t="s">
        <v>539</v>
      </c>
      <c r="B109" s="261">
        <f>B110+B111</f>
        <v>0.14250000000000002</v>
      </c>
      <c r="C109" s="262">
        <f>((C19+C49+C60+C80+C91+C95+C96)/(1-($B$109)))*$B$109</f>
        <v>619.84449874726522</v>
      </c>
      <c r="D109" s="468">
        <f t="shared" ref="D109" si="20">((D19+D49+D60+D80+D91+D95+D96)/(1-($B$109)))*$B$109</f>
        <v>514.3903551161435</v>
      </c>
    </row>
    <row r="110" spans="1:4" ht="14.25" customHeight="1" x14ac:dyDescent="0.2">
      <c r="A110" s="445" t="s">
        <v>534</v>
      </c>
      <c r="B110" s="100">
        <f>0.0165+0.076</f>
        <v>9.2499999999999999E-2</v>
      </c>
      <c r="C110" s="263">
        <f>((C19+C49+C60+C80+C91+C95+C96)/(1-($B$109)))*$B$110</f>
        <v>402.35520094120722</v>
      </c>
      <c r="D110" s="469">
        <f t="shared" ref="D110" si="21">((D19+D49+D60+D80+D91+D95+D96)/(1-($B$109)))*$B$110</f>
        <v>333.90251121574221</v>
      </c>
    </row>
    <row r="111" spans="1:4" ht="14.25" customHeight="1" x14ac:dyDescent="0.2">
      <c r="A111" s="445" t="s">
        <v>535</v>
      </c>
      <c r="B111" s="266">
        <v>0.05</v>
      </c>
      <c r="C111" s="264">
        <f>((C19+C49+C60+C80+C91+C95+C96)/(1-($B$109)))*$B$111</f>
        <v>217.48929780605795</v>
      </c>
      <c r="D111" s="470">
        <f t="shared" ref="D111" si="22">((D19+D49+D60+D80+D91+D95+D96)/(1-($B$109)))*$B$111</f>
        <v>180.48784390040123</v>
      </c>
    </row>
    <row r="112" spans="1:4" ht="14.25" customHeight="1" x14ac:dyDescent="0.2">
      <c r="A112" s="1022" t="s">
        <v>540</v>
      </c>
      <c r="B112" s="267">
        <v>0.02</v>
      </c>
      <c r="C112" s="268">
        <f>C95+C96+C97</f>
        <v>811.70085285948619</v>
      </c>
      <c r="D112" s="471">
        <f>D95+D96+D97</f>
        <v>673.6061879944366</v>
      </c>
    </row>
    <row r="113" spans="1:4" ht="14.25" customHeight="1" x14ac:dyDescent="0.2">
      <c r="A113" s="1022"/>
      <c r="B113" s="269">
        <v>2.5000000000000001E-2</v>
      </c>
      <c r="C113" s="270">
        <f>C95+C96+C100</f>
        <v>835.51247290416632</v>
      </c>
      <c r="D113" s="472">
        <f>D95+D96+D100</f>
        <v>693.36673715705467</v>
      </c>
    </row>
    <row r="114" spans="1:4" ht="14.25" customHeight="1" x14ac:dyDescent="0.2">
      <c r="A114" s="1022"/>
      <c r="B114" s="269">
        <v>0.03</v>
      </c>
      <c r="C114" s="270">
        <f>C95+C96+C103</f>
        <v>859.59545044223353</v>
      </c>
      <c r="D114" s="472">
        <f>D95+D96+D103</f>
        <v>713.35247776312167</v>
      </c>
    </row>
    <row r="115" spans="1:4" ht="14.25" customHeight="1" x14ac:dyDescent="0.2">
      <c r="A115" s="1022"/>
      <c r="B115" s="269">
        <v>0.04</v>
      </c>
      <c r="C115" s="270">
        <f>C95+C96+C106</f>
        <v>908.59424624014503</v>
      </c>
      <c r="D115" s="472">
        <f>D95+D96+D106</f>
        <v>754.01510850630098</v>
      </c>
    </row>
    <row r="116" spans="1:4" ht="14.25" customHeight="1" x14ac:dyDescent="0.2">
      <c r="A116" s="1022"/>
      <c r="B116" s="271">
        <v>0.05</v>
      </c>
      <c r="C116" s="272">
        <f>C95+C96+C109</f>
        <v>958.73587109456764</v>
      </c>
      <c r="D116" s="473">
        <f>D95+D96+D109</f>
        <v>795.62613880034166</v>
      </c>
    </row>
    <row r="117" spans="1:4" ht="14.25" customHeight="1" x14ac:dyDescent="0.2">
      <c r="A117" s="445" t="s">
        <v>541</v>
      </c>
      <c r="B117" s="273"/>
      <c r="C117" s="274"/>
      <c r="D117" s="474"/>
    </row>
    <row r="118" spans="1:4" ht="14.25" customHeight="1" x14ac:dyDescent="0.2">
      <c r="A118" s="475"/>
      <c r="B118" s="277"/>
      <c r="C118" s="278"/>
      <c r="D118" s="476"/>
    </row>
    <row r="119" spans="1:4" ht="7.5" customHeight="1" x14ac:dyDescent="0.2">
      <c r="A119" s="1023"/>
      <c r="B119" s="1009"/>
      <c r="C119" s="1009"/>
      <c r="D119" s="1024"/>
    </row>
    <row r="120" spans="1:4" ht="7.5" customHeight="1" x14ac:dyDescent="0.2">
      <c r="A120" s="1025"/>
      <c r="B120" s="1010"/>
      <c r="C120" s="1010"/>
      <c r="D120" s="1026"/>
    </row>
    <row r="121" spans="1:4" ht="54.75" customHeight="1" x14ac:dyDescent="0.2">
      <c r="A121" s="1027" t="s">
        <v>542</v>
      </c>
      <c r="B121" s="1011"/>
      <c r="C121" s="281" t="str">
        <f>C10</f>
        <v>Servente COVID 40h</v>
      </c>
      <c r="D121" s="477" t="str">
        <f>D10</f>
        <v>Servente COVID 30h</v>
      </c>
    </row>
    <row r="122" spans="1:4" ht="15.75" customHeight="1" x14ac:dyDescent="0.2">
      <c r="A122" s="1028" t="s">
        <v>543</v>
      </c>
      <c r="B122" s="1005"/>
      <c r="C122" s="284" t="s">
        <v>472</v>
      </c>
      <c r="D122" s="478" t="s">
        <v>472</v>
      </c>
    </row>
    <row r="123" spans="1:4" ht="14.25" customHeight="1" x14ac:dyDescent="0.2">
      <c r="A123" s="1029" t="s">
        <v>544</v>
      </c>
      <c r="B123" s="1006"/>
      <c r="C123" s="286">
        <f>C19</f>
        <v>1315.3636363636363</v>
      </c>
      <c r="D123" s="479">
        <f>D19</f>
        <v>986.52272727272725</v>
      </c>
    </row>
    <row r="124" spans="1:4" ht="14.25" customHeight="1" x14ac:dyDescent="0.2">
      <c r="A124" s="1016" t="s">
        <v>545</v>
      </c>
      <c r="B124" s="1001"/>
      <c r="C124" s="139">
        <f>C49</f>
        <v>1281.9778787878788</v>
      </c>
      <c r="D124" s="480">
        <f>D49</f>
        <v>1130.7034090909092</v>
      </c>
    </row>
    <row r="125" spans="1:4" ht="14.25" customHeight="1" x14ac:dyDescent="0.2">
      <c r="A125" s="1016" t="s">
        <v>546</v>
      </c>
      <c r="B125" s="1001"/>
      <c r="C125" s="139">
        <f>C60</f>
        <v>86.156318181818165</v>
      </c>
      <c r="D125" s="480">
        <f>D60</f>
        <v>64.617238636363624</v>
      </c>
    </row>
    <row r="126" spans="1:4" ht="14.25" customHeight="1" x14ac:dyDescent="0.2">
      <c r="A126" s="1016" t="s">
        <v>547</v>
      </c>
      <c r="B126" s="1001"/>
      <c r="C126" s="139">
        <f>C80</f>
        <v>290.34683502659124</v>
      </c>
      <c r="D126" s="480">
        <f>D80</f>
        <v>234.77194754101566</v>
      </c>
    </row>
    <row r="127" spans="1:4" ht="15.75" customHeight="1" x14ac:dyDescent="0.2">
      <c r="A127" s="1016" t="s">
        <v>548</v>
      </c>
      <c r="B127" s="1001"/>
      <c r="C127" s="139">
        <f>C91</f>
        <v>417.20541666666668</v>
      </c>
      <c r="D127" s="480">
        <f>D91</f>
        <v>397.51541666666668</v>
      </c>
    </row>
    <row r="128" spans="1:4" ht="15.75" customHeight="1" x14ac:dyDescent="0.2">
      <c r="A128" s="1018" t="s">
        <v>549</v>
      </c>
      <c r="B128" s="1004"/>
      <c r="C128" s="141">
        <f>SUM(C123:C127)</f>
        <v>3391.0500850265912</v>
      </c>
      <c r="D128" s="481">
        <f>SUM(D123:D127)</f>
        <v>2814.1307392076824</v>
      </c>
    </row>
    <row r="129" spans="1:4" ht="15.75" customHeight="1" x14ac:dyDescent="0.2">
      <c r="A129" s="1017" t="s">
        <v>550</v>
      </c>
      <c r="B129" s="1002"/>
      <c r="C129" s="289">
        <f t="shared" ref="C129:D133" si="23">C112</f>
        <v>811.70085285948619</v>
      </c>
      <c r="D129" s="482">
        <f t="shared" si="23"/>
        <v>673.6061879944366</v>
      </c>
    </row>
    <row r="130" spans="1:4" ht="15.75" customHeight="1" x14ac:dyDescent="0.2">
      <c r="A130" s="1016" t="s">
        <v>551</v>
      </c>
      <c r="B130" s="1001"/>
      <c r="C130" s="291">
        <f t="shared" si="23"/>
        <v>835.51247290416632</v>
      </c>
      <c r="D130" s="483">
        <f t="shared" si="23"/>
        <v>693.36673715705467</v>
      </c>
    </row>
    <row r="131" spans="1:4" ht="15.75" customHeight="1" x14ac:dyDescent="0.2">
      <c r="A131" s="1016" t="s">
        <v>552</v>
      </c>
      <c r="B131" s="1001"/>
      <c r="C131" s="291">
        <f t="shared" si="23"/>
        <v>859.59545044223353</v>
      </c>
      <c r="D131" s="483">
        <f t="shared" si="23"/>
        <v>713.35247776312167</v>
      </c>
    </row>
    <row r="132" spans="1:4" ht="15.75" customHeight="1" x14ac:dyDescent="0.2">
      <c r="A132" s="1016" t="s">
        <v>553</v>
      </c>
      <c r="B132" s="1001"/>
      <c r="C132" s="291">
        <f t="shared" si="23"/>
        <v>908.59424624014503</v>
      </c>
      <c r="D132" s="483">
        <f t="shared" si="23"/>
        <v>754.01510850630098</v>
      </c>
    </row>
    <row r="133" spans="1:4" ht="15.75" customHeight="1" x14ac:dyDescent="0.2">
      <c r="A133" s="1017" t="s">
        <v>554</v>
      </c>
      <c r="B133" s="1002"/>
      <c r="C133" s="291">
        <f t="shared" si="23"/>
        <v>958.73587109456764</v>
      </c>
      <c r="D133" s="483">
        <f t="shared" si="23"/>
        <v>795.62613880034166</v>
      </c>
    </row>
    <row r="134" spans="1:4" ht="15.75" customHeight="1" x14ac:dyDescent="0.2">
      <c r="A134" s="484" t="s">
        <v>555</v>
      </c>
      <c r="B134" s="294"/>
      <c r="C134" s="295">
        <f>C128+C129</f>
        <v>4202.7509378860777</v>
      </c>
      <c r="D134" s="485">
        <f>D128+D129</f>
        <v>3487.7369272021187</v>
      </c>
    </row>
    <row r="135" spans="1:4" ht="15.75" customHeight="1" x14ac:dyDescent="0.2">
      <c r="A135" s="486" t="s">
        <v>556</v>
      </c>
      <c r="B135" s="298"/>
      <c r="C135" s="299">
        <f>C128+C130</f>
        <v>4226.562557930758</v>
      </c>
      <c r="D135" s="487">
        <f>D128+D130</f>
        <v>3507.4974763647369</v>
      </c>
    </row>
    <row r="136" spans="1:4" ht="15.75" customHeight="1" x14ac:dyDescent="0.2">
      <c r="A136" s="486" t="s">
        <v>557</v>
      </c>
      <c r="B136" s="298"/>
      <c r="C136" s="299">
        <f>C128+C131</f>
        <v>4250.6455354688251</v>
      </c>
      <c r="D136" s="487">
        <f>D128+D131</f>
        <v>3527.4832169708043</v>
      </c>
    </row>
    <row r="137" spans="1:4" ht="15.75" customHeight="1" x14ac:dyDescent="0.2">
      <c r="A137" s="486" t="s">
        <v>558</v>
      </c>
      <c r="B137" s="298"/>
      <c r="C137" s="299">
        <f>C128+C132</f>
        <v>4299.6443312667361</v>
      </c>
      <c r="D137" s="487">
        <f>D128+D132</f>
        <v>3568.1458477139831</v>
      </c>
    </row>
    <row r="138" spans="1:4" ht="15.75" customHeight="1" x14ac:dyDescent="0.2">
      <c r="A138" s="486" t="s">
        <v>559</v>
      </c>
      <c r="B138" s="298"/>
      <c r="C138" s="299">
        <f>C128+C133</f>
        <v>4349.785956121159</v>
      </c>
      <c r="D138" s="487">
        <f>D128+D133</f>
        <v>3609.7568780080242</v>
      </c>
    </row>
    <row r="139" spans="1:4" ht="15.75" customHeight="1" x14ac:dyDescent="0.2">
      <c r="A139" s="488" t="s">
        <v>560</v>
      </c>
      <c r="B139" s="302"/>
      <c r="C139" s="303">
        <f>C134/200</f>
        <v>21.013754689430389</v>
      </c>
      <c r="D139" s="489"/>
    </row>
    <row r="140" spans="1:4" ht="15.75" customHeight="1" x14ac:dyDescent="0.2">
      <c r="A140" s="490" t="s">
        <v>561</v>
      </c>
      <c r="B140" s="307"/>
      <c r="C140" s="308">
        <f>C135/200</f>
        <v>21.132812789653791</v>
      </c>
      <c r="D140" s="491"/>
    </row>
    <row r="141" spans="1:4" ht="15.75" customHeight="1" x14ac:dyDescent="0.2">
      <c r="A141" s="490" t="s">
        <v>562</v>
      </c>
      <c r="B141" s="307"/>
      <c r="C141" s="308">
        <f>C136/200</f>
        <v>21.253227677344125</v>
      </c>
      <c r="D141" s="491"/>
    </row>
    <row r="142" spans="1:4" ht="15.75" customHeight="1" x14ac:dyDescent="0.2">
      <c r="A142" s="490" t="s">
        <v>563</v>
      </c>
      <c r="B142" s="307"/>
      <c r="C142" s="308">
        <f>C137/200</f>
        <v>21.49822165633368</v>
      </c>
      <c r="D142" s="491"/>
    </row>
    <row r="143" spans="1:4" ht="15.75" customHeight="1" x14ac:dyDescent="0.2">
      <c r="A143" s="492" t="s">
        <v>564</v>
      </c>
      <c r="B143" s="493"/>
      <c r="C143" s="494">
        <f>C138/200</f>
        <v>21.748929780605796</v>
      </c>
      <c r="D143" s="495"/>
    </row>
    <row r="144" spans="1:4" x14ac:dyDescent="0.2">
      <c r="A144" s="316"/>
    </row>
  </sheetData>
  <mergeCells count="27">
    <mergeCell ref="A21:D21"/>
    <mergeCell ref="A1:D1"/>
    <mergeCell ref="A2:D2"/>
    <mergeCell ref="A3:D3"/>
    <mergeCell ref="A9:D9"/>
    <mergeCell ref="A20:B20"/>
    <mergeCell ref="A124:B124"/>
    <mergeCell ref="A50:B50"/>
    <mergeCell ref="A51:D51"/>
    <mergeCell ref="A61:B61"/>
    <mergeCell ref="A62:D62"/>
    <mergeCell ref="A92:B92"/>
    <mergeCell ref="A112:A116"/>
    <mergeCell ref="A119:D119"/>
    <mergeCell ref="A120:D120"/>
    <mergeCell ref="A121:B121"/>
    <mergeCell ref="A122:B122"/>
    <mergeCell ref="A123:B123"/>
    <mergeCell ref="A131:B131"/>
    <mergeCell ref="A132:B132"/>
    <mergeCell ref="A133:B133"/>
    <mergeCell ref="A125:B125"/>
    <mergeCell ref="A126:B126"/>
    <mergeCell ref="A127:B127"/>
    <mergeCell ref="A128:B128"/>
    <mergeCell ref="A129:B129"/>
    <mergeCell ref="A130:B130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02779F605D534DA1B3FC3D1B1B4DA1" ma:contentTypeVersion="4" ma:contentTypeDescription="Create a new document." ma:contentTypeScope="" ma:versionID="792bdeb3ee64891d3fd5aa3829d0a470">
  <xsd:schema xmlns:xsd="http://www.w3.org/2001/XMLSchema" xmlns:xs="http://www.w3.org/2001/XMLSchema" xmlns:p="http://schemas.microsoft.com/office/2006/metadata/properties" xmlns:ns2="c3daeb68-ee4a-4fef-ab94-779009af24c2" xmlns:ns3="a1fdbba4-714c-4189-ada0-32d20d17b811" targetNamespace="http://schemas.microsoft.com/office/2006/metadata/properties" ma:root="true" ma:fieldsID="dcda8fd05be29a03d07af7c7ebb24494" ns2:_="" ns3:_="">
    <xsd:import namespace="c3daeb68-ee4a-4fef-ab94-779009af24c2"/>
    <xsd:import namespace="a1fdbba4-714c-4189-ada0-32d20d17b8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aeb68-ee4a-4fef-ab94-779009af2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dbba4-714c-4189-ada0-32d20d17b8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5D858B-AF11-493D-80EE-03BC8AF891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DC9F62-CCDF-46E7-9726-75185F356D3A}">
  <ds:schemaRefs>
    <ds:schemaRef ds:uri="http://purl.org/dc/elements/1.1/"/>
    <ds:schemaRef ds:uri="http://purl.org/dc/terms/"/>
    <ds:schemaRef ds:uri="c3daeb68-ee4a-4fef-ab94-779009af24c2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a1fdbba4-714c-4189-ada0-32d20d17b81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F6CCAA-D84B-4D9B-80F9-3977450D3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aeb68-ee4a-4fef-ab94-779009af24c2"/>
    <ds:schemaRef ds:uri="a1fdbba4-714c-4189-ada0-32d20d17b8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8</vt:i4>
      </vt:variant>
    </vt:vector>
  </HeadingPairs>
  <TitlesOfParts>
    <vt:vector size="20" baseType="lpstr">
      <vt:lpstr>MC</vt:lpstr>
      <vt:lpstr>Insumos</vt:lpstr>
      <vt:lpstr>Resumo Proposta</vt:lpstr>
      <vt:lpstr>Prod. GEXCAS</vt:lpstr>
      <vt:lpstr>GEXCAS Limp.Ord.</vt:lpstr>
      <vt:lpstr>GEXCAS Covid</vt:lpstr>
      <vt:lpstr>Prod. GEXLON</vt:lpstr>
      <vt:lpstr>GEXLON Limp.Ord. </vt:lpstr>
      <vt:lpstr>GEXLON Covid </vt:lpstr>
      <vt:lpstr>Prod. GEXMRG</vt:lpstr>
      <vt:lpstr>GEXMRG Limp.Ord. </vt:lpstr>
      <vt:lpstr>GEXMRG Covid </vt:lpstr>
      <vt:lpstr>'Prod. GEXLON'!_FiltrarBancodeDados</vt:lpstr>
      <vt:lpstr>'GEXCAS Covid'!Print_Area</vt:lpstr>
      <vt:lpstr>'GEXCAS Limp.Ord.'!Print_Area</vt:lpstr>
      <vt:lpstr>'GEXLON Covid '!Print_Area</vt:lpstr>
      <vt:lpstr>'GEXLON Limp.Ord. '!Print_Area</vt:lpstr>
      <vt:lpstr>'GEXMRG Covid '!Print_Area</vt:lpstr>
      <vt:lpstr>'GEXMRG Limp.Ord. '!Print_Area</vt:lpstr>
      <vt:lpstr>MC!Print_Area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Alves Miranda</dc:creator>
  <cp:lastModifiedBy>quelc</cp:lastModifiedBy>
  <cp:revision>89</cp:revision>
  <dcterms:created xsi:type="dcterms:W3CDTF">2020-03-17T09:48:25Z</dcterms:created>
  <dcterms:modified xsi:type="dcterms:W3CDTF">2022-06-30T12:59:01Z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0x0101002802779F605D534DA1B3FC3D1B1B4DA1</vt:lpwstr>
  </property>
</Properties>
</file>