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00" windowHeight="7755" tabRatio="764" activeTab="2"/>
  </bookViews>
  <sheets>
    <sheet name="MC" sheetId="1" r:id="rId1"/>
    <sheet name="Insumos" sheetId="2" r:id="rId2"/>
    <sheet name="Resumo Proposta" sheetId="5" r:id="rId3"/>
    <sheet name="Prod. GEXFLO" sheetId="6" r:id="rId4"/>
    <sheet name="GEXFLO Limp.Ord." sheetId="7" r:id="rId5"/>
    <sheet name="GEXFLO Covid" sheetId="12" r:id="rId6"/>
    <sheet name="Prod. GEXBLU" sheetId="9" r:id="rId7"/>
    <sheet name="GEXBLU Limp.Ord. " sheetId="15" r:id="rId8"/>
    <sheet name="GEXBLU Covid" sheetId="16" r:id="rId9"/>
    <sheet name="Prod. GEXJVL" sheetId="17" r:id="rId10"/>
    <sheet name="GEXJVL Limp.Ord." sheetId="18" r:id="rId11"/>
    <sheet name="GEXJVL Covid" sheetId="19" r:id="rId12"/>
    <sheet name="GEXJVL L.Ord e Covid - APS PR" sheetId="13" r:id="rId13"/>
  </sheets>
  <definedNames>
    <definedName name="_xlnm._FilterDatabase" localSheetId="6">'Prod. GEXBLU'!$A$2:$Q$2</definedName>
    <definedName name="_xlnm._FilterDatabase" localSheetId="9">'Prod. GEXJVL'!$A$2:$Q$2</definedName>
    <definedName name="Print_Area" localSheetId="8">'GEXBLU Covid'!$A$1:$D$151</definedName>
    <definedName name="Print_Area" localSheetId="7">'GEXBLU Limp.Ord. '!$A$1:$D$199</definedName>
    <definedName name="Print_Area" localSheetId="5">'GEXFLO Covid'!$A$1:$D$144</definedName>
    <definedName name="Print_Area" localSheetId="4">'GEXFLO Limp.Ord.'!$A$1:$D$192</definedName>
    <definedName name="Print_Area" localSheetId="11">'GEXJVL Covid'!$A$1:$D$151</definedName>
    <definedName name="Print_Area" localSheetId="12">'GEXJVL L.Ord e Covid - APS PR'!$A$1:$D$192</definedName>
    <definedName name="Print_Area" localSheetId="10">'GEXJVL Limp.Ord.'!$A$1:$D$199</definedName>
    <definedName name="Print_Area" localSheetId="0">MC!$A$3:$V$24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6" i="2" l="1"/>
  <c r="E42" i="13"/>
  <c r="E41" i="13"/>
  <c r="D42" i="13"/>
  <c r="D41" i="13"/>
  <c r="C42" i="13"/>
  <c r="C41" i="13"/>
  <c r="B42" i="13"/>
  <c r="B41" i="13"/>
  <c r="E39" i="13"/>
  <c r="D39" i="13"/>
  <c r="C39" i="13"/>
  <c r="B39" i="13"/>
  <c r="E19" i="13" l="1"/>
  <c r="D19" i="13"/>
  <c r="C19" i="13"/>
  <c r="E13" i="13"/>
  <c r="D13" i="13"/>
  <c r="C13" i="13"/>
  <c r="E7" i="13"/>
  <c r="D7" i="13"/>
  <c r="C7" i="13"/>
  <c r="E6" i="13"/>
  <c r="D6" i="13"/>
  <c r="C6" i="13"/>
  <c r="E5" i="13"/>
  <c r="D5" i="13"/>
  <c r="C5" i="13"/>
  <c r="B23" i="13"/>
  <c r="D23" i="13"/>
  <c r="E23" i="13"/>
  <c r="B24" i="13"/>
  <c r="D24" i="13"/>
  <c r="E24" i="13"/>
  <c r="B25" i="13"/>
  <c r="D25" i="13"/>
  <c r="E25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B36" i="13"/>
  <c r="D36" i="13"/>
  <c r="E36" i="13"/>
  <c r="B38" i="13"/>
  <c r="C38" i="13"/>
  <c r="D38" i="13"/>
  <c r="E38" i="13"/>
  <c r="C44" i="13"/>
  <c r="D44" i="13"/>
  <c r="D48" i="13" s="1"/>
  <c r="D49" i="13" s="1"/>
  <c r="E44" i="13"/>
  <c r="B46" i="13"/>
  <c r="D46" i="13"/>
  <c r="E46" i="13"/>
  <c r="B47" i="13"/>
  <c r="D47" i="13"/>
  <c r="E47" i="13"/>
  <c r="C48" i="13"/>
  <c r="E48" i="13"/>
  <c r="E49" i="13" s="1"/>
  <c r="B54" i="13"/>
  <c r="D54" i="13"/>
  <c r="E54" i="13"/>
  <c r="B55" i="13"/>
  <c r="D55" i="13"/>
  <c r="E55" i="13"/>
  <c r="D56" i="13"/>
  <c r="E56" i="13"/>
  <c r="B57" i="13"/>
  <c r="D57" i="13"/>
  <c r="E57" i="13"/>
  <c r="B58" i="13"/>
  <c r="D58" i="13"/>
  <c r="E58" i="13"/>
  <c r="B59" i="13"/>
  <c r="D59" i="13"/>
  <c r="E59" i="13"/>
  <c r="B60" i="13"/>
  <c r="D60" i="13"/>
  <c r="E60" i="13"/>
  <c r="B64" i="13"/>
  <c r="B65" i="13"/>
  <c r="B66" i="13"/>
  <c r="B67" i="13"/>
  <c r="B69" i="13"/>
  <c r="C72" i="13"/>
  <c r="B74" i="13"/>
  <c r="E74" i="13"/>
  <c r="E79" i="13" s="1"/>
  <c r="B77" i="13"/>
  <c r="B78" i="13"/>
  <c r="C78" i="13"/>
  <c r="D78" i="13"/>
  <c r="E78" i="13"/>
  <c r="B79" i="13"/>
  <c r="B95" i="13"/>
  <c r="B96" i="13"/>
  <c r="B98" i="13"/>
  <c r="B97" i="13" s="1"/>
  <c r="B101" i="13"/>
  <c r="B100" i="13" s="1"/>
  <c r="B104" i="13"/>
  <c r="B103" i="13" s="1"/>
  <c r="B107" i="13"/>
  <c r="B106" i="13" s="1"/>
  <c r="B110" i="13"/>
  <c r="B109" i="13" s="1"/>
  <c r="B113" i="13"/>
  <c r="B112" i="13" s="1"/>
  <c r="C125" i="13"/>
  <c r="D125" i="13"/>
  <c r="E125" i="13"/>
  <c r="D127" i="13"/>
  <c r="E127" i="13"/>
  <c r="D129" i="13"/>
  <c r="E129" i="13"/>
  <c r="B154" i="13"/>
  <c r="B155" i="13"/>
  <c r="B160" i="13"/>
  <c r="B161" i="13"/>
  <c r="B166" i="13"/>
  <c r="B167" i="13"/>
  <c r="B172" i="13"/>
  <c r="B173" i="13"/>
  <c r="B178" i="13"/>
  <c r="B179" i="13"/>
  <c r="B181" i="13"/>
  <c r="B182" i="13"/>
  <c r="B184" i="13"/>
  <c r="B185" i="13"/>
  <c r="B190" i="13"/>
  <c r="B191" i="13"/>
  <c r="B193" i="13"/>
  <c r="B194" i="13"/>
  <c r="B196" i="13"/>
  <c r="B197" i="13"/>
  <c r="J29" i="1"/>
  <c r="J28" i="1"/>
  <c r="J26" i="1"/>
  <c r="I22" i="1"/>
  <c r="H22" i="1"/>
  <c r="J22" i="1" s="1"/>
  <c r="J21" i="1"/>
  <c r="I13" i="1"/>
  <c r="H12" i="1"/>
  <c r="I11" i="1"/>
  <c r="H11" i="1"/>
  <c r="G14" i="1"/>
  <c r="D6" i="5"/>
  <c r="E6" i="5"/>
  <c r="E24" i="5" s="1"/>
  <c r="G6" i="5"/>
  <c r="G24" i="5" s="1"/>
  <c r="I6" i="5"/>
  <c r="K6" i="5"/>
  <c r="M6" i="5"/>
  <c r="M24" i="5" s="1"/>
  <c r="O6" i="5"/>
  <c r="O24" i="5" s="1"/>
  <c r="Q6" i="5"/>
  <c r="S6" i="5"/>
  <c r="AC6" i="5"/>
  <c r="AC24" i="5" s="1"/>
  <c r="D7" i="5"/>
  <c r="B5" i="6" s="1"/>
  <c r="E7" i="5"/>
  <c r="G7" i="5"/>
  <c r="I7" i="5"/>
  <c r="K7" i="5"/>
  <c r="M7" i="5"/>
  <c r="O7" i="5"/>
  <c r="Q7" i="5"/>
  <c r="S7" i="5"/>
  <c r="D8" i="5"/>
  <c r="E8" i="5"/>
  <c r="G8" i="5"/>
  <c r="I8" i="5"/>
  <c r="I24" i="5" s="1"/>
  <c r="K8" i="5"/>
  <c r="M8" i="5"/>
  <c r="O8" i="5"/>
  <c r="Q8" i="5"/>
  <c r="Q24" i="5" s="1"/>
  <c r="S8" i="5"/>
  <c r="D9" i="5"/>
  <c r="E9" i="5"/>
  <c r="G9" i="5"/>
  <c r="I9" i="5"/>
  <c r="K9" i="5"/>
  <c r="M9" i="5"/>
  <c r="O9" i="5"/>
  <c r="Q9" i="5"/>
  <c r="S9" i="5"/>
  <c r="D10" i="5"/>
  <c r="E10" i="5"/>
  <c r="G10" i="5"/>
  <c r="I10" i="5"/>
  <c r="K10" i="5"/>
  <c r="M10" i="5"/>
  <c r="O10" i="5"/>
  <c r="Q10" i="5"/>
  <c r="S10" i="5"/>
  <c r="D11" i="5"/>
  <c r="E11" i="5"/>
  <c r="G11" i="5"/>
  <c r="I11" i="5"/>
  <c r="K11" i="5"/>
  <c r="M11" i="5"/>
  <c r="O11" i="5"/>
  <c r="Q11" i="5"/>
  <c r="S11" i="5"/>
  <c r="D12" i="5"/>
  <c r="E12" i="5"/>
  <c r="G12" i="5"/>
  <c r="I12" i="5"/>
  <c r="K12" i="5"/>
  <c r="M12" i="5"/>
  <c r="O12" i="5"/>
  <c r="Q12" i="5"/>
  <c r="S12" i="5"/>
  <c r="D13" i="5"/>
  <c r="E13" i="5"/>
  <c r="G13" i="5"/>
  <c r="I13" i="5"/>
  <c r="K13" i="5"/>
  <c r="M13" i="5"/>
  <c r="O13" i="5"/>
  <c r="Q13" i="5"/>
  <c r="S13" i="5"/>
  <c r="D14" i="5"/>
  <c r="E14" i="5"/>
  <c r="G14" i="5"/>
  <c r="I14" i="5"/>
  <c r="K14" i="5"/>
  <c r="M14" i="5"/>
  <c r="O14" i="5"/>
  <c r="Q14" i="5"/>
  <c r="S14" i="5"/>
  <c r="D15" i="5"/>
  <c r="E15" i="5"/>
  <c r="G15" i="5"/>
  <c r="I15" i="5"/>
  <c r="K15" i="5"/>
  <c r="M15" i="5"/>
  <c r="O15" i="5"/>
  <c r="Q15" i="5"/>
  <c r="S15" i="5"/>
  <c r="D16" i="5"/>
  <c r="E16" i="5"/>
  <c r="G16" i="5"/>
  <c r="I16" i="5"/>
  <c r="K16" i="5"/>
  <c r="M16" i="5"/>
  <c r="O16" i="5"/>
  <c r="Q16" i="5"/>
  <c r="S16" i="5"/>
  <c r="D17" i="5"/>
  <c r="E17" i="5"/>
  <c r="G17" i="5"/>
  <c r="I17" i="5"/>
  <c r="K17" i="5"/>
  <c r="M17" i="5"/>
  <c r="O17" i="5"/>
  <c r="Q17" i="5"/>
  <c r="S17" i="5"/>
  <c r="D18" i="5"/>
  <c r="E18" i="5"/>
  <c r="G18" i="5"/>
  <c r="I18" i="5"/>
  <c r="K18" i="5"/>
  <c r="M18" i="5"/>
  <c r="O18" i="5"/>
  <c r="Q18" i="5"/>
  <c r="S18" i="5"/>
  <c r="D19" i="5"/>
  <c r="E19" i="5"/>
  <c r="G19" i="5"/>
  <c r="I19" i="5"/>
  <c r="K19" i="5"/>
  <c r="M19" i="5"/>
  <c r="O19" i="5"/>
  <c r="Q19" i="5"/>
  <c r="S19" i="5"/>
  <c r="D20" i="5"/>
  <c r="E20" i="5"/>
  <c r="G20" i="5"/>
  <c r="I20" i="5"/>
  <c r="K20" i="5"/>
  <c r="M20" i="5"/>
  <c r="O20" i="5"/>
  <c r="Q20" i="5"/>
  <c r="S20" i="5"/>
  <c r="D21" i="5"/>
  <c r="E21" i="5"/>
  <c r="G21" i="5"/>
  <c r="I21" i="5"/>
  <c r="K21" i="5"/>
  <c r="M21" i="5"/>
  <c r="O21" i="5"/>
  <c r="Q21" i="5"/>
  <c r="S21" i="5"/>
  <c r="D22" i="5"/>
  <c r="E22" i="5"/>
  <c r="G22" i="5"/>
  <c r="I22" i="5"/>
  <c r="K22" i="5"/>
  <c r="M22" i="5"/>
  <c r="O22" i="5"/>
  <c r="Q22" i="5"/>
  <c r="S22" i="5"/>
  <c r="D23" i="5"/>
  <c r="E23" i="5"/>
  <c r="G23" i="5"/>
  <c r="I23" i="5"/>
  <c r="K23" i="5"/>
  <c r="M23" i="5"/>
  <c r="O23" i="5"/>
  <c r="Q23" i="5"/>
  <c r="S23" i="5"/>
  <c r="S24" i="5" s="1"/>
  <c r="K24" i="5"/>
  <c r="U24" i="5"/>
  <c r="W24" i="5"/>
  <c r="A25" i="5"/>
  <c r="D25" i="5"/>
  <c r="B4" i="9" s="1"/>
  <c r="E25" i="5"/>
  <c r="G25" i="5"/>
  <c r="I25" i="5"/>
  <c r="I37" i="5" s="1"/>
  <c r="K25" i="5"/>
  <c r="K37" i="5" s="1"/>
  <c r="M25" i="5"/>
  <c r="O25" i="5"/>
  <c r="Q25" i="5"/>
  <c r="Q37" i="5" s="1"/>
  <c r="S25" i="5"/>
  <c r="S37" i="5" s="1"/>
  <c r="U25" i="5"/>
  <c r="W25" i="5"/>
  <c r="AC25" i="5"/>
  <c r="AC37" i="5" s="1"/>
  <c r="AD81" i="5" s="1"/>
  <c r="A26" i="5"/>
  <c r="D26" i="5"/>
  <c r="E26" i="5"/>
  <c r="G26" i="5"/>
  <c r="G37" i="5" s="1"/>
  <c r="I26" i="5"/>
  <c r="K26" i="5"/>
  <c r="M26" i="5"/>
  <c r="O26" i="5"/>
  <c r="O37" i="5" s="1"/>
  <c r="Q26" i="5"/>
  <c r="S26" i="5"/>
  <c r="U26" i="5"/>
  <c r="W26" i="5"/>
  <c r="W37" i="5" s="1"/>
  <c r="A27" i="5"/>
  <c r="D27" i="5"/>
  <c r="E27" i="5"/>
  <c r="G27" i="5"/>
  <c r="I27" i="5"/>
  <c r="K27" i="5"/>
  <c r="M27" i="5"/>
  <c r="O27" i="5"/>
  <c r="Q27" i="5"/>
  <c r="S27" i="5"/>
  <c r="U27" i="5"/>
  <c r="W27" i="5"/>
  <c r="A28" i="5"/>
  <c r="D28" i="5"/>
  <c r="E28" i="5"/>
  <c r="G28" i="5"/>
  <c r="I28" i="5"/>
  <c r="K28" i="5"/>
  <c r="M28" i="5"/>
  <c r="O28" i="5"/>
  <c r="Q28" i="5"/>
  <c r="S28" i="5"/>
  <c r="U28" i="5"/>
  <c r="W28" i="5"/>
  <c r="A29" i="5"/>
  <c r="D29" i="5"/>
  <c r="E29" i="5"/>
  <c r="G29" i="5"/>
  <c r="I29" i="5"/>
  <c r="K29" i="5"/>
  <c r="M29" i="5"/>
  <c r="O29" i="5"/>
  <c r="Q29" i="5"/>
  <c r="S29" i="5"/>
  <c r="U29" i="5"/>
  <c r="W29" i="5"/>
  <c r="A30" i="5"/>
  <c r="D30" i="5"/>
  <c r="E30" i="5"/>
  <c r="G30" i="5"/>
  <c r="I30" i="5"/>
  <c r="K30" i="5"/>
  <c r="M30" i="5"/>
  <c r="O30" i="5"/>
  <c r="Q30" i="5"/>
  <c r="S30" i="5"/>
  <c r="U30" i="5"/>
  <c r="W30" i="5"/>
  <c r="A31" i="5"/>
  <c r="D31" i="5"/>
  <c r="E31" i="5"/>
  <c r="G31" i="5"/>
  <c r="I31" i="5"/>
  <c r="K31" i="5"/>
  <c r="M31" i="5"/>
  <c r="O31" i="5"/>
  <c r="Q31" i="5"/>
  <c r="S31" i="5"/>
  <c r="U31" i="5"/>
  <c r="W31" i="5"/>
  <c r="A32" i="5"/>
  <c r="D32" i="5"/>
  <c r="E32" i="5"/>
  <c r="G32" i="5"/>
  <c r="I32" i="5"/>
  <c r="K32" i="5"/>
  <c r="M32" i="5"/>
  <c r="O32" i="5"/>
  <c r="Q32" i="5"/>
  <c r="S32" i="5"/>
  <c r="U32" i="5"/>
  <c r="W32" i="5"/>
  <c r="A33" i="5"/>
  <c r="D33" i="5"/>
  <c r="E33" i="5"/>
  <c r="G33" i="5"/>
  <c r="I33" i="5"/>
  <c r="K33" i="5"/>
  <c r="M33" i="5"/>
  <c r="O33" i="5"/>
  <c r="Q33" i="5"/>
  <c r="S33" i="5"/>
  <c r="U33" i="5"/>
  <c r="W33" i="5"/>
  <c r="A34" i="5"/>
  <c r="D34" i="5"/>
  <c r="E34" i="5"/>
  <c r="G34" i="5"/>
  <c r="I34" i="5"/>
  <c r="K34" i="5"/>
  <c r="M34" i="5"/>
  <c r="O34" i="5"/>
  <c r="Q34" i="5"/>
  <c r="S34" i="5"/>
  <c r="U34" i="5"/>
  <c r="W34" i="5"/>
  <c r="A35" i="5"/>
  <c r="D35" i="5"/>
  <c r="E35" i="5"/>
  <c r="G35" i="5"/>
  <c r="I35" i="5"/>
  <c r="K35" i="5"/>
  <c r="M35" i="5"/>
  <c r="O35" i="5"/>
  <c r="Q35" i="5"/>
  <c r="S35" i="5"/>
  <c r="U35" i="5"/>
  <c r="W35" i="5"/>
  <c r="A36" i="5"/>
  <c r="D36" i="5"/>
  <c r="E36" i="5"/>
  <c r="G36" i="5"/>
  <c r="I36" i="5"/>
  <c r="K36" i="5"/>
  <c r="M36" i="5"/>
  <c r="O36" i="5"/>
  <c r="Q36" i="5"/>
  <c r="S36" i="5"/>
  <c r="U36" i="5"/>
  <c r="W36" i="5"/>
  <c r="E37" i="5"/>
  <c r="M37" i="5"/>
  <c r="U37" i="5"/>
  <c r="D38" i="5"/>
  <c r="E38" i="5"/>
  <c r="E48" i="5" s="1"/>
  <c r="G38" i="5"/>
  <c r="I38" i="5"/>
  <c r="K38" i="5"/>
  <c r="K48" i="5" s="1"/>
  <c r="M38" i="5"/>
  <c r="M48" i="5" s="1"/>
  <c r="O38" i="5"/>
  <c r="Q38" i="5"/>
  <c r="W38" i="5"/>
  <c r="AC38" i="5"/>
  <c r="D39" i="5"/>
  <c r="E39" i="5"/>
  <c r="G39" i="5"/>
  <c r="I39" i="5"/>
  <c r="K39" i="5"/>
  <c r="M39" i="5"/>
  <c r="O39" i="5"/>
  <c r="Q39" i="5"/>
  <c r="W39" i="5"/>
  <c r="D40" i="5"/>
  <c r="E40" i="5"/>
  <c r="G40" i="5"/>
  <c r="G48" i="5" s="1"/>
  <c r="I40" i="5"/>
  <c r="K40" i="5"/>
  <c r="M40" i="5"/>
  <c r="O40" i="5"/>
  <c r="O48" i="5" s="1"/>
  <c r="Q40" i="5"/>
  <c r="W40" i="5"/>
  <c r="D41" i="5"/>
  <c r="E41" i="5"/>
  <c r="G41" i="5"/>
  <c r="I41" i="5"/>
  <c r="K41" i="5"/>
  <c r="M41" i="5"/>
  <c r="O41" i="5"/>
  <c r="Q41" i="5"/>
  <c r="W41" i="5"/>
  <c r="D42" i="5"/>
  <c r="B8" i="17" s="1"/>
  <c r="E42" i="5"/>
  <c r="G42" i="5"/>
  <c r="I42" i="5"/>
  <c r="K42" i="5"/>
  <c r="M42" i="5"/>
  <c r="O42" i="5"/>
  <c r="Q42" i="5"/>
  <c r="W42" i="5"/>
  <c r="W48" i="5" s="1"/>
  <c r="D43" i="5"/>
  <c r="B9" i="17" s="1"/>
  <c r="E43" i="5"/>
  <c r="G43" i="5"/>
  <c r="I43" i="5"/>
  <c r="K43" i="5"/>
  <c r="M43" i="5"/>
  <c r="O43" i="5"/>
  <c r="Q43" i="5"/>
  <c r="W43" i="5"/>
  <c r="D44" i="5"/>
  <c r="E44" i="5"/>
  <c r="G44" i="5"/>
  <c r="I44" i="5"/>
  <c r="K44" i="5"/>
  <c r="M44" i="5"/>
  <c r="O44" i="5"/>
  <c r="Q44" i="5"/>
  <c r="W44" i="5"/>
  <c r="Z44" i="5"/>
  <c r="D45" i="5"/>
  <c r="E45" i="5"/>
  <c r="G45" i="5"/>
  <c r="I45" i="5"/>
  <c r="K45" i="5"/>
  <c r="M45" i="5"/>
  <c r="O45" i="5"/>
  <c r="Q45" i="5"/>
  <c r="W45" i="5"/>
  <c r="Z45" i="5"/>
  <c r="D46" i="5"/>
  <c r="E46" i="5"/>
  <c r="G46" i="5"/>
  <c r="I46" i="5"/>
  <c r="K46" i="5"/>
  <c r="M46" i="5"/>
  <c r="O46" i="5"/>
  <c r="Q46" i="5"/>
  <c r="W46" i="5"/>
  <c r="Z46" i="5"/>
  <c r="D47" i="5"/>
  <c r="B13" i="17" s="1"/>
  <c r="E47" i="5"/>
  <c r="G47" i="5"/>
  <c r="I47" i="5"/>
  <c r="K47" i="5"/>
  <c r="M47" i="5"/>
  <c r="O47" i="5"/>
  <c r="Q47" i="5"/>
  <c r="W47" i="5"/>
  <c r="Z47" i="5"/>
  <c r="I48" i="5"/>
  <c r="Q48" i="5"/>
  <c r="S48" i="5"/>
  <c r="U48" i="5"/>
  <c r="AC48" i="5"/>
  <c r="AA47" i="13"/>
  <c r="K96" i="2"/>
  <c r="J96" i="2"/>
  <c r="E95" i="2"/>
  <c r="D95" i="2"/>
  <c r="B196" i="18"/>
  <c r="B193" i="18"/>
  <c r="B190" i="18"/>
  <c r="B184" i="18"/>
  <c r="B181" i="18"/>
  <c r="B178" i="18"/>
  <c r="B172" i="18"/>
  <c r="B166" i="18"/>
  <c r="B160" i="18"/>
  <c r="B154" i="18"/>
  <c r="B5" i="17"/>
  <c r="B6" i="17"/>
  <c r="B7" i="17"/>
  <c r="B10" i="17"/>
  <c r="B11" i="17"/>
  <c r="B12" i="17"/>
  <c r="B4" i="17"/>
  <c r="D125" i="19"/>
  <c r="C125" i="19"/>
  <c r="B113" i="19"/>
  <c r="B112" i="19"/>
  <c r="B110" i="19"/>
  <c r="B109" i="19"/>
  <c r="B107" i="19"/>
  <c r="B106" i="19"/>
  <c r="B104" i="19"/>
  <c r="B103" i="19"/>
  <c r="B101" i="19"/>
  <c r="B100" i="19"/>
  <c r="B98" i="19"/>
  <c r="B97" i="19"/>
  <c r="D78" i="19"/>
  <c r="B78" i="19"/>
  <c r="B74" i="19"/>
  <c r="B79" i="19" s="1"/>
  <c r="C72" i="19"/>
  <c r="C78" i="19" s="1"/>
  <c r="B67" i="19"/>
  <c r="B66" i="19"/>
  <c r="B64" i="19"/>
  <c r="B59" i="19"/>
  <c r="B57" i="19"/>
  <c r="B54" i="19"/>
  <c r="B42" i="19"/>
  <c r="B40" i="19"/>
  <c r="B36" i="19"/>
  <c r="B24" i="19"/>
  <c r="B23" i="19"/>
  <c r="D8" i="19"/>
  <c r="C8" i="19"/>
  <c r="D7" i="19"/>
  <c r="C7" i="19"/>
  <c r="D6" i="19"/>
  <c r="C6" i="19"/>
  <c r="C5" i="19"/>
  <c r="C13" i="19" s="1"/>
  <c r="F125" i="18"/>
  <c r="E125" i="18"/>
  <c r="D125" i="18"/>
  <c r="C125" i="18"/>
  <c r="B113" i="18"/>
  <c r="B112" i="18"/>
  <c r="B110" i="18"/>
  <c r="B109" i="18"/>
  <c r="B107" i="18"/>
  <c r="B106" i="18"/>
  <c r="B104" i="18"/>
  <c r="B103" i="18"/>
  <c r="B101" i="18"/>
  <c r="B100" i="18"/>
  <c r="B98" i="18"/>
  <c r="B97" i="18"/>
  <c r="B96" i="18"/>
  <c r="B95" i="18"/>
  <c r="F90" i="18"/>
  <c r="F78" i="18"/>
  <c r="E78" i="18"/>
  <c r="D78" i="18"/>
  <c r="B78" i="18"/>
  <c r="B74" i="18"/>
  <c r="B79" i="18" s="1"/>
  <c r="C72" i="18"/>
  <c r="C78" i="18" s="1"/>
  <c r="B67" i="18"/>
  <c r="B66" i="18"/>
  <c r="B64" i="18"/>
  <c r="B59" i="18"/>
  <c r="B57" i="18"/>
  <c r="B54" i="18"/>
  <c r="B42" i="18"/>
  <c r="E40" i="18"/>
  <c r="B40" i="18"/>
  <c r="B36" i="18"/>
  <c r="B24" i="18"/>
  <c r="B23" i="18"/>
  <c r="F8" i="18"/>
  <c r="F6" i="18"/>
  <c r="F5" i="18"/>
  <c r="F13" i="18" s="1"/>
  <c r="C5" i="18"/>
  <c r="C13" i="18" s="1"/>
  <c r="Q74" i="1"/>
  <c r="Q75" i="1"/>
  <c r="Q76" i="1"/>
  <c r="Q77" i="1"/>
  <c r="Q78" i="1"/>
  <c r="Q79" i="1"/>
  <c r="Q80" i="1"/>
  <c r="Q81" i="1"/>
  <c r="Q82" i="1"/>
  <c r="R82" i="1" s="1"/>
  <c r="Q73" i="1"/>
  <c r="Q83" i="1" s="1"/>
  <c r="M5" i="17"/>
  <c r="M7" i="17"/>
  <c r="M12" i="17"/>
  <c r="M13" i="17"/>
  <c r="M4" i="17"/>
  <c r="D11" i="17"/>
  <c r="C14" i="17"/>
  <c r="D14" i="17"/>
  <c r="E14" i="17"/>
  <c r="F14" i="17"/>
  <c r="G14" i="17"/>
  <c r="H14" i="17"/>
  <c r="I14" i="17"/>
  <c r="J14" i="17"/>
  <c r="K14" i="17"/>
  <c r="L14" i="17"/>
  <c r="U14" i="17"/>
  <c r="T14" i="17"/>
  <c r="S14" i="17"/>
  <c r="R14" i="17"/>
  <c r="Q14" i="17"/>
  <c r="P14" i="17"/>
  <c r="O14" i="17"/>
  <c r="N14" i="17"/>
  <c r="J16" i="17"/>
  <c r="J17" i="17" s="1"/>
  <c r="R81" i="1"/>
  <c r="R80" i="1"/>
  <c r="R79" i="1"/>
  <c r="R78" i="1"/>
  <c r="R77" i="1"/>
  <c r="R76" i="1"/>
  <c r="R75" i="1"/>
  <c r="R74" i="1"/>
  <c r="R73" i="1"/>
  <c r="R83" i="1" s="1"/>
  <c r="P84" i="1" s="1"/>
  <c r="P83" i="1"/>
  <c r="B107" i="16"/>
  <c r="B106" i="16"/>
  <c r="B107" i="15"/>
  <c r="B106" i="15" s="1"/>
  <c r="B196" i="15"/>
  <c r="B193" i="15"/>
  <c r="B190" i="15"/>
  <c r="B184" i="15"/>
  <c r="B181" i="15"/>
  <c r="B178" i="15"/>
  <c r="B172" i="15"/>
  <c r="B166" i="15"/>
  <c r="B160" i="15"/>
  <c r="B154" i="15"/>
  <c r="B6" i="9"/>
  <c r="B7" i="9"/>
  <c r="B8" i="9"/>
  <c r="B9" i="9"/>
  <c r="B10" i="9"/>
  <c r="B11" i="9"/>
  <c r="B12" i="9"/>
  <c r="B13" i="9"/>
  <c r="B14" i="9"/>
  <c r="B15" i="9"/>
  <c r="B5" i="9"/>
  <c r="K74" i="1"/>
  <c r="K75" i="1"/>
  <c r="K76" i="1"/>
  <c r="K77" i="1"/>
  <c r="K78" i="1"/>
  <c r="K79" i="1"/>
  <c r="K80" i="1"/>
  <c r="K81" i="1"/>
  <c r="K82" i="1"/>
  <c r="K83" i="1"/>
  <c r="K84" i="1"/>
  <c r="K73" i="1"/>
  <c r="K85" i="1" s="1"/>
  <c r="L84" i="1"/>
  <c r="S16" i="9"/>
  <c r="U16" i="9"/>
  <c r="T16" i="9"/>
  <c r="R16" i="9"/>
  <c r="M24" i="9"/>
  <c r="Q16" i="9"/>
  <c r="P16" i="9"/>
  <c r="O16" i="9"/>
  <c r="N16" i="9"/>
  <c r="O17" i="9" s="1"/>
  <c r="J16" i="9"/>
  <c r="J18" i="9" s="1"/>
  <c r="J19" i="9" s="1"/>
  <c r="I16" i="9"/>
  <c r="H16" i="9"/>
  <c r="G16" i="9"/>
  <c r="F16" i="9"/>
  <c r="E16" i="9"/>
  <c r="D16" i="9"/>
  <c r="C16" i="9"/>
  <c r="L15" i="9"/>
  <c r="L14" i="9"/>
  <c r="K13" i="9"/>
  <c r="K12" i="9"/>
  <c r="K11" i="9"/>
  <c r="K10" i="9"/>
  <c r="L9" i="9"/>
  <c r="L8" i="9"/>
  <c r="K7" i="9"/>
  <c r="L6" i="9"/>
  <c r="K5" i="9"/>
  <c r="L4" i="9"/>
  <c r="D125" i="16"/>
  <c r="C125" i="16"/>
  <c r="B113" i="16"/>
  <c r="B112" i="16"/>
  <c r="B110" i="16"/>
  <c r="B109" i="16"/>
  <c r="B104" i="16"/>
  <c r="B103" i="16"/>
  <c r="B101" i="16"/>
  <c r="B100" i="16"/>
  <c r="B98" i="16"/>
  <c r="B97" i="16"/>
  <c r="D78" i="16"/>
  <c r="B78" i="16"/>
  <c r="B74" i="16"/>
  <c r="B79" i="16" s="1"/>
  <c r="C72" i="16"/>
  <c r="C78" i="16" s="1"/>
  <c r="B67" i="16"/>
  <c r="B66" i="16"/>
  <c r="B64" i="16"/>
  <c r="B59" i="16"/>
  <c r="B57" i="16"/>
  <c r="B54" i="16"/>
  <c r="B42" i="16"/>
  <c r="B40" i="16"/>
  <c r="B36" i="16"/>
  <c r="B24" i="16"/>
  <c r="B23" i="16"/>
  <c r="D8" i="16"/>
  <c r="C8" i="16"/>
  <c r="D7" i="16"/>
  <c r="C7" i="16"/>
  <c r="D6" i="16"/>
  <c r="C6" i="16"/>
  <c r="C5" i="16"/>
  <c r="C13" i="16" s="1"/>
  <c r="F125" i="15"/>
  <c r="E125" i="15"/>
  <c r="D125" i="15"/>
  <c r="C125" i="15"/>
  <c r="B113" i="15"/>
  <c r="B112" i="15"/>
  <c r="B110" i="15"/>
  <c r="B109" i="15"/>
  <c r="B104" i="15"/>
  <c r="B103" i="15"/>
  <c r="B101" i="15"/>
  <c r="B100" i="15"/>
  <c r="B98" i="15"/>
  <c r="B97" i="15"/>
  <c r="B96" i="15"/>
  <c r="B95" i="15"/>
  <c r="F90" i="15"/>
  <c r="F78" i="15"/>
  <c r="E78" i="15"/>
  <c r="D78" i="15"/>
  <c r="B78" i="15"/>
  <c r="B74" i="15"/>
  <c r="B79" i="15" s="1"/>
  <c r="C72" i="15"/>
  <c r="C78" i="15" s="1"/>
  <c r="B67" i="15"/>
  <c r="B66" i="15"/>
  <c r="B64" i="15"/>
  <c r="B59" i="15"/>
  <c r="B57" i="15"/>
  <c r="B54" i="15"/>
  <c r="B42" i="15"/>
  <c r="E40" i="15"/>
  <c r="B40" i="15"/>
  <c r="B36" i="15"/>
  <c r="B24" i="15"/>
  <c r="B23" i="15"/>
  <c r="F8" i="15"/>
  <c r="F6" i="15"/>
  <c r="F5" i="15"/>
  <c r="F13" i="15" s="1"/>
  <c r="C5" i="15"/>
  <c r="C13" i="15" s="1"/>
  <c r="B42" i="12"/>
  <c r="B40" i="12"/>
  <c r="C5" i="12"/>
  <c r="B189" i="7"/>
  <c r="B186" i="7"/>
  <c r="B183" i="7"/>
  <c r="B177" i="7"/>
  <c r="B174" i="7"/>
  <c r="B171" i="7"/>
  <c r="B165" i="7"/>
  <c r="B159" i="7"/>
  <c r="B153" i="7"/>
  <c r="B147" i="7"/>
  <c r="E11" i="1"/>
  <c r="B42" i="7"/>
  <c r="C88" i="2"/>
  <c r="C89" i="2" s="1"/>
  <c r="C90" i="2" s="1"/>
  <c r="C91" i="2" s="1"/>
  <c r="C92" i="2" s="1"/>
  <c r="C93" i="2" s="1"/>
  <c r="C94" i="2" s="1"/>
  <c r="C95" i="2" s="1"/>
  <c r="E82" i="1"/>
  <c r="E74" i="1"/>
  <c r="C22" i="6"/>
  <c r="E22" i="6"/>
  <c r="F22" i="6"/>
  <c r="G22" i="6"/>
  <c r="H22" i="6"/>
  <c r="I22" i="6"/>
  <c r="K22" i="6"/>
  <c r="L22" i="6"/>
  <c r="D22" i="6"/>
  <c r="J21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E75" i="1"/>
  <c r="E76" i="1"/>
  <c r="E77" i="1"/>
  <c r="E78" i="1"/>
  <c r="E79" i="1"/>
  <c r="E80" i="1"/>
  <c r="E81" i="1"/>
  <c r="E83" i="1"/>
  <c r="E84" i="1"/>
  <c r="E85" i="1"/>
  <c r="E86" i="1"/>
  <c r="E87" i="1"/>
  <c r="E88" i="1"/>
  <c r="E89" i="1"/>
  <c r="E90" i="1"/>
  <c r="E73" i="1"/>
  <c r="E91" i="1" s="1"/>
  <c r="M4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4" i="6"/>
  <c r="M22" i="6"/>
  <c r="K25" i="6" s="1"/>
  <c r="D5" i="7"/>
  <c r="C5" i="7"/>
  <c r="F5" i="7"/>
  <c r="H95" i="2"/>
  <c r="I95" i="2" s="1"/>
  <c r="L24" i="6"/>
  <c r="K24" i="6"/>
  <c r="D24" i="6"/>
  <c r="E24" i="6"/>
  <c r="F24" i="6"/>
  <c r="G24" i="6"/>
  <c r="H24" i="6"/>
  <c r="I24" i="6"/>
  <c r="P22" i="6"/>
  <c r="Q22" i="6"/>
  <c r="R22" i="6"/>
  <c r="S22" i="6"/>
  <c r="T22" i="6"/>
  <c r="U22" i="6"/>
  <c r="O22" i="6"/>
  <c r="N22" i="6"/>
  <c r="O23" i="6" s="1"/>
  <c r="D91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73" i="1"/>
  <c r="F91" i="1" s="1"/>
  <c r="D92" i="1" s="1"/>
  <c r="E25" i="1"/>
  <c r="C22" i="1"/>
  <c r="C21" i="1"/>
  <c r="E21" i="1" s="1"/>
  <c r="C14" i="1"/>
  <c r="E5" i="18" s="1"/>
  <c r="E13" i="18" s="1"/>
  <c r="C68" i="2"/>
  <c r="C132" i="2"/>
  <c r="D132" i="2"/>
  <c r="D127" i="2"/>
  <c r="D126" i="2"/>
  <c r="C126" i="2"/>
  <c r="C125" i="2"/>
  <c r="D125" i="2"/>
  <c r="D124" i="2"/>
  <c r="D123" i="2"/>
  <c r="C123" i="2"/>
  <c r="C124" i="2"/>
  <c r="C127" i="2"/>
  <c r="C66" i="2"/>
  <c r="C64" i="2"/>
  <c r="C63" i="2"/>
  <c r="C24" i="6"/>
  <c r="B96" i="7"/>
  <c r="B95" i="7"/>
  <c r="F6" i="7"/>
  <c r="F8" i="7"/>
  <c r="E78" i="7"/>
  <c r="F78" i="7"/>
  <c r="E121" i="7"/>
  <c r="F121" i="7"/>
  <c r="D121" i="12"/>
  <c r="C121" i="12"/>
  <c r="B110" i="12"/>
  <c r="B109" i="12"/>
  <c r="B107" i="12"/>
  <c r="B106" i="12"/>
  <c r="B104" i="12"/>
  <c r="B103" i="12"/>
  <c r="B101" i="12"/>
  <c r="B100" i="12"/>
  <c r="B98" i="12"/>
  <c r="B97" i="12"/>
  <c r="D78" i="12"/>
  <c r="B78" i="12"/>
  <c r="B74" i="12"/>
  <c r="B79" i="12" s="1"/>
  <c r="C72" i="12"/>
  <c r="C78" i="12" s="1"/>
  <c r="B67" i="12"/>
  <c r="B66" i="12"/>
  <c r="B64" i="12"/>
  <c r="B59" i="12"/>
  <c r="B57" i="12"/>
  <c r="B54" i="12"/>
  <c r="B36" i="12"/>
  <c r="B24" i="12"/>
  <c r="B23" i="12"/>
  <c r="D8" i="12"/>
  <c r="C8" i="12"/>
  <c r="D7" i="12"/>
  <c r="C7" i="12"/>
  <c r="D6" i="12"/>
  <c r="C6" i="12"/>
  <c r="D146" i="2"/>
  <c r="H146" i="2" s="1"/>
  <c r="F49" i="2"/>
  <c r="G49" i="2" s="1"/>
  <c r="B74" i="7"/>
  <c r="B67" i="7"/>
  <c r="B66" i="7"/>
  <c r="D22" i="1"/>
  <c r="E22" i="1" s="1"/>
  <c r="D11" i="1"/>
  <c r="H30" i="9"/>
  <c r="J30" i="9" s="1"/>
  <c r="J31" i="9" s="1"/>
  <c r="D121" i="7"/>
  <c r="C121" i="7"/>
  <c r="B110" i="7"/>
  <c r="B109" i="7"/>
  <c r="B107" i="7"/>
  <c r="B106" i="7"/>
  <c r="B104" i="7"/>
  <c r="B103" i="7"/>
  <c r="B101" i="7"/>
  <c r="B100" i="7"/>
  <c r="B98" i="7"/>
  <c r="B97" i="7"/>
  <c r="D78" i="7"/>
  <c r="B78" i="7"/>
  <c r="B79" i="7"/>
  <c r="C72" i="7"/>
  <c r="C78" i="7" s="1"/>
  <c r="B64" i="7"/>
  <c r="B59" i="7"/>
  <c r="B57" i="7"/>
  <c r="B54" i="7"/>
  <c r="B40" i="7"/>
  <c r="B36" i="7"/>
  <c r="B24" i="7"/>
  <c r="B23" i="7"/>
  <c r="C176" i="6"/>
  <c r="H145" i="2"/>
  <c r="G133" i="2"/>
  <c r="G132" i="2"/>
  <c r="G131" i="2"/>
  <c r="G130" i="2"/>
  <c r="G127" i="2"/>
  <c r="G126" i="2"/>
  <c r="G125" i="2"/>
  <c r="G124" i="2"/>
  <c r="G123" i="2"/>
  <c r="F116" i="2"/>
  <c r="F115" i="2"/>
  <c r="F114" i="2"/>
  <c r="F113" i="2"/>
  <c r="F111" i="2"/>
  <c r="F110" i="2"/>
  <c r="F109" i="2"/>
  <c r="F108" i="2"/>
  <c r="F107" i="2"/>
  <c r="F106" i="2"/>
  <c r="H94" i="2"/>
  <c r="H93" i="2"/>
  <c r="H92" i="2"/>
  <c r="H91" i="2"/>
  <c r="H90" i="2"/>
  <c r="H89" i="2"/>
  <c r="H88" i="2"/>
  <c r="H87" i="2"/>
  <c r="F68" i="2"/>
  <c r="F66" i="2"/>
  <c r="F65" i="2"/>
  <c r="F64" i="2"/>
  <c r="F63" i="2"/>
  <c r="F57" i="2"/>
  <c r="G57" i="2" s="1"/>
  <c r="F56" i="2"/>
  <c r="F55" i="2"/>
  <c r="G55" i="2" s="1"/>
  <c r="F54" i="2"/>
  <c r="G54" i="2" s="1"/>
  <c r="F53" i="2"/>
  <c r="G53" i="2" s="1"/>
  <c r="F52" i="2"/>
  <c r="F51" i="2"/>
  <c r="G51" i="2" s="1"/>
  <c r="F50" i="2"/>
  <c r="G50" i="2" s="1"/>
  <c r="F48" i="2"/>
  <c r="F47" i="2"/>
  <c r="G47" i="2" s="1"/>
  <c r="F46" i="2"/>
  <c r="G46" i="2" s="1"/>
  <c r="F45" i="2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" i="2"/>
  <c r="G3" i="2" s="1"/>
  <c r="J85" i="1"/>
  <c r="L83" i="1"/>
  <c r="L78" i="1"/>
  <c r="L77" i="1"/>
  <c r="L75" i="1"/>
  <c r="E56" i="1"/>
  <c r="E64" i="13" l="1"/>
  <c r="E65" i="13"/>
  <c r="E67" i="13"/>
  <c r="E68" i="13"/>
  <c r="E128" i="13"/>
  <c r="E66" i="13"/>
  <c r="D65" i="13"/>
  <c r="D66" i="13"/>
  <c r="D128" i="13"/>
  <c r="D64" i="13"/>
  <c r="D67" i="13"/>
  <c r="D74" i="13"/>
  <c r="D79" i="13" s="1"/>
  <c r="AC50" i="5"/>
  <c r="B65" i="19"/>
  <c r="B65" i="18"/>
  <c r="D39" i="19"/>
  <c r="D39" i="18"/>
  <c r="C39" i="19"/>
  <c r="F39" i="18"/>
  <c r="E39" i="18"/>
  <c r="C39" i="18"/>
  <c r="B41" i="19"/>
  <c r="B41" i="18"/>
  <c r="D5" i="19"/>
  <c r="D13" i="19" s="1"/>
  <c r="D5" i="18"/>
  <c r="D13" i="18" s="1"/>
  <c r="M6" i="9"/>
  <c r="M8" i="9"/>
  <c r="M9" i="9"/>
  <c r="M14" i="9"/>
  <c r="M15" i="9"/>
  <c r="B197" i="15"/>
  <c r="B194" i="15"/>
  <c r="B155" i="15"/>
  <c r="B161" i="15"/>
  <c r="B167" i="15"/>
  <c r="B173" i="15"/>
  <c r="B179" i="15"/>
  <c r="B182" i="15"/>
  <c r="B185" i="15"/>
  <c r="O15" i="17"/>
  <c r="O16" i="17"/>
  <c r="K87" i="2"/>
  <c r="J87" i="2"/>
  <c r="I87" i="2"/>
  <c r="K88" i="2"/>
  <c r="J88" i="2"/>
  <c r="K89" i="2"/>
  <c r="J89" i="2"/>
  <c r="K90" i="2"/>
  <c r="J90" i="2"/>
  <c r="K91" i="2"/>
  <c r="J91" i="2"/>
  <c r="K92" i="2"/>
  <c r="J92" i="2"/>
  <c r="K93" i="2"/>
  <c r="J93" i="2"/>
  <c r="K94" i="2"/>
  <c r="J94" i="2"/>
  <c r="B89" i="18"/>
  <c r="F89" i="18" s="1"/>
  <c r="B89" i="15"/>
  <c r="F89" i="15" s="1"/>
  <c r="J95" i="2"/>
  <c r="K95" i="2"/>
  <c r="O24" i="6"/>
  <c r="B190" i="7"/>
  <c r="B187" i="7"/>
  <c r="B148" i="7"/>
  <c r="B154" i="7"/>
  <c r="B160" i="7"/>
  <c r="B166" i="7"/>
  <c r="B172" i="7"/>
  <c r="B175" i="7"/>
  <c r="B178" i="7"/>
  <c r="B38" i="19"/>
  <c r="B38" i="18"/>
  <c r="B194" i="18"/>
  <c r="B197" i="18"/>
  <c r="B185" i="18"/>
  <c r="B182" i="18"/>
  <c r="B179" i="18"/>
  <c r="B173" i="18"/>
  <c r="B167" i="18"/>
  <c r="B161" i="18"/>
  <c r="B155" i="18"/>
  <c r="M6" i="17"/>
  <c r="M8" i="17"/>
  <c r="M9" i="17"/>
  <c r="M10" i="17"/>
  <c r="M11" i="17"/>
  <c r="C14" i="19"/>
  <c r="C19" i="19" s="1"/>
  <c r="D14" i="19"/>
  <c r="D19" i="19" s="1"/>
  <c r="B25" i="19"/>
  <c r="B46" i="19" s="1"/>
  <c r="D23" i="19"/>
  <c r="C23" i="19"/>
  <c r="B58" i="19"/>
  <c r="B47" i="19"/>
  <c r="D38" i="19"/>
  <c r="C38" i="19"/>
  <c r="D41" i="19"/>
  <c r="C41" i="19"/>
  <c r="D42" i="19"/>
  <c r="C42" i="19"/>
  <c r="B55" i="19"/>
  <c r="B69" i="19"/>
  <c r="B77" i="19" s="1"/>
  <c r="C14" i="18"/>
  <c r="C19" i="18" s="1"/>
  <c r="D14" i="18"/>
  <c r="D19" i="18" s="1"/>
  <c r="E18" i="18"/>
  <c r="E19" i="18" s="1"/>
  <c r="F14" i="18"/>
  <c r="F19" i="18" s="1"/>
  <c r="B25" i="18"/>
  <c r="B46" i="18" s="1"/>
  <c r="F23" i="18"/>
  <c r="E23" i="18"/>
  <c r="D23" i="18"/>
  <c r="C23" i="18"/>
  <c r="B58" i="18"/>
  <c r="B47" i="18"/>
  <c r="F38" i="18"/>
  <c r="E38" i="18"/>
  <c r="D38" i="18"/>
  <c r="C38" i="18"/>
  <c r="F41" i="18"/>
  <c r="E41" i="18"/>
  <c r="D41" i="18"/>
  <c r="C41" i="18"/>
  <c r="F42" i="18"/>
  <c r="E42" i="18"/>
  <c r="D42" i="18"/>
  <c r="C42" i="18"/>
  <c r="B55" i="18"/>
  <c r="B69" i="18"/>
  <c r="B77" i="18" s="1"/>
  <c r="B191" i="18"/>
  <c r="K16" i="17"/>
  <c r="C16" i="17"/>
  <c r="D16" i="17"/>
  <c r="E16" i="17"/>
  <c r="F16" i="17"/>
  <c r="G16" i="17"/>
  <c r="H16" i="17"/>
  <c r="I16" i="17"/>
  <c r="O18" i="9"/>
  <c r="B65" i="16"/>
  <c r="B65" i="15"/>
  <c r="D39" i="16"/>
  <c r="D39" i="15"/>
  <c r="D39" i="7"/>
  <c r="E5" i="15"/>
  <c r="E13" i="15" s="1"/>
  <c r="E5" i="7"/>
  <c r="E13" i="7" s="1"/>
  <c r="C39" i="16"/>
  <c r="F39" i="15"/>
  <c r="E39" i="15"/>
  <c r="C39" i="15"/>
  <c r="C39" i="7"/>
  <c r="B41" i="16"/>
  <c r="B41" i="15"/>
  <c r="B41" i="12"/>
  <c r="B41" i="7"/>
  <c r="D5" i="16"/>
  <c r="D13" i="16" s="1"/>
  <c r="D5" i="15"/>
  <c r="D13" i="15" s="1"/>
  <c r="B38" i="12"/>
  <c r="B38" i="7"/>
  <c r="L25" i="6"/>
  <c r="J22" i="6"/>
  <c r="J24" i="6" s="1"/>
  <c r="D25" i="6"/>
  <c r="I25" i="6"/>
  <c r="H25" i="6"/>
  <c r="G25" i="6"/>
  <c r="F25" i="6"/>
  <c r="E25" i="6"/>
  <c r="C25" i="6"/>
  <c r="M4" i="9"/>
  <c r="K16" i="9"/>
  <c r="K18" i="9" s="1"/>
  <c r="L5" i="9"/>
  <c r="L7" i="9"/>
  <c r="L10" i="9"/>
  <c r="L11" i="9"/>
  <c r="L12" i="9"/>
  <c r="L13" i="9"/>
  <c r="C18" i="9"/>
  <c r="D18" i="9"/>
  <c r="E18" i="9"/>
  <c r="F18" i="9"/>
  <c r="G18" i="9"/>
  <c r="H18" i="9"/>
  <c r="I18" i="9"/>
  <c r="C14" i="16"/>
  <c r="C19" i="16" s="1"/>
  <c r="D14" i="16"/>
  <c r="D19" i="16" s="1"/>
  <c r="B25" i="16"/>
  <c r="B46" i="16" s="1"/>
  <c r="D23" i="16"/>
  <c r="C23" i="16"/>
  <c r="B58" i="16"/>
  <c r="B47" i="16"/>
  <c r="D41" i="16"/>
  <c r="C41" i="16"/>
  <c r="D42" i="16"/>
  <c r="C42" i="16"/>
  <c r="B55" i="16"/>
  <c r="B69" i="16"/>
  <c r="B77" i="16" s="1"/>
  <c r="C14" i="15"/>
  <c r="C19" i="15" s="1"/>
  <c r="D14" i="15"/>
  <c r="D19" i="15" s="1"/>
  <c r="E18" i="15"/>
  <c r="E19" i="15" s="1"/>
  <c r="F14" i="15"/>
  <c r="F19" i="15" s="1"/>
  <c r="B25" i="15"/>
  <c r="B46" i="15" s="1"/>
  <c r="F23" i="15"/>
  <c r="E23" i="15"/>
  <c r="D23" i="15"/>
  <c r="C23" i="15"/>
  <c r="B58" i="15"/>
  <c r="B47" i="15"/>
  <c r="F41" i="15"/>
  <c r="E41" i="15"/>
  <c r="D41" i="15"/>
  <c r="C41" i="15"/>
  <c r="F42" i="15"/>
  <c r="E42" i="15"/>
  <c r="D42" i="15"/>
  <c r="C42" i="15"/>
  <c r="B55" i="15"/>
  <c r="B69" i="15"/>
  <c r="B77" i="15" s="1"/>
  <c r="B191" i="15"/>
  <c r="Q23" i="6"/>
  <c r="F13" i="7"/>
  <c r="E40" i="7"/>
  <c r="I88" i="2"/>
  <c r="I89" i="2"/>
  <c r="I90" i="2"/>
  <c r="I91" i="2"/>
  <c r="I92" i="2"/>
  <c r="I93" i="2"/>
  <c r="I94" i="2"/>
  <c r="I96" i="2"/>
  <c r="H130" i="2"/>
  <c r="I130" i="2"/>
  <c r="H131" i="2"/>
  <c r="I131" i="2"/>
  <c r="H133" i="2"/>
  <c r="I133" i="2"/>
  <c r="I123" i="2"/>
  <c r="I124" i="2"/>
  <c r="I125" i="2"/>
  <c r="I126" i="2"/>
  <c r="I127" i="2"/>
  <c r="I132" i="2"/>
  <c r="H132" i="2"/>
  <c r="H129" i="2" s="1"/>
  <c r="D87" i="13" s="1"/>
  <c r="G63" i="2"/>
  <c r="G68" i="2"/>
  <c r="G45" i="2"/>
  <c r="G48" i="2"/>
  <c r="G52" i="2"/>
  <c r="G56" i="2"/>
  <c r="G25" i="2"/>
  <c r="G37" i="2" s="1"/>
  <c r="B89" i="7"/>
  <c r="F89" i="7" s="1"/>
  <c r="F90" i="7"/>
  <c r="E39" i="7"/>
  <c r="F39" i="7"/>
  <c r="C39" i="12"/>
  <c r="B65" i="12"/>
  <c r="B65" i="7"/>
  <c r="C13" i="12"/>
  <c r="C13" i="7"/>
  <c r="D5" i="12"/>
  <c r="D13" i="12" s="1"/>
  <c r="D13" i="7"/>
  <c r="F14" i="7"/>
  <c r="F19" i="7"/>
  <c r="D39" i="12"/>
  <c r="F23" i="7"/>
  <c r="F24" i="7"/>
  <c r="F54" i="7"/>
  <c r="F57" i="7"/>
  <c r="F59" i="7"/>
  <c r="B184" i="7"/>
  <c r="C14" i="12"/>
  <c r="C19" i="12" s="1"/>
  <c r="C42" i="12" s="1"/>
  <c r="D14" i="12"/>
  <c r="D19" i="12" s="1"/>
  <c r="D42" i="12" s="1"/>
  <c r="B25" i="12"/>
  <c r="B46" i="12" s="1"/>
  <c r="D23" i="12"/>
  <c r="C23" i="12"/>
  <c r="B58" i="12"/>
  <c r="B47" i="12"/>
  <c r="D41" i="12"/>
  <c r="C41" i="12"/>
  <c r="B55" i="12"/>
  <c r="B69" i="12"/>
  <c r="B77" i="12" s="1"/>
  <c r="H126" i="2"/>
  <c r="H127" i="2"/>
  <c r="H125" i="2"/>
  <c r="H123" i="2"/>
  <c r="H124" i="2"/>
  <c r="G106" i="2"/>
  <c r="G107" i="2"/>
  <c r="G108" i="2"/>
  <c r="G109" i="2"/>
  <c r="G110" i="2"/>
  <c r="G111" i="2"/>
  <c r="G113" i="2"/>
  <c r="G114" i="2"/>
  <c r="G115" i="2"/>
  <c r="G116" i="2"/>
  <c r="B25" i="7"/>
  <c r="B46" i="7" s="1"/>
  <c r="B58" i="7"/>
  <c r="B47" i="7"/>
  <c r="B55" i="7"/>
  <c r="B69" i="7"/>
  <c r="B77" i="7" s="1"/>
  <c r="D69" i="13" l="1"/>
  <c r="D77" i="13" s="1"/>
  <c r="D80" i="13" s="1"/>
  <c r="D130" i="13" s="1"/>
  <c r="E69" i="13"/>
  <c r="E77" i="13" s="1"/>
  <c r="E80" i="13" s="1"/>
  <c r="D87" i="18"/>
  <c r="D87" i="15"/>
  <c r="D87" i="7"/>
  <c r="J97" i="2"/>
  <c r="J98" i="2" s="1"/>
  <c r="J99" i="2" s="1"/>
  <c r="B86" i="15" s="1"/>
  <c r="K97" i="2"/>
  <c r="K98" i="2" s="1"/>
  <c r="K99" i="2" s="1"/>
  <c r="B86" i="13" s="1"/>
  <c r="M14" i="17"/>
  <c r="D55" i="19"/>
  <c r="C55" i="19"/>
  <c r="B60" i="19"/>
  <c r="C44" i="19"/>
  <c r="C48" i="19" s="1"/>
  <c r="D44" i="19"/>
  <c r="D48" i="19" s="1"/>
  <c r="D58" i="19"/>
  <c r="C58" i="19"/>
  <c r="D127" i="19"/>
  <c r="D59" i="19"/>
  <c r="D57" i="19"/>
  <c r="D54" i="19"/>
  <c r="D24" i="19"/>
  <c r="D25" i="19" s="1"/>
  <c r="C127" i="19"/>
  <c r="C59" i="19"/>
  <c r="C57" i="19"/>
  <c r="C54" i="19"/>
  <c r="C24" i="19"/>
  <c r="C25" i="19" s="1"/>
  <c r="F55" i="18"/>
  <c r="E55" i="18"/>
  <c r="D55" i="18"/>
  <c r="C55" i="18"/>
  <c r="B60" i="18"/>
  <c r="C44" i="18"/>
  <c r="C48" i="18" s="1"/>
  <c r="D44" i="18"/>
  <c r="D48" i="18" s="1"/>
  <c r="E44" i="18"/>
  <c r="E48" i="18" s="1"/>
  <c r="F44" i="18"/>
  <c r="F48" i="18" s="1"/>
  <c r="F58" i="18"/>
  <c r="E58" i="18"/>
  <c r="D58" i="18"/>
  <c r="C58" i="18"/>
  <c r="F127" i="18"/>
  <c r="F59" i="18"/>
  <c r="F57" i="18"/>
  <c r="F54" i="18"/>
  <c r="F24" i="18"/>
  <c r="F25" i="18" s="1"/>
  <c r="E127" i="18"/>
  <c r="E59" i="18"/>
  <c r="E57" i="18"/>
  <c r="E54" i="18"/>
  <c r="E24" i="18"/>
  <c r="E25" i="18" s="1"/>
  <c r="D127" i="18"/>
  <c r="D59" i="18"/>
  <c r="D57" i="18"/>
  <c r="D54" i="18"/>
  <c r="D24" i="18"/>
  <c r="D25" i="18" s="1"/>
  <c r="C127" i="18"/>
  <c r="C59" i="18"/>
  <c r="C57" i="18"/>
  <c r="C54" i="18"/>
  <c r="C24" i="18"/>
  <c r="C25" i="18" s="1"/>
  <c r="L16" i="17"/>
  <c r="M16" i="17" s="1"/>
  <c r="F123" i="7"/>
  <c r="F42" i="7"/>
  <c r="E18" i="7"/>
  <c r="E19" i="7"/>
  <c r="J25" i="6"/>
  <c r="M25" i="6" s="1"/>
  <c r="M24" i="6"/>
  <c r="M13" i="9"/>
  <c r="L82" i="1" s="1"/>
  <c r="M12" i="9"/>
  <c r="L81" i="1" s="1"/>
  <c r="M11" i="9"/>
  <c r="L80" i="1" s="1"/>
  <c r="M10" i="9"/>
  <c r="L79" i="1" s="1"/>
  <c r="M7" i="9"/>
  <c r="L76" i="1" s="1"/>
  <c r="L16" i="9"/>
  <c r="M5" i="9"/>
  <c r="L74" i="1" s="1"/>
  <c r="M16" i="9"/>
  <c r="D55" i="16"/>
  <c r="C55" i="16"/>
  <c r="B60" i="16"/>
  <c r="D58" i="16"/>
  <c r="C58" i="16"/>
  <c r="D127" i="16"/>
  <c r="D59" i="16"/>
  <c r="D57" i="16"/>
  <c r="D54" i="16"/>
  <c r="D24" i="16"/>
  <c r="D25" i="16" s="1"/>
  <c r="C127" i="16"/>
  <c r="C59" i="16"/>
  <c r="C57" i="16"/>
  <c r="C54" i="16"/>
  <c r="C24" i="16"/>
  <c r="C25" i="16" s="1"/>
  <c r="F55" i="15"/>
  <c r="E55" i="15"/>
  <c r="D55" i="15"/>
  <c r="C55" i="15"/>
  <c r="B60" i="15"/>
  <c r="F58" i="15"/>
  <c r="E58" i="15"/>
  <c r="D58" i="15"/>
  <c r="C58" i="15"/>
  <c r="F127" i="15"/>
  <c r="F59" i="15"/>
  <c r="F57" i="15"/>
  <c r="F54" i="15"/>
  <c r="F24" i="15"/>
  <c r="F25" i="15" s="1"/>
  <c r="E127" i="15"/>
  <c r="E59" i="15"/>
  <c r="E57" i="15"/>
  <c r="E54" i="15"/>
  <c r="E24" i="15"/>
  <c r="E25" i="15" s="1"/>
  <c r="D127" i="15"/>
  <c r="D59" i="15"/>
  <c r="D57" i="15"/>
  <c r="D54" i="15"/>
  <c r="D24" i="15"/>
  <c r="D25" i="15" s="1"/>
  <c r="C127" i="15"/>
  <c r="C59" i="15"/>
  <c r="C57" i="15"/>
  <c r="C54" i="15"/>
  <c r="C24" i="15"/>
  <c r="C25" i="15" s="1"/>
  <c r="I97" i="2"/>
  <c r="I98" i="2" s="1"/>
  <c r="I99" i="2" s="1"/>
  <c r="G58" i="2"/>
  <c r="I122" i="2"/>
  <c r="E87" i="13" s="1"/>
  <c r="I129" i="2"/>
  <c r="C87" i="13" s="1"/>
  <c r="H122" i="2"/>
  <c r="G66" i="2"/>
  <c r="G65" i="2"/>
  <c r="G64" i="2"/>
  <c r="E55" i="7"/>
  <c r="F55" i="7"/>
  <c r="E58" i="7"/>
  <c r="F58" i="7"/>
  <c r="E38" i="7"/>
  <c r="F38" i="7"/>
  <c r="E41" i="7"/>
  <c r="F41" i="7"/>
  <c r="F25" i="7"/>
  <c r="D55" i="12"/>
  <c r="C55" i="12"/>
  <c r="B60" i="12"/>
  <c r="D58" i="12"/>
  <c r="C58" i="12"/>
  <c r="D123" i="12"/>
  <c r="D59" i="12"/>
  <c r="D57" i="12"/>
  <c r="D54" i="12"/>
  <c r="D24" i="12"/>
  <c r="D25" i="12" s="1"/>
  <c r="D46" i="12" s="1"/>
  <c r="C123" i="12"/>
  <c r="C59" i="12"/>
  <c r="C57" i="12"/>
  <c r="C54" i="12"/>
  <c r="C24" i="12"/>
  <c r="C25" i="12" s="1"/>
  <c r="C46" i="12" s="1"/>
  <c r="B60" i="7"/>
  <c r="G112" i="2"/>
  <c r="G118" i="2" s="1"/>
  <c r="G105" i="2"/>
  <c r="D41" i="7"/>
  <c r="C41" i="7"/>
  <c r="B86" i="18" l="1"/>
  <c r="C86" i="18" s="1"/>
  <c r="D86" i="13"/>
  <c r="C86" i="13"/>
  <c r="G117" i="2"/>
  <c r="B84" i="15" s="1"/>
  <c r="B84" i="13"/>
  <c r="E130" i="13"/>
  <c r="B84" i="16"/>
  <c r="F84" i="7"/>
  <c r="F91" i="7" s="1"/>
  <c r="F127" i="7" s="1"/>
  <c r="F84" i="18"/>
  <c r="F91" i="18" s="1"/>
  <c r="F131" i="18" s="1"/>
  <c r="F84" i="15"/>
  <c r="F91" i="15" s="1"/>
  <c r="F131" i="15" s="1"/>
  <c r="D87" i="19"/>
  <c r="D87" i="16"/>
  <c r="D87" i="12"/>
  <c r="C87" i="18"/>
  <c r="C87" i="15"/>
  <c r="C87" i="7"/>
  <c r="C87" i="19"/>
  <c r="C87" i="16"/>
  <c r="C87" i="12"/>
  <c r="D86" i="15"/>
  <c r="C86" i="15"/>
  <c r="D86" i="18"/>
  <c r="C46" i="19"/>
  <c r="C35" i="19"/>
  <c r="C56" i="19" s="1"/>
  <c r="C34" i="19"/>
  <c r="C33" i="19"/>
  <c r="C32" i="19"/>
  <c r="C31" i="19"/>
  <c r="C30" i="19"/>
  <c r="C29" i="19"/>
  <c r="C28" i="19"/>
  <c r="C36" i="19" s="1"/>
  <c r="C60" i="19"/>
  <c r="C129" i="19" s="1"/>
  <c r="D46" i="19"/>
  <c r="D35" i="19"/>
  <c r="D56" i="19" s="1"/>
  <c r="D34" i="19"/>
  <c r="D33" i="19"/>
  <c r="D32" i="19"/>
  <c r="D31" i="19"/>
  <c r="D30" i="19"/>
  <c r="D29" i="19"/>
  <c r="D28" i="19"/>
  <c r="D36" i="19" s="1"/>
  <c r="D60" i="19"/>
  <c r="D129" i="19" s="1"/>
  <c r="C46" i="18"/>
  <c r="C35" i="18"/>
  <c r="C56" i="18" s="1"/>
  <c r="C34" i="18"/>
  <c r="C33" i="18"/>
  <c r="C32" i="18"/>
  <c r="C31" i="18"/>
  <c r="C30" i="18"/>
  <c r="C29" i="18"/>
  <c r="C28" i="18"/>
  <c r="C36" i="18" s="1"/>
  <c r="C60" i="18"/>
  <c r="C129" i="18" s="1"/>
  <c r="D46" i="18"/>
  <c r="D35" i="18"/>
  <c r="D56" i="18" s="1"/>
  <c r="D34" i="18"/>
  <c r="D33" i="18"/>
  <c r="D32" i="18"/>
  <c r="D31" i="18"/>
  <c r="D30" i="18"/>
  <c r="D29" i="18"/>
  <c r="D28" i="18"/>
  <c r="D36" i="18" s="1"/>
  <c r="D60" i="18"/>
  <c r="D129" i="18" s="1"/>
  <c r="E46" i="18"/>
  <c r="E35" i="18"/>
  <c r="E56" i="18" s="1"/>
  <c r="E34" i="18"/>
  <c r="E33" i="18"/>
  <c r="E32" i="18"/>
  <c r="E31" i="18"/>
  <c r="E30" i="18"/>
  <c r="E29" i="18"/>
  <c r="E28" i="18"/>
  <c r="E36" i="18" s="1"/>
  <c r="E60" i="18"/>
  <c r="E129" i="18" s="1"/>
  <c r="F46" i="18"/>
  <c r="F35" i="18"/>
  <c r="F56" i="18" s="1"/>
  <c r="F34" i="18"/>
  <c r="F33" i="18"/>
  <c r="F32" i="18"/>
  <c r="F31" i="18"/>
  <c r="F30" i="18"/>
  <c r="F29" i="18"/>
  <c r="F28" i="18"/>
  <c r="F36" i="18" s="1"/>
  <c r="F60" i="18"/>
  <c r="F129" i="18" s="1"/>
  <c r="L19" i="9"/>
  <c r="K19" i="9"/>
  <c r="D19" i="9"/>
  <c r="E19" i="9"/>
  <c r="F19" i="9"/>
  <c r="G19" i="9"/>
  <c r="H19" i="9"/>
  <c r="I19" i="9"/>
  <c r="C19" i="9"/>
  <c r="E123" i="7"/>
  <c r="E42" i="7"/>
  <c r="E23" i="7"/>
  <c r="E24" i="7"/>
  <c r="E54" i="7"/>
  <c r="E57" i="7"/>
  <c r="E59" i="7"/>
  <c r="B86" i="7"/>
  <c r="L73" i="1"/>
  <c r="L18" i="9"/>
  <c r="C46" i="16"/>
  <c r="C35" i="16"/>
  <c r="C56" i="16" s="1"/>
  <c r="C34" i="16"/>
  <c r="C33" i="16"/>
  <c r="C32" i="16"/>
  <c r="C31" i="16"/>
  <c r="C30" i="16"/>
  <c r="C29" i="16"/>
  <c r="C28" i="16"/>
  <c r="C36" i="16" s="1"/>
  <c r="C60" i="16"/>
  <c r="C129" i="16" s="1"/>
  <c r="D46" i="16"/>
  <c r="D35" i="16"/>
  <c r="D56" i="16" s="1"/>
  <c r="D34" i="16"/>
  <c r="D33" i="16"/>
  <c r="D32" i="16"/>
  <c r="D31" i="16"/>
  <c r="D30" i="16"/>
  <c r="D29" i="16"/>
  <c r="D28" i="16"/>
  <c r="D36" i="16" s="1"/>
  <c r="D60" i="16"/>
  <c r="D129" i="16" s="1"/>
  <c r="C46" i="15"/>
  <c r="C35" i="15"/>
  <c r="C56" i="15" s="1"/>
  <c r="C34" i="15"/>
  <c r="C33" i="15"/>
  <c r="C32" i="15"/>
  <c r="C31" i="15"/>
  <c r="C30" i="15"/>
  <c r="C29" i="15"/>
  <c r="C28" i="15"/>
  <c r="C36" i="15" s="1"/>
  <c r="C60" i="15"/>
  <c r="C129" i="15" s="1"/>
  <c r="D46" i="15"/>
  <c r="D35" i="15"/>
  <c r="D56" i="15" s="1"/>
  <c r="D34" i="15"/>
  <c r="D33" i="15"/>
  <c r="D32" i="15"/>
  <c r="D31" i="15"/>
  <c r="D30" i="15"/>
  <c r="D29" i="15"/>
  <c r="D28" i="15"/>
  <c r="D36" i="15" s="1"/>
  <c r="D60" i="15"/>
  <c r="D129" i="15" s="1"/>
  <c r="E46" i="15"/>
  <c r="E35" i="15"/>
  <c r="E56" i="15" s="1"/>
  <c r="E34" i="15"/>
  <c r="E33" i="15"/>
  <c r="E32" i="15"/>
  <c r="E31" i="15"/>
  <c r="E30" i="15"/>
  <c r="E29" i="15"/>
  <c r="E28" i="15"/>
  <c r="E36" i="15" s="1"/>
  <c r="E60" i="15"/>
  <c r="E129" i="15" s="1"/>
  <c r="F46" i="15"/>
  <c r="F35" i="15"/>
  <c r="F56" i="15" s="1"/>
  <c r="F34" i="15"/>
  <c r="F33" i="15"/>
  <c r="F32" i="15"/>
  <c r="F31" i="15"/>
  <c r="F30" i="15"/>
  <c r="F29" i="15"/>
  <c r="F28" i="15"/>
  <c r="F36" i="15" s="1"/>
  <c r="F60" i="15"/>
  <c r="F129" i="15" s="1"/>
  <c r="G69" i="2"/>
  <c r="E85" i="13" s="1"/>
  <c r="E84" i="7"/>
  <c r="B84" i="12"/>
  <c r="D38" i="12"/>
  <c r="C38" i="12"/>
  <c r="F28" i="7"/>
  <c r="F29" i="7"/>
  <c r="F30" i="7"/>
  <c r="F31" i="7"/>
  <c r="F32" i="7"/>
  <c r="F33" i="7"/>
  <c r="F34" i="7"/>
  <c r="F35" i="7"/>
  <c r="F56" i="7" s="1"/>
  <c r="F60" i="7" s="1"/>
  <c r="F125" i="7" s="1"/>
  <c r="F46" i="7"/>
  <c r="F44" i="7"/>
  <c r="F48" i="7" s="1"/>
  <c r="E44" i="7"/>
  <c r="E48" i="7" s="1"/>
  <c r="C35" i="12"/>
  <c r="C56" i="12" s="1"/>
  <c r="C34" i="12"/>
  <c r="C33" i="12"/>
  <c r="C32" i="12"/>
  <c r="C31" i="12"/>
  <c r="C30" i="12"/>
  <c r="C29" i="12"/>
  <c r="C28" i="12"/>
  <c r="C36" i="12" s="1"/>
  <c r="C47" i="12" s="1"/>
  <c r="C60" i="12"/>
  <c r="C125" i="12" s="1"/>
  <c r="D35" i="12"/>
  <c r="D56" i="12" s="1"/>
  <c r="D34" i="12"/>
  <c r="D33" i="12"/>
  <c r="D32" i="12"/>
  <c r="D31" i="12"/>
  <c r="D30" i="12"/>
  <c r="D29" i="12"/>
  <c r="D28" i="12"/>
  <c r="D36" i="12" s="1"/>
  <c r="D47" i="12" s="1"/>
  <c r="D60" i="12"/>
  <c r="D125" i="12" s="1"/>
  <c r="C14" i="7"/>
  <c r="C19" i="7" s="1"/>
  <c r="C42" i="7" s="1"/>
  <c r="D14" i="7"/>
  <c r="D19" i="7" s="1"/>
  <c r="D42" i="7" s="1"/>
  <c r="D38" i="7"/>
  <c r="D44" i="7" s="1"/>
  <c r="D48" i="7" s="1"/>
  <c r="C38" i="7"/>
  <c r="C44" i="7" s="1"/>
  <c r="C48" i="7" s="1"/>
  <c r="B84" i="7"/>
  <c r="B84" i="18" l="1"/>
  <c r="D84" i="15"/>
  <c r="C84" i="15"/>
  <c r="E84" i="15"/>
  <c r="C84" i="18"/>
  <c r="D84" i="18"/>
  <c r="E84" i="18"/>
  <c r="D84" i="13"/>
  <c r="C84" i="13"/>
  <c r="E84" i="13"/>
  <c r="E91" i="13" s="1"/>
  <c r="B84" i="19"/>
  <c r="D84" i="16"/>
  <c r="C84" i="16"/>
  <c r="D84" i="7"/>
  <c r="C84" i="7"/>
  <c r="C84" i="12"/>
  <c r="D84" i="12"/>
  <c r="B85" i="19"/>
  <c r="B85" i="16"/>
  <c r="B85" i="12"/>
  <c r="D86" i="7"/>
  <c r="C86" i="7"/>
  <c r="D47" i="19"/>
  <c r="D74" i="19"/>
  <c r="D79" i="19" s="1"/>
  <c r="D49" i="19"/>
  <c r="C47" i="19"/>
  <c r="C74" i="19"/>
  <c r="C79" i="19" s="1"/>
  <c r="C49" i="19"/>
  <c r="F47" i="18"/>
  <c r="F74" i="18"/>
  <c r="F79" i="18" s="1"/>
  <c r="F49" i="18"/>
  <c r="E47" i="18"/>
  <c r="E74" i="18"/>
  <c r="E79" i="18" s="1"/>
  <c r="E49" i="18"/>
  <c r="D47" i="18"/>
  <c r="D74" i="18"/>
  <c r="D79" i="18" s="1"/>
  <c r="D49" i="18"/>
  <c r="C47" i="18"/>
  <c r="C74" i="18"/>
  <c r="C79" i="18" s="1"/>
  <c r="C49" i="18"/>
  <c r="E25" i="7"/>
  <c r="C44" i="12"/>
  <c r="C48" i="12" s="1"/>
  <c r="D44" i="12"/>
  <c r="D48" i="12" s="1"/>
  <c r="M19" i="9"/>
  <c r="M18" i="9"/>
  <c r="L85" i="1"/>
  <c r="J86" i="1" s="1"/>
  <c r="D47" i="16"/>
  <c r="C47" i="16"/>
  <c r="F47" i="15"/>
  <c r="E47" i="15"/>
  <c r="D47" i="15"/>
  <c r="C47" i="15"/>
  <c r="F36" i="7"/>
  <c r="D59" i="7"/>
  <c r="D57" i="7"/>
  <c r="D54" i="7"/>
  <c r="D55" i="7"/>
  <c r="D58" i="7"/>
  <c r="D74" i="12"/>
  <c r="D79" i="12" s="1"/>
  <c r="D49" i="12"/>
  <c r="C74" i="12"/>
  <c r="C79" i="12" s="1"/>
  <c r="C49" i="12"/>
  <c r="D123" i="7"/>
  <c r="D24" i="7"/>
  <c r="D23" i="7"/>
  <c r="D25" i="7" s="1"/>
  <c r="C123" i="7"/>
  <c r="C59" i="7"/>
  <c r="C57" i="7"/>
  <c r="C54" i="7"/>
  <c r="C24" i="7"/>
  <c r="C23" i="7"/>
  <c r="C25" i="7" s="1"/>
  <c r="C55" i="7"/>
  <c r="C58" i="7"/>
  <c r="D84" i="19" l="1"/>
  <c r="C84" i="19"/>
  <c r="E131" i="13"/>
  <c r="E132" i="13" s="1"/>
  <c r="E95" i="13"/>
  <c r="D85" i="12"/>
  <c r="D91" i="12" s="1"/>
  <c r="D127" i="12" s="1"/>
  <c r="C85" i="12"/>
  <c r="C91" i="12" s="1"/>
  <c r="C127" i="12" s="1"/>
  <c r="D85" i="16"/>
  <c r="D91" i="16" s="1"/>
  <c r="D131" i="16" s="1"/>
  <c r="C85" i="16"/>
  <c r="C91" i="16" s="1"/>
  <c r="C131" i="16" s="1"/>
  <c r="D85" i="19"/>
  <c r="D91" i="19" s="1"/>
  <c r="D131" i="19" s="1"/>
  <c r="C85" i="19"/>
  <c r="C91" i="19" s="1"/>
  <c r="C131" i="19" s="1"/>
  <c r="C128" i="19"/>
  <c r="C64" i="19"/>
  <c r="C65" i="19"/>
  <c r="C66" i="19"/>
  <c r="C67" i="19"/>
  <c r="D128" i="19"/>
  <c r="D64" i="19"/>
  <c r="D65" i="19"/>
  <c r="D66" i="19"/>
  <c r="D67" i="19"/>
  <c r="C128" i="18"/>
  <c r="C64" i="18"/>
  <c r="C65" i="18"/>
  <c r="C66" i="18"/>
  <c r="C67" i="18"/>
  <c r="D128" i="18"/>
  <c r="D64" i="18"/>
  <c r="D65" i="18"/>
  <c r="D66" i="18"/>
  <c r="D67" i="18"/>
  <c r="E128" i="18"/>
  <c r="E64" i="18"/>
  <c r="E65" i="18"/>
  <c r="E66" i="18"/>
  <c r="E67" i="18"/>
  <c r="E68" i="18"/>
  <c r="F128" i="18"/>
  <c r="F64" i="18"/>
  <c r="F65" i="18"/>
  <c r="F66" i="18"/>
  <c r="F67" i="18"/>
  <c r="B38" i="16"/>
  <c r="B38" i="15"/>
  <c r="E28" i="7"/>
  <c r="E29" i="7"/>
  <c r="E30" i="7"/>
  <c r="E31" i="7"/>
  <c r="E32" i="7"/>
  <c r="E33" i="7"/>
  <c r="E34" i="7"/>
  <c r="E35" i="7"/>
  <c r="E56" i="7" s="1"/>
  <c r="E60" i="7" s="1"/>
  <c r="E125" i="7" s="1"/>
  <c r="E46" i="7"/>
  <c r="F47" i="7"/>
  <c r="F49" i="7" s="1"/>
  <c r="F74" i="7"/>
  <c r="F79" i="7" s="1"/>
  <c r="C124" i="12"/>
  <c r="C64" i="12"/>
  <c r="C65" i="12"/>
  <c r="C66" i="12"/>
  <c r="C67" i="12"/>
  <c r="D124" i="12"/>
  <c r="D64" i="12"/>
  <c r="D65" i="12"/>
  <c r="D66" i="12"/>
  <c r="D67" i="12"/>
  <c r="C46" i="7"/>
  <c r="C35" i="7"/>
  <c r="C56" i="7" s="1"/>
  <c r="C34" i="7"/>
  <c r="C33" i="7"/>
  <c r="C32" i="7"/>
  <c r="C31" i="7"/>
  <c r="C30" i="7"/>
  <c r="C29" i="7"/>
  <c r="C28" i="7"/>
  <c r="C36" i="7" s="1"/>
  <c r="C60" i="7"/>
  <c r="C125" i="7" s="1"/>
  <c r="D46" i="7"/>
  <c r="D35" i="7"/>
  <c r="D56" i="7" s="1"/>
  <c r="D34" i="7"/>
  <c r="D33" i="7"/>
  <c r="D32" i="7"/>
  <c r="D31" i="7"/>
  <c r="D30" i="7"/>
  <c r="D29" i="7"/>
  <c r="D28" i="7"/>
  <c r="D36" i="7" s="1"/>
  <c r="D60" i="7"/>
  <c r="D125" i="7" s="1"/>
  <c r="E96" i="13" l="1"/>
  <c r="D69" i="19"/>
  <c r="D77" i="19" s="1"/>
  <c r="D80" i="19" s="1"/>
  <c r="C69" i="19"/>
  <c r="C77" i="19" s="1"/>
  <c r="C80" i="19" s="1"/>
  <c r="F69" i="18"/>
  <c r="E69" i="18"/>
  <c r="E77" i="18" s="1"/>
  <c r="E80" i="18" s="1"/>
  <c r="E88" i="18"/>
  <c r="E91" i="18" s="1"/>
  <c r="E131" i="18" s="1"/>
  <c r="D69" i="18"/>
  <c r="D77" i="18" s="1"/>
  <c r="D80" i="18" s="1"/>
  <c r="C69" i="18"/>
  <c r="C77" i="18" s="1"/>
  <c r="C80" i="18" s="1"/>
  <c r="F38" i="15"/>
  <c r="F44" i="15" s="1"/>
  <c r="E38" i="15"/>
  <c r="E44" i="15" s="1"/>
  <c r="D38" i="15"/>
  <c r="D44" i="15" s="1"/>
  <c r="C38" i="15"/>
  <c r="C44" i="15" s="1"/>
  <c r="D38" i="16"/>
  <c r="D44" i="16" s="1"/>
  <c r="C38" i="16"/>
  <c r="C44" i="16" s="1"/>
  <c r="E36" i="7"/>
  <c r="F124" i="7"/>
  <c r="F64" i="7"/>
  <c r="F65" i="7"/>
  <c r="F66" i="7"/>
  <c r="F67" i="7"/>
  <c r="D69" i="12"/>
  <c r="D77" i="12" s="1"/>
  <c r="D80" i="12" s="1"/>
  <c r="C69" i="12"/>
  <c r="C77" i="12" s="1"/>
  <c r="C80" i="12" s="1"/>
  <c r="D47" i="7"/>
  <c r="D74" i="7"/>
  <c r="D79" i="7" s="1"/>
  <c r="D49" i="7"/>
  <c r="C47" i="7"/>
  <c r="C74" i="7"/>
  <c r="C79" i="7" s="1"/>
  <c r="C49" i="7"/>
  <c r="E112" i="13" l="1"/>
  <c r="E120" i="13" s="1"/>
  <c r="E138" i="13" s="1"/>
  <c r="E144" i="13" s="1"/>
  <c r="E150" i="13" s="1"/>
  <c r="E106" i="13"/>
  <c r="E118" i="13" s="1"/>
  <c r="E136" i="13" s="1"/>
  <c r="E142" i="13" s="1"/>
  <c r="E148" i="13" s="1"/>
  <c r="E102" i="13"/>
  <c r="E113" i="13"/>
  <c r="E103" i="13"/>
  <c r="E117" i="13" s="1"/>
  <c r="E135" i="13" s="1"/>
  <c r="E141" i="13" s="1"/>
  <c r="E147" i="13" s="1"/>
  <c r="E110" i="13"/>
  <c r="E108" i="13"/>
  <c r="E107" i="13"/>
  <c r="E104" i="13"/>
  <c r="E105" i="13"/>
  <c r="E98" i="13"/>
  <c r="E100" i="13"/>
  <c r="E116" i="13" s="1"/>
  <c r="E134" i="13" s="1"/>
  <c r="E140" i="13" s="1"/>
  <c r="E146" i="13" s="1"/>
  <c r="E111" i="13"/>
  <c r="E99" i="13"/>
  <c r="E114" i="13"/>
  <c r="E101" i="13"/>
  <c r="E97" i="13"/>
  <c r="E115" i="13" s="1"/>
  <c r="E133" i="13" s="1"/>
  <c r="E139" i="13" s="1"/>
  <c r="E145" i="13" s="1"/>
  <c r="E109" i="13"/>
  <c r="E119" i="13" s="1"/>
  <c r="E137" i="13" s="1"/>
  <c r="E143" i="13" s="1"/>
  <c r="E149" i="13" s="1"/>
  <c r="C130" i="19"/>
  <c r="C132" i="19" s="1"/>
  <c r="C95" i="19"/>
  <c r="D130" i="19"/>
  <c r="D132" i="19" s="1"/>
  <c r="D95" i="19"/>
  <c r="C130" i="18"/>
  <c r="D130" i="18"/>
  <c r="E130" i="18"/>
  <c r="E132" i="18" s="1"/>
  <c r="E95" i="18"/>
  <c r="F130" i="18"/>
  <c r="F132" i="18" s="1"/>
  <c r="F77" i="18"/>
  <c r="F80" i="18" s="1"/>
  <c r="C48" i="16"/>
  <c r="C49" i="16" s="1"/>
  <c r="C74" i="16"/>
  <c r="C79" i="16" s="1"/>
  <c r="D48" i="16"/>
  <c r="D49" i="16" s="1"/>
  <c r="D74" i="16"/>
  <c r="D79" i="16" s="1"/>
  <c r="C48" i="15"/>
  <c r="C49" i="15" s="1"/>
  <c r="C74" i="15"/>
  <c r="C79" i="15" s="1"/>
  <c r="D48" i="15"/>
  <c r="D49" i="15" s="1"/>
  <c r="D74" i="15"/>
  <c r="D79" i="15" s="1"/>
  <c r="E48" i="15"/>
  <c r="E49" i="15" s="1"/>
  <c r="E74" i="15"/>
  <c r="E79" i="15" s="1"/>
  <c r="F48" i="15"/>
  <c r="F49" i="15" s="1"/>
  <c r="F74" i="15"/>
  <c r="F79" i="15" s="1"/>
  <c r="E47" i="7"/>
  <c r="E49" i="7" s="1"/>
  <c r="E74" i="7"/>
  <c r="E79" i="7" s="1"/>
  <c r="F69" i="7"/>
  <c r="C126" i="12"/>
  <c r="C128" i="12" s="1"/>
  <c r="C95" i="12"/>
  <c r="D126" i="12"/>
  <c r="D128" i="12" s="1"/>
  <c r="D95" i="12"/>
  <c r="C124" i="7"/>
  <c r="C64" i="7"/>
  <c r="C65" i="7"/>
  <c r="C66" i="7"/>
  <c r="C67" i="7"/>
  <c r="D124" i="7"/>
  <c r="D64" i="7"/>
  <c r="D65" i="7"/>
  <c r="D66" i="7"/>
  <c r="D67" i="7"/>
  <c r="F190" i="13" l="1"/>
  <c r="G190" i="13" s="1"/>
  <c r="AB47" i="5"/>
  <c r="D96" i="19"/>
  <c r="C96" i="19"/>
  <c r="F95" i="18"/>
  <c r="E96" i="18"/>
  <c r="F128" i="15"/>
  <c r="F64" i="15"/>
  <c r="F65" i="15"/>
  <c r="F66" i="15"/>
  <c r="F67" i="15"/>
  <c r="E128" i="15"/>
  <c r="E88" i="15" s="1"/>
  <c r="E91" i="15" s="1"/>
  <c r="E131" i="15" s="1"/>
  <c r="E64" i="15"/>
  <c r="E65" i="15"/>
  <c r="E66" i="15"/>
  <c r="E67" i="15"/>
  <c r="E68" i="15"/>
  <c r="D128" i="15"/>
  <c r="D64" i="15"/>
  <c r="D65" i="15"/>
  <c r="D66" i="15"/>
  <c r="D67" i="15"/>
  <c r="C128" i="15"/>
  <c r="C64" i="15"/>
  <c r="C65" i="15"/>
  <c r="C66" i="15"/>
  <c r="C67" i="15"/>
  <c r="D128" i="16"/>
  <c r="D64" i="16"/>
  <c r="D65" i="16"/>
  <c r="D66" i="16"/>
  <c r="D67" i="16"/>
  <c r="C128" i="16"/>
  <c r="C64" i="16"/>
  <c r="C65" i="16"/>
  <c r="C66" i="16"/>
  <c r="C67" i="16"/>
  <c r="E68" i="7"/>
  <c r="E124" i="7"/>
  <c r="E88" i="7" s="1"/>
  <c r="E91" i="7" s="1"/>
  <c r="E127" i="7" s="1"/>
  <c r="E64" i="7"/>
  <c r="E65" i="7"/>
  <c r="E66" i="7"/>
  <c r="E67" i="7"/>
  <c r="F77" i="7"/>
  <c r="F80" i="7" s="1"/>
  <c r="F126" i="7"/>
  <c r="F128" i="7" s="1"/>
  <c r="D96" i="12"/>
  <c r="C96" i="12"/>
  <c r="D69" i="7"/>
  <c r="C69" i="7"/>
  <c r="C114" i="19" l="1"/>
  <c r="C113" i="19"/>
  <c r="C112" i="19"/>
  <c r="C120" i="19" s="1"/>
  <c r="C138" i="19" s="1"/>
  <c r="C144" i="19" s="1"/>
  <c r="Z40" i="5" s="1"/>
  <c r="C111" i="19"/>
  <c r="C110" i="19"/>
  <c r="C109" i="19"/>
  <c r="C119" i="19" s="1"/>
  <c r="C137" i="19" s="1"/>
  <c r="C143" i="19" s="1"/>
  <c r="C149" i="19" s="1"/>
  <c r="C108" i="19"/>
  <c r="C107" i="19"/>
  <c r="C106" i="19"/>
  <c r="C118" i="19" s="1"/>
  <c r="C136" i="19" s="1"/>
  <c r="C142" i="19" s="1"/>
  <c r="C148" i="19" s="1"/>
  <c r="C105" i="19"/>
  <c r="C104" i="19"/>
  <c r="C103" i="19"/>
  <c r="C117" i="19" s="1"/>
  <c r="C135" i="19" s="1"/>
  <c r="C141" i="19" s="1"/>
  <c r="C147" i="19" s="1"/>
  <c r="C102" i="19"/>
  <c r="C101" i="19"/>
  <c r="C100" i="19"/>
  <c r="C116" i="19" s="1"/>
  <c r="C134" i="19" s="1"/>
  <c r="C140" i="19" s="1"/>
  <c r="Z41" i="5" s="1"/>
  <c r="C99" i="19"/>
  <c r="C98" i="19"/>
  <c r="C97" i="19"/>
  <c r="C115" i="19" s="1"/>
  <c r="C133" i="19" s="1"/>
  <c r="C139" i="19" s="1"/>
  <c r="C145" i="19" s="1"/>
  <c r="AB46" i="5" s="1"/>
  <c r="D114" i="19"/>
  <c r="D113" i="19"/>
  <c r="D112" i="19"/>
  <c r="D120" i="19" s="1"/>
  <c r="D138" i="19" s="1"/>
  <c r="D144" i="19" s="1"/>
  <c r="D111" i="19"/>
  <c r="D110" i="19"/>
  <c r="D109" i="19"/>
  <c r="D119" i="19" s="1"/>
  <c r="D137" i="19" s="1"/>
  <c r="D143" i="19" s="1"/>
  <c r="D108" i="19"/>
  <c r="D107" i="19"/>
  <c r="D106" i="19"/>
  <c r="D118" i="19" s="1"/>
  <c r="D136" i="19" s="1"/>
  <c r="D142" i="19" s="1"/>
  <c r="D105" i="19"/>
  <c r="D104" i="19"/>
  <c r="D103" i="19"/>
  <c r="D117" i="19" s="1"/>
  <c r="D135" i="19" s="1"/>
  <c r="D141" i="19" s="1"/>
  <c r="D102" i="19"/>
  <c r="D101" i="19"/>
  <c r="D100" i="19"/>
  <c r="D116" i="19" s="1"/>
  <c r="D134" i="19" s="1"/>
  <c r="D140" i="19" s="1"/>
  <c r="D99" i="19"/>
  <c r="D98" i="19"/>
  <c r="D97" i="19"/>
  <c r="D115" i="19" s="1"/>
  <c r="D133" i="19" s="1"/>
  <c r="D139" i="19" s="1"/>
  <c r="E114" i="18"/>
  <c r="E113" i="18"/>
  <c r="E112" i="18"/>
  <c r="E120" i="18" s="1"/>
  <c r="E138" i="18" s="1"/>
  <c r="E144" i="18" s="1"/>
  <c r="M190" i="18" s="1"/>
  <c r="E111" i="18"/>
  <c r="E110" i="18"/>
  <c r="E109" i="18"/>
  <c r="E119" i="18" s="1"/>
  <c r="E137" i="18" s="1"/>
  <c r="E143" i="18" s="1"/>
  <c r="K190" i="18" s="1"/>
  <c r="E108" i="18"/>
  <c r="E107" i="18"/>
  <c r="E106" i="18"/>
  <c r="E118" i="18" s="1"/>
  <c r="E136" i="18" s="1"/>
  <c r="E142" i="18" s="1"/>
  <c r="I190" i="18" s="1"/>
  <c r="E105" i="18"/>
  <c r="E104" i="18"/>
  <c r="E103" i="18"/>
  <c r="E117" i="18" s="1"/>
  <c r="E135" i="18" s="1"/>
  <c r="E141" i="18" s="1"/>
  <c r="G190" i="18" s="1"/>
  <c r="E102" i="18"/>
  <c r="E101" i="18"/>
  <c r="E100" i="18"/>
  <c r="E116" i="18" s="1"/>
  <c r="E134" i="18" s="1"/>
  <c r="E140" i="18" s="1"/>
  <c r="E190" i="18" s="1"/>
  <c r="E99" i="18"/>
  <c r="E98" i="18"/>
  <c r="E97" i="18"/>
  <c r="E115" i="18" s="1"/>
  <c r="E133" i="18" s="1"/>
  <c r="E139" i="18" s="1"/>
  <c r="C190" i="18" s="1"/>
  <c r="F96" i="18"/>
  <c r="C69" i="16"/>
  <c r="C77" i="16" s="1"/>
  <c r="C80" i="16" s="1"/>
  <c r="D69" i="16"/>
  <c r="D77" i="16" s="1"/>
  <c r="D80" i="16" s="1"/>
  <c r="C69" i="15"/>
  <c r="C77" i="15" s="1"/>
  <c r="C80" i="15" s="1"/>
  <c r="D69" i="15"/>
  <c r="D77" i="15" s="1"/>
  <c r="D80" i="15" s="1"/>
  <c r="E69" i="15"/>
  <c r="E77" i="15" s="1"/>
  <c r="E80" i="15" s="1"/>
  <c r="F69" i="15"/>
  <c r="E69" i="7"/>
  <c r="E77" i="7" s="1"/>
  <c r="E80" i="7" s="1"/>
  <c r="F95" i="7"/>
  <c r="F96" i="7" s="1"/>
  <c r="F101" i="7" s="1"/>
  <c r="C111" i="12"/>
  <c r="C110" i="12"/>
  <c r="C109" i="12"/>
  <c r="C116" i="12" s="1"/>
  <c r="C133" i="12" s="1"/>
  <c r="C138" i="12" s="1"/>
  <c r="C108" i="12"/>
  <c r="C107" i="12"/>
  <c r="C106" i="12"/>
  <c r="C115" i="12" s="1"/>
  <c r="C132" i="12" s="1"/>
  <c r="C137" i="12" s="1"/>
  <c r="C105" i="12"/>
  <c r="C104" i="12"/>
  <c r="C103" i="12"/>
  <c r="C114" i="12" s="1"/>
  <c r="C131" i="12" s="1"/>
  <c r="C136" i="12" s="1"/>
  <c r="Z8" i="5" s="1"/>
  <c r="C102" i="12"/>
  <c r="C101" i="12"/>
  <c r="C100" i="12"/>
  <c r="C113" i="12" s="1"/>
  <c r="C130" i="12" s="1"/>
  <c r="C135" i="12" s="1"/>
  <c r="C99" i="12"/>
  <c r="C98" i="12"/>
  <c r="C97" i="12"/>
  <c r="C112" i="12" s="1"/>
  <c r="C129" i="12" s="1"/>
  <c r="C134" i="12" s="1"/>
  <c r="D111" i="12"/>
  <c r="D110" i="12"/>
  <c r="D109" i="12"/>
  <c r="D116" i="12" s="1"/>
  <c r="D133" i="12" s="1"/>
  <c r="D138" i="12" s="1"/>
  <c r="Z9" i="5" s="1"/>
  <c r="D108" i="12"/>
  <c r="D107" i="12"/>
  <c r="D106" i="12"/>
  <c r="D115" i="12" s="1"/>
  <c r="D132" i="12" s="1"/>
  <c r="D137" i="12" s="1"/>
  <c r="D105" i="12"/>
  <c r="D104" i="12"/>
  <c r="D103" i="12"/>
  <c r="D114" i="12" s="1"/>
  <c r="D131" i="12" s="1"/>
  <c r="D136" i="12" s="1"/>
  <c r="Z16" i="5" s="1"/>
  <c r="D102" i="12"/>
  <c r="D101" i="12"/>
  <c r="D100" i="12"/>
  <c r="D113" i="12" s="1"/>
  <c r="D130" i="12" s="1"/>
  <c r="D135" i="12" s="1"/>
  <c r="D99" i="12"/>
  <c r="D98" i="12"/>
  <c r="D97" i="12"/>
  <c r="D112" i="12" s="1"/>
  <c r="D129" i="12" s="1"/>
  <c r="D134" i="12" s="1"/>
  <c r="Z18" i="5" s="1"/>
  <c r="C77" i="7"/>
  <c r="C80" i="7" s="1"/>
  <c r="D77" i="7"/>
  <c r="D80" i="7" s="1"/>
  <c r="F108" i="7" l="1"/>
  <c r="F97" i="7"/>
  <c r="F104" i="7"/>
  <c r="F100" i="7"/>
  <c r="F113" i="7" s="1"/>
  <c r="F130" i="7" s="1"/>
  <c r="F135" i="7" s="1"/>
  <c r="F111" i="7"/>
  <c r="F107" i="7"/>
  <c r="F103" i="7"/>
  <c r="F99" i="7"/>
  <c r="F110" i="7"/>
  <c r="F106" i="7"/>
  <c r="F102" i="7"/>
  <c r="F98" i="7"/>
  <c r="F109" i="7"/>
  <c r="F105" i="7"/>
  <c r="Z14" i="5"/>
  <c r="Z15" i="5"/>
  <c r="Z10" i="5"/>
  <c r="Z17" i="5"/>
  <c r="Z22" i="5"/>
  <c r="Z12" i="5"/>
  <c r="Z13" i="5"/>
  <c r="Z39" i="5"/>
  <c r="Z42" i="5"/>
  <c r="Z43" i="5"/>
  <c r="AB39" i="5"/>
  <c r="AB42" i="5"/>
  <c r="AB43" i="5"/>
  <c r="C146" i="19"/>
  <c r="AB38" i="5" s="1"/>
  <c r="C150" i="19"/>
  <c r="F114" i="18"/>
  <c r="F113" i="18"/>
  <c r="F112" i="18"/>
  <c r="F120" i="18" s="1"/>
  <c r="F138" i="18" s="1"/>
  <c r="F144" i="18" s="1"/>
  <c r="F111" i="18"/>
  <c r="F110" i="18"/>
  <c r="F109" i="18"/>
  <c r="F119" i="18" s="1"/>
  <c r="F137" i="18" s="1"/>
  <c r="F143" i="18" s="1"/>
  <c r="F108" i="18"/>
  <c r="F107" i="18"/>
  <c r="F106" i="18"/>
  <c r="F118" i="18" s="1"/>
  <c r="F136" i="18" s="1"/>
  <c r="F142" i="18" s="1"/>
  <c r="F105" i="18"/>
  <c r="F104" i="18"/>
  <c r="F103" i="18"/>
  <c r="F117" i="18" s="1"/>
  <c r="F135" i="18" s="1"/>
  <c r="F141" i="18" s="1"/>
  <c r="F102" i="18"/>
  <c r="F101" i="18"/>
  <c r="F100" i="18"/>
  <c r="F116" i="18" s="1"/>
  <c r="F134" i="18" s="1"/>
  <c r="F140" i="18" s="1"/>
  <c r="F99" i="18"/>
  <c r="F98" i="18"/>
  <c r="F97" i="18"/>
  <c r="F115" i="18" s="1"/>
  <c r="F133" i="18" s="1"/>
  <c r="F139" i="18" s="1"/>
  <c r="D190" i="18"/>
  <c r="F190" i="18"/>
  <c r="H190" i="18"/>
  <c r="J190" i="18"/>
  <c r="L190" i="18"/>
  <c r="N190" i="18"/>
  <c r="F130" i="15"/>
  <c r="F132" i="15" s="1"/>
  <c r="F77" i="15"/>
  <c r="F80" i="15" s="1"/>
  <c r="E130" i="15"/>
  <c r="E132" i="15" s="1"/>
  <c r="E95" i="15"/>
  <c r="E96" i="15" s="1"/>
  <c r="D130" i="15"/>
  <c r="C130" i="15"/>
  <c r="D130" i="16"/>
  <c r="D132" i="16" s="1"/>
  <c r="D95" i="16"/>
  <c r="D96" i="16" s="1"/>
  <c r="C130" i="16"/>
  <c r="C132" i="16" s="1"/>
  <c r="C95" i="16"/>
  <c r="C96" i="16" s="1"/>
  <c r="E126" i="7"/>
  <c r="E128" i="7" s="1"/>
  <c r="E95" i="7"/>
  <c r="E96" i="7" s="1"/>
  <c r="E99" i="7" s="1"/>
  <c r="F112" i="7"/>
  <c r="F129" i="7" s="1"/>
  <c r="F134" i="7" s="1"/>
  <c r="F114" i="7"/>
  <c r="F131" i="7" s="1"/>
  <c r="F136" i="7" s="1"/>
  <c r="F115" i="7"/>
  <c r="F132" i="7" s="1"/>
  <c r="F137" i="7" s="1"/>
  <c r="F116" i="7"/>
  <c r="F133" i="7" s="1"/>
  <c r="F138" i="7" s="1"/>
  <c r="C139" i="12"/>
  <c r="C140" i="12"/>
  <c r="C141" i="12"/>
  <c r="C142" i="12"/>
  <c r="C143" i="12"/>
  <c r="D126" i="7"/>
  <c r="C126" i="7"/>
  <c r="E108" i="7" l="1"/>
  <c r="Z24" i="5"/>
  <c r="E102" i="7"/>
  <c r="E111" i="7"/>
  <c r="E106" i="7"/>
  <c r="E101" i="7"/>
  <c r="E110" i="7"/>
  <c r="E105" i="7"/>
  <c r="E100" i="7"/>
  <c r="E109" i="7"/>
  <c r="E104" i="7"/>
  <c r="E98" i="7"/>
  <c r="E97" i="7"/>
  <c r="E107" i="7"/>
  <c r="E103" i="7"/>
  <c r="E114" i="7" s="1"/>
  <c r="E131" i="7" s="1"/>
  <c r="E136" i="7" s="1"/>
  <c r="G183" i="7" s="1"/>
  <c r="AB7" i="5"/>
  <c r="AB9" i="5"/>
  <c r="AB12" i="5"/>
  <c r="AB13" i="5"/>
  <c r="AB8" i="5"/>
  <c r="AB16" i="5"/>
  <c r="AB6" i="5"/>
  <c r="AB10" i="5"/>
  <c r="AB11" i="5"/>
  <c r="AB17" i="5"/>
  <c r="AB20" i="5"/>
  <c r="AB21" i="5"/>
  <c r="AB22" i="5"/>
  <c r="AB23" i="5"/>
  <c r="AB14" i="5"/>
  <c r="AB15" i="5"/>
  <c r="AB18" i="5"/>
  <c r="AB19" i="5"/>
  <c r="AB40" i="5"/>
  <c r="AB44" i="5"/>
  <c r="Z48" i="5"/>
  <c r="M155" i="18"/>
  <c r="N155" i="18" s="1"/>
  <c r="M161" i="18"/>
  <c r="N161" i="18" s="1"/>
  <c r="M167" i="18"/>
  <c r="N167" i="18" s="1"/>
  <c r="M173" i="18"/>
  <c r="M179" i="18"/>
  <c r="N179" i="18" s="1"/>
  <c r="M182" i="18"/>
  <c r="N182" i="18" s="1"/>
  <c r="M185" i="18"/>
  <c r="M191" i="18"/>
  <c r="K197" i="18"/>
  <c r="K194" i="18"/>
  <c r="M194" i="18"/>
  <c r="N194" i="18" s="1"/>
  <c r="M197" i="18"/>
  <c r="I167" i="18"/>
  <c r="J167" i="18" s="1"/>
  <c r="G167" i="18"/>
  <c r="H167" i="18" s="1"/>
  <c r="I161" i="18"/>
  <c r="J161" i="18" s="1"/>
  <c r="G161" i="18"/>
  <c r="I155" i="18"/>
  <c r="J155" i="18" s="1"/>
  <c r="G155" i="18"/>
  <c r="I179" i="18"/>
  <c r="J179" i="18" s="1"/>
  <c r="I173" i="18"/>
  <c r="I182" i="18"/>
  <c r="I185" i="18"/>
  <c r="I191" i="18"/>
  <c r="J191" i="18" s="1"/>
  <c r="J192" i="18" s="1"/>
  <c r="I194" i="18"/>
  <c r="I197" i="18"/>
  <c r="J197" i="18" s="1"/>
  <c r="G197" i="18"/>
  <c r="H197" i="18" s="1"/>
  <c r="G194" i="18"/>
  <c r="H194" i="18" s="1"/>
  <c r="G191" i="18"/>
  <c r="G185" i="18"/>
  <c r="H185" i="18" s="1"/>
  <c r="G182" i="18"/>
  <c r="H182" i="18" s="1"/>
  <c r="G179" i="18"/>
  <c r="H179" i="18" s="1"/>
  <c r="G173" i="18"/>
  <c r="C197" i="18"/>
  <c r="C194" i="18"/>
  <c r="C191" i="18"/>
  <c r="C185" i="18"/>
  <c r="C182" i="18"/>
  <c r="C179" i="18"/>
  <c r="C173" i="18"/>
  <c r="C167" i="18"/>
  <c r="C161" i="18"/>
  <c r="C155" i="18"/>
  <c r="F197" i="13"/>
  <c r="F194" i="13"/>
  <c r="F191" i="13"/>
  <c r="F185" i="13"/>
  <c r="F182" i="13"/>
  <c r="F179" i="13"/>
  <c r="F173" i="13"/>
  <c r="F167" i="13"/>
  <c r="F161" i="13"/>
  <c r="F155" i="13"/>
  <c r="K190" i="7"/>
  <c r="G187" i="7"/>
  <c r="I187" i="7"/>
  <c r="K187" i="7"/>
  <c r="K184" i="7"/>
  <c r="I184" i="7"/>
  <c r="G184" i="7"/>
  <c r="E178" i="7"/>
  <c r="G178" i="7"/>
  <c r="I178" i="7"/>
  <c r="K178" i="7"/>
  <c r="K175" i="7"/>
  <c r="I175" i="7"/>
  <c r="G175" i="7"/>
  <c r="G172" i="7"/>
  <c r="I172" i="7"/>
  <c r="K172" i="7"/>
  <c r="K166" i="7"/>
  <c r="I166" i="7"/>
  <c r="G166" i="7"/>
  <c r="K160" i="7"/>
  <c r="I160" i="7"/>
  <c r="G160" i="7"/>
  <c r="G154" i="7"/>
  <c r="I154" i="7"/>
  <c r="K154" i="7"/>
  <c r="K148" i="7"/>
  <c r="I148" i="7"/>
  <c r="G148" i="7"/>
  <c r="C148" i="7"/>
  <c r="G197" i="13"/>
  <c r="G194" i="13"/>
  <c r="G191" i="13"/>
  <c r="G192" i="13" s="1"/>
  <c r="G185" i="13"/>
  <c r="G182" i="13"/>
  <c r="G179" i="13"/>
  <c r="G173" i="13"/>
  <c r="G167" i="13"/>
  <c r="G161" i="13"/>
  <c r="G155" i="13"/>
  <c r="D197" i="18"/>
  <c r="D194" i="18"/>
  <c r="D191" i="18"/>
  <c r="D192" i="18" s="1"/>
  <c r="T46" i="5" s="1"/>
  <c r="D185" i="18"/>
  <c r="D182" i="18"/>
  <c r="D179" i="18"/>
  <c r="D173" i="18"/>
  <c r="D167" i="18"/>
  <c r="D161" i="18"/>
  <c r="D155" i="18"/>
  <c r="E197" i="18"/>
  <c r="F197" i="18" s="1"/>
  <c r="E194" i="18"/>
  <c r="F194" i="18" s="1"/>
  <c r="E191" i="18"/>
  <c r="F191" i="18" s="1"/>
  <c r="F192" i="18" s="1"/>
  <c r="E185" i="18"/>
  <c r="F185" i="18" s="1"/>
  <c r="E182" i="18"/>
  <c r="F182" i="18" s="1"/>
  <c r="E179" i="18"/>
  <c r="F179" i="18" s="1"/>
  <c r="E173" i="18"/>
  <c r="F173" i="18" s="1"/>
  <c r="E167" i="18"/>
  <c r="F167" i="18" s="1"/>
  <c r="E161" i="18"/>
  <c r="F161" i="18" s="1"/>
  <c r="E155" i="18"/>
  <c r="F155" i="18" s="1"/>
  <c r="H191" i="18"/>
  <c r="H192" i="18" s="1"/>
  <c r="H173" i="18"/>
  <c r="H161" i="18"/>
  <c r="H155" i="18"/>
  <c r="J194" i="18"/>
  <c r="J185" i="18"/>
  <c r="J182" i="18"/>
  <c r="J173" i="18"/>
  <c r="L197" i="18"/>
  <c r="L194" i="18"/>
  <c r="K191" i="18"/>
  <c r="L191" i="18" s="1"/>
  <c r="L192" i="18" s="1"/>
  <c r="K185" i="18"/>
  <c r="L185" i="18" s="1"/>
  <c r="K182" i="18"/>
  <c r="L182" i="18" s="1"/>
  <c r="K179" i="18"/>
  <c r="L179" i="18" s="1"/>
  <c r="K173" i="18"/>
  <c r="L173" i="18" s="1"/>
  <c r="K167" i="18"/>
  <c r="L167" i="18" s="1"/>
  <c r="K161" i="18"/>
  <c r="L161" i="18" s="1"/>
  <c r="K155" i="18"/>
  <c r="L155" i="18" s="1"/>
  <c r="N197" i="18"/>
  <c r="N191" i="18"/>
  <c r="N192" i="18" s="1"/>
  <c r="N185" i="18"/>
  <c r="N173" i="18"/>
  <c r="C190" i="7"/>
  <c r="C187" i="7"/>
  <c r="C184" i="7"/>
  <c r="C178" i="7"/>
  <c r="C175" i="7"/>
  <c r="C172" i="7"/>
  <c r="C166" i="7"/>
  <c r="C160" i="7"/>
  <c r="C154" i="7"/>
  <c r="C106" i="16"/>
  <c r="C118" i="16" s="1"/>
  <c r="C136" i="16" s="1"/>
  <c r="C142" i="16" s="1"/>
  <c r="C148" i="16" s="1"/>
  <c r="AB36" i="5" s="1"/>
  <c r="C108" i="16"/>
  <c r="C107" i="16"/>
  <c r="C114" i="16"/>
  <c r="C113" i="16"/>
  <c r="C112" i="16"/>
  <c r="C120" i="16" s="1"/>
  <c r="C138" i="16" s="1"/>
  <c r="C144" i="16" s="1"/>
  <c r="C150" i="16" s="1"/>
  <c r="AB29" i="5" s="1"/>
  <c r="C111" i="16"/>
  <c r="C110" i="16"/>
  <c r="C109" i="16"/>
  <c r="C119" i="16" s="1"/>
  <c r="C137" i="16" s="1"/>
  <c r="C143" i="16" s="1"/>
  <c r="C149" i="16" s="1"/>
  <c r="C105" i="16"/>
  <c r="C104" i="16"/>
  <c r="C103" i="16"/>
  <c r="C117" i="16" s="1"/>
  <c r="C135" i="16" s="1"/>
  <c r="C141" i="16" s="1"/>
  <c r="Z27" i="5" s="1"/>
  <c r="C102" i="16"/>
  <c r="C101" i="16"/>
  <c r="C100" i="16"/>
  <c r="C116" i="16" s="1"/>
  <c r="C134" i="16" s="1"/>
  <c r="C140" i="16" s="1"/>
  <c r="Z34" i="5" s="1"/>
  <c r="C99" i="16"/>
  <c r="C98" i="16"/>
  <c r="C97" i="16"/>
  <c r="C115" i="16" s="1"/>
  <c r="C133" i="16" s="1"/>
  <c r="C139" i="16" s="1"/>
  <c r="D106" i="16"/>
  <c r="D118" i="16" s="1"/>
  <c r="D136" i="16" s="1"/>
  <c r="D142" i="16" s="1"/>
  <c r="D108" i="16"/>
  <c r="D107" i="16"/>
  <c r="D114" i="16"/>
  <c r="D113" i="16"/>
  <c r="D112" i="16"/>
  <c r="D120" i="16" s="1"/>
  <c r="D138" i="16" s="1"/>
  <c r="D144" i="16" s="1"/>
  <c r="D111" i="16"/>
  <c r="D110" i="16"/>
  <c r="D109" i="16"/>
  <c r="D119" i="16" s="1"/>
  <c r="D137" i="16" s="1"/>
  <c r="D143" i="16" s="1"/>
  <c r="D105" i="16"/>
  <c r="D104" i="16"/>
  <c r="D103" i="16"/>
  <c r="D117" i="16" s="1"/>
  <c r="D135" i="16" s="1"/>
  <c r="D141" i="16" s="1"/>
  <c r="Z33" i="5" s="1"/>
  <c r="D102" i="16"/>
  <c r="D101" i="16"/>
  <c r="D100" i="16"/>
  <c r="D116" i="16" s="1"/>
  <c r="D134" i="16" s="1"/>
  <c r="D140" i="16" s="1"/>
  <c r="D99" i="16"/>
  <c r="D98" i="16"/>
  <c r="D97" i="16"/>
  <c r="D115" i="16" s="1"/>
  <c r="D133" i="16" s="1"/>
  <c r="D139" i="16" s="1"/>
  <c r="E106" i="15"/>
  <c r="E118" i="15" s="1"/>
  <c r="E136" i="15" s="1"/>
  <c r="E142" i="15" s="1"/>
  <c r="I190" i="15" s="1"/>
  <c r="E107" i="15"/>
  <c r="E108" i="15"/>
  <c r="E114" i="15"/>
  <c r="E113" i="15"/>
  <c r="E112" i="15"/>
  <c r="E120" i="15" s="1"/>
  <c r="E138" i="15" s="1"/>
  <c r="E144" i="15" s="1"/>
  <c r="M190" i="15" s="1"/>
  <c r="E111" i="15"/>
  <c r="E110" i="15"/>
  <c r="E109" i="15"/>
  <c r="E119" i="15" s="1"/>
  <c r="E137" i="15" s="1"/>
  <c r="E143" i="15" s="1"/>
  <c r="K190" i="15" s="1"/>
  <c r="E105" i="15"/>
  <c r="E104" i="15"/>
  <c r="E103" i="15"/>
  <c r="E117" i="15" s="1"/>
  <c r="E135" i="15" s="1"/>
  <c r="E141" i="15" s="1"/>
  <c r="G190" i="15" s="1"/>
  <c r="E102" i="15"/>
  <c r="E101" i="15"/>
  <c r="E100" i="15"/>
  <c r="E116" i="15" s="1"/>
  <c r="E134" i="15" s="1"/>
  <c r="E140" i="15" s="1"/>
  <c r="E190" i="15" s="1"/>
  <c r="E99" i="15"/>
  <c r="E98" i="15"/>
  <c r="E97" i="15"/>
  <c r="E115" i="15" s="1"/>
  <c r="E133" i="15" s="1"/>
  <c r="E139" i="15" s="1"/>
  <c r="C190" i="15" s="1"/>
  <c r="F95" i="15"/>
  <c r="F96" i="15" s="1"/>
  <c r="E112" i="7"/>
  <c r="E129" i="7" s="1"/>
  <c r="E134" i="7" s="1"/>
  <c r="C183" i="7" s="1"/>
  <c r="E113" i="7"/>
  <c r="E130" i="7" s="1"/>
  <c r="E135" i="7" s="1"/>
  <c r="E183" i="7" s="1"/>
  <c r="E115" i="7"/>
  <c r="E132" i="7" s="1"/>
  <c r="E137" i="7" s="1"/>
  <c r="I183" i="7" s="1"/>
  <c r="E116" i="7"/>
  <c r="E133" i="7" s="1"/>
  <c r="E138" i="7" s="1"/>
  <c r="K183" i="7" s="1"/>
  <c r="E148" i="7"/>
  <c r="F148" i="7" s="1"/>
  <c r="E154" i="7"/>
  <c r="F154" i="7" s="1"/>
  <c r="E160" i="7"/>
  <c r="F160" i="7" s="1"/>
  <c r="E166" i="7"/>
  <c r="F166" i="7" s="1"/>
  <c r="E172" i="7"/>
  <c r="F172" i="7" s="1"/>
  <c r="E175" i="7"/>
  <c r="F175" i="7" s="1"/>
  <c r="F178" i="7"/>
  <c r="E184" i="7"/>
  <c r="F184" i="7" s="1"/>
  <c r="E187" i="7"/>
  <c r="F187" i="7" s="1"/>
  <c r="E190" i="7"/>
  <c r="F190" i="7" s="1"/>
  <c r="AB24" i="5" l="1"/>
  <c r="Z28" i="5"/>
  <c r="Z31" i="5"/>
  <c r="Z32" i="5"/>
  <c r="T40" i="5"/>
  <c r="T44" i="5"/>
  <c r="T39" i="5"/>
  <c r="T42" i="5"/>
  <c r="T43" i="5"/>
  <c r="T38" i="5"/>
  <c r="T41" i="5"/>
  <c r="T45" i="5"/>
  <c r="F106" i="15"/>
  <c r="F118" i="15" s="1"/>
  <c r="F136" i="15" s="1"/>
  <c r="F142" i="15" s="1"/>
  <c r="F107" i="15"/>
  <c r="F108" i="15"/>
  <c r="F114" i="15"/>
  <c r="F113" i="15"/>
  <c r="F112" i="15"/>
  <c r="F120" i="15" s="1"/>
  <c r="F138" i="15" s="1"/>
  <c r="F144" i="15" s="1"/>
  <c r="F111" i="15"/>
  <c r="F110" i="15"/>
  <c r="F109" i="15"/>
  <c r="F119" i="15" s="1"/>
  <c r="F137" i="15" s="1"/>
  <c r="F143" i="15" s="1"/>
  <c r="F105" i="15"/>
  <c r="F104" i="15"/>
  <c r="F103" i="15"/>
  <c r="F117" i="15" s="1"/>
  <c r="F135" i="15" s="1"/>
  <c r="F141" i="15" s="1"/>
  <c r="F102" i="15"/>
  <c r="F101" i="15"/>
  <c r="F100" i="15"/>
  <c r="F116" i="15" s="1"/>
  <c r="F134" i="15" s="1"/>
  <c r="F140" i="15" s="1"/>
  <c r="F99" i="15"/>
  <c r="F98" i="15"/>
  <c r="F97" i="15"/>
  <c r="F115" i="15" s="1"/>
  <c r="F133" i="15" s="1"/>
  <c r="F139" i="15" s="1"/>
  <c r="D190" i="15"/>
  <c r="F190" i="15"/>
  <c r="H190" i="15"/>
  <c r="L190" i="15"/>
  <c r="N190" i="15"/>
  <c r="J190" i="15"/>
  <c r="C145" i="16"/>
  <c r="C146" i="16"/>
  <c r="AB34" i="5" s="1"/>
  <c r="C147" i="16"/>
  <c r="D184" i="7"/>
  <c r="D190" i="7"/>
  <c r="D187" i="7"/>
  <c r="D178" i="7"/>
  <c r="D175" i="7"/>
  <c r="D172" i="7"/>
  <c r="D160" i="7"/>
  <c r="H184" i="7"/>
  <c r="G190" i="7"/>
  <c r="H190" i="7" s="1"/>
  <c r="H187" i="7"/>
  <c r="H178" i="7"/>
  <c r="H175" i="7"/>
  <c r="H172" i="7"/>
  <c r="H160" i="7"/>
  <c r="J184" i="7"/>
  <c r="I190" i="7"/>
  <c r="J190" i="7" s="1"/>
  <c r="J187" i="7"/>
  <c r="J178" i="7"/>
  <c r="J175" i="7"/>
  <c r="J172" i="7"/>
  <c r="J160" i="7"/>
  <c r="L184" i="7"/>
  <c r="L190" i="7"/>
  <c r="L187" i="7"/>
  <c r="L178" i="7"/>
  <c r="L175" i="7"/>
  <c r="L172" i="7"/>
  <c r="L166" i="7"/>
  <c r="L160" i="7"/>
  <c r="D183" i="7"/>
  <c r="H183" i="7"/>
  <c r="J183" i="7"/>
  <c r="L183" i="7"/>
  <c r="D154" i="7"/>
  <c r="H166" i="7"/>
  <c r="H154" i="7"/>
  <c r="H148" i="7"/>
  <c r="J154" i="7"/>
  <c r="J148" i="7"/>
  <c r="L154" i="7"/>
  <c r="L148" i="7"/>
  <c r="Z37" i="5" l="1"/>
  <c r="Z50" i="5" s="1"/>
  <c r="AA81" i="5"/>
  <c r="AB25" i="5"/>
  <c r="AB26" i="5"/>
  <c r="AB27" i="5"/>
  <c r="AB30" i="5"/>
  <c r="AB33" i="5"/>
  <c r="AB35" i="5"/>
  <c r="AB28" i="5"/>
  <c r="AB31" i="5"/>
  <c r="AB32" i="5"/>
  <c r="M197" i="15"/>
  <c r="N197" i="15" s="1"/>
  <c r="M194" i="15"/>
  <c r="M191" i="15"/>
  <c r="M185" i="15"/>
  <c r="N185" i="15" s="1"/>
  <c r="M182" i="15"/>
  <c r="N182" i="15" s="1"/>
  <c r="M179" i="15"/>
  <c r="M173" i="15"/>
  <c r="K173" i="15"/>
  <c r="L173" i="15" s="1"/>
  <c r="K179" i="15"/>
  <c r="L179" i="15" s="1"/>
  <c r="K182" i="15"/>
  <c r="K185" i="15"/>
  <c r="K191" i="15"/>
  <c r="L191" i="15" s="1"/>
  <c r="L192" i="15" s="1"/>
  <c r="K194" i="15"/>
  <c r="L194" i="15" s="1"/>
  <c r="K197" i="15"/>
  <c r="I197" i="15"/>
  <c r="I194" i="15"/>
  <c r="J194" i="15" s="1"/>
  <c r="I191" i="15"/>
  <c r="J191" i="15" s="1"/>
  <c r="J192" i="15" s="1"/>
  <c r="I185" i="15"/>
  <c r="I182" i="15"/>
  <c r="I179" i="15"/>
  <c r="J179" i="15" s="1"/>
  <c r="I173" i="15"/>
  <c r="J173" i="15" s="1"/>
  <c r="I167" i="15"/>
  <c r="E173" i="15"/>
  <c r="E179" i="15"/>
  <c r="F179" i="15" s="1"/>
  <c r="E182" i="15"/>
  <c r="E185" i="15"/>
  <c r="E191" i="15"/>
  <c r="E194" i="15"/>
  <c r="F194" i="15" s="1"/>
  <c r="E197" i="15"/>
  <c r="F197" i="15" s="1"/>
  <c r="C197" i="15"/>
  <c r="C194" i="15"/>
  <c r="C191" i="15"/>
  <c r="D191" i="15" s="1"/>
  <c r="D192" i="15" s="1"/>
  <c r="C185" i="15"/>
  <c r="D185" i="15" s="1"/>
  <c r="C182" i="15"/>
  <c r="C179" i="15"/>
  <c r="C173" i="15"/>
  <c r="D173" i="15" s="1"/>
  <c r="C167" i="15"/>
  <c r="D167" i="15" s="1"/>
  <c r="C161" i="15"/>
  <c r="E161" i="15"/>
  <c r="I161" i="15"/>
  <c r="J161" i="15" s="1"/>
  <c r="K161" i="15"/>
  <c r="L161" i="15" s="1"/>
  <c r="M161" i="15"/>
  <c r="M155" i="15"/>
  <c r="K155" i="15"/>
  <c r="L155" i="15" s="1"/>
  <c r="I155" i="15"/>
  <c r="J155" i="15" s="1"/>
  <c r="E155" i="15"/>
  <c r="C155" i="15"/>
  <c r="D197" i="15"/>
  <c r="D194" i="15"/>
  <c r="D182" i="15"/>
  <c r="D179" i="15"/>
  <c r="D161" i="15"/>
  <c r="D155" i="15"/>
  <c r="F191" i="15"/>
  <c r="F192" i="15" s="1"/>
  <c r="F185" i="15"/>
  <c r="F182" i="15"/>
  <c r="F173" i="15"/>
  <c r="E167" i="15"/>
  <c r="F167" i="15" s="1"/>
  <c r="F161" i="15"/>
  <c r="F155" i="15"/>
  <c r="G197" i="15"/>
  <c r="H197" i="15" s="1"/>
  <c r="G194" i="15"/>
  <c r="H194" i="15" s="1"/>
  <c r="G191" i="15"/>
  <c r="H191" i="15" s="1"/>
  <c r="H192" i="15" s="1"/>
  <c r="G185" i="15"/>
  <c r="H185" i="15" s="1"/>
  <c r="G182" i="15"/>
  <c r="H182" i="15" s="1"/>
  <c r="G179" i="15"/>
  <c r="H179" i="15" s="1"/>
  <c r="G173" i="15"/>
  <c r="H173" i="15" s="1"/>
  <c r="G167" i="15"/>
  <c r="H167" i="15" s="1"/>
  <c r="G161" i="15"/>
  <c r="H161" i="15" s="1"/>
  <c r="G155" i="15"/>
  <c r="H155" i="15" s="1"/>
  <c r="L197" i="15"/>
  <c r="L185" i="15"/>
  <c r="L182" i="15"/>
  <c r="K167" i="15"/>
  <c r="L167" i="15" s="1"/>
  <c r="N194" i="15"/>
  <c r="N191" i="15"/>
  <c r="N192" i="15" s="1"/>
  <c r="N179" i="15"/>
  <c r="N173" i="15"/>
  <c r="M167" i="15"/>
  <c r="N167" i="15" s="1"/>
  <c r="N161" i="15"/>
  <c r="N155" i="15"/>
  <c r="J197" i="15"/>
  <c r="J185" i="15"/>
  <c r="J182" i="15"/>
  <c r="J167" i="15"/>
  <c r="F183" i="7"/>
  <c r="F185" i="7" s="1"/>
  <c r="D166" i="7"/>
  <c r="D148" i="7"/>
  <c r="T6" i="5" l="1"/>
  <c r="T10" i="5"/>
  <c r="T11" i="5"/>
  <c r="T17" i="5"/>
  <c r="T20" i="5"/>
  <c r="T21" i="5"/>
  <c r="T22" i="5"/>
  <c r="T23" i="5"/>
  <c r="AB37" i="5"/>
  <c r="D185" i="7"/>
  <c r="J166" i="7"/>
  <c r="T14" i="5" l="1"/>
  <c r="T15" i="5"/>
  <c r="T18" i="5"/>
  <c r="T19" i="5"/>
  <c r="AC81" i="5"/>
  <c r="H185" i="7"/>
  <c r="T8" i="5" l="1"/>
  <c r="T16" i="5"/>
  <c r="J185" i="7"/>
  <c r="L185" i="7"/>
  <c r="T7" i="5" l="1"/>
  <c r="T9" i="5"/>
  <c r="T12" i="5"/>
  <c r="T13" i="5"/>
  <c r="G59" i="2"/>
  <c r="B85" i="13" s="1"/>
  <c r="D85" i="13" l="1"/>
  <c r="D91" i="13" s="1"/>
  <c r="C85" i="13"/>
  <c r="C91" i="13" s="1"/>
  <c r="C131" i="13" s="1"/>
  <c r="B85" i="18"/>
  <c r="B85" i="15"/>
  <c r="B85" i="7"/>
  <c r="D131" i="13" l="1"/>
  <c r="D132" i="13" s="1"/>
  <c r="D95" i="13"/>
  <c r="D85" i="7"/>
  <c r="D91" i="7" s="1"/>
  <c r="C85" i="7"/>
  <c r="C91" i="7" s="1"/>
  <c r="D85" i="15"/>
  <c r="D91" i="15" s="1"/>
  <c r="C85" i="15"/>
  <c r="C91" i="15" s="1"/>
  <c r="D85" i="18"/>
  <c r="D91" i="18" s="1"/>
  <c r="C85" i="18"/>
  <c r="C91" i="18" s="1"/>
  <c r="D96" i="13" l="1"/>
  <c r="D103" i="13" s="1"/>
  <c r="D117" i="13" s="1"/>
  <c r="D135" i="13" s="1"/>
  <c r="D141" i="13" s="1"/>
  <c r="D131" i="15"/>
  <c r="D132" i="15" s="1"/>
  <c r="D95" i="15"/>
  <c r="D96" i="15" s="1"/>
  <c r="D99" i="13"/>
  <c r="C131" i="15"/>
  <c r="C132" i="15" s="1"/>
  <c r="C95" i="15"/>
  <c r="C96" i="15" s="1"/>
  <c r="C101" i="15" s="1"/>
  <c r="C131" i="18"/>
  <c r="C132" i="18" s="1"/>
  <c r="C95" i="18"/>
  <c r="C96" i="18" s="1"/>
  <c r="C127" i="7"/>
  <c r="C128" i="7" s="1"/>
  <c r="C95" i="7"/>
  <c r="D131" i="18"/>
  <c r="D132" i="18" s="1"/>
  <c r="D95" i="18"/>
  <c r="D96" i="18" s="1"/>
  <c r="D127" i="7"/>
  <c r="D128" i="7" s="1"/>
  <c r="D95" i="7"/>
  <c r="D96" i="7" s="1"/>
  <c r="D106" i="15" l="1"/>
  <c r="D118" i="15" s="1"/>
  <c r="D136" i="15" s="1"/>
  <c r="D142" i="15" s="1"/>
  <c r="D109" i="15"/>
  <c r="D119" i="15" s="1"/>
  <c r="D137" i="15" s="1"/>
  <c r="D143" i="15" s="1"/>
  <c r="D97" i="15"/>
  <c r="D115" i="15" s="1"/>
  <c r="D133" i="15" s="1"/>
  <c r="D139" i="15" s="1"/>
  <c r="C111" i="15"/>
  <c r="C96" i="7"/>
  <c r="C105" i="7" s="1"/>
  <c r="C109" i="15"/>
  <c r="C119" i="15" s="1"/>
  <c r="C137" i="15" s="1"/>
  <c r="C143" i="15" s="1"/>
  <c r="D112" i="15"/>
  <c r="D120" i="15" s="1"/>
  <c r="D138" i="15" s="1"/>
  <c r="D144" i="15" s="1"/>
  <c r="D111" i="15"/>
  <c r="D110" i="15"/>
  <c r="D97" i="13"/>
  <c r="D115" i="13" s="1"/>
  <c r="D133" i="13" s="1"/>
  <c r="D139" i="13" s="1"/>
  <c r="D100" i="13"/>
  <c r="D116" i="13" s="1"/>
  <c r="D134" i="13" s="1"/>
  <c r="D140" i="13" s="1"/>
  <c r="D111" i="13"/>
  <c r="D98" i="13"/>
  <c r="D101" i="13"/>
  <c r="D110" i="13"/>
  <c r="D109" i="13"/>
  <c r="D119" i="13" s="1"/>
  <c r="D137" i="13" s="1"/>
  <c r="D143" i="13" s="1"/>
  <c r="D108" i="13"/>
  <c r="D106" i="13"/>
  <c r="D118" i="13" s="1"/>
  <c r="D136" i="13" s="1"/>
  <c r="D142" i="13" s="1"/>
  <c r="D113" i="13"/>
  <c r="D102" i="13"/>
  <c r="D105" i="13"/>
  <c r="D112" i="13"/>
  <c r="D120" i="13" s="1"/>
  <c r="D138" i="13" s="1"/>
  <c r="D144" i="13" s="1"/>
  <c r="C103" i="15"/>
  <c r="C117" i="15" s="1"/>
  <c r="C135" i="15" s="1"/>
  <c r="C141" i="15" s="1"/>
  <c r="G172" i="15" s="1"/>
  <c r="H172" i="15" s="1"/>
  <c r="H174" i="15" s="1"/>
  <c r="C105" i="15"/>
  <c r="D107" i="15"/>
  <c r="D99" i="15"/>
  <c r="D114" i="13"/>
  <c r="C104" i="15"/>
  <c r="C107" i="15"/>
  <c r="D108" i="15"/>
  <c r="D102" i="15"/>
  <c r="D114" i="15"/>
  <c r="D104" i="13"/>
  <c r="D107" i="13"/>
  <c r="D100" i="7"/>
  <c r="D113" i="7" s="1"/>
  <c r="D130" i="7" s="1"/>
  <c r="D135" i="7" s="1"/>
  <c r="D99" i="7"/>
  <c r="D106" i="7"/>
  <c r="D115" i="7" s="1"/>
  <c r="D132" i="7" s="1"/>
  <c r="D137" i="7" s="1"/>
  <c r="D101" i="7"/>
  <c r="D108" i="7"/>
  <c r="D107" i="7"/>
  <c r="D97" i="7"/>
  <c r="D112" i="7" s="1"/>
  <c r="D129" i="7" s="1"/>
  <c r="D134" i="7" s="1"/>
  <c r="D98" i="7"/>
  <c r="D103" i="7"/>
  <c r="D114" i="7" s="1"/>
  <c r="D131" i="7" s="1"/>
  <c r="D136" i="7" s="1"/>
  <c r="D105" i="7"/>
  <c r="D104" i="7"/>
  <c r="D110" i="7"/>
  <c r="D105" i="18"/>
  <c r="D111" i="18"/>
  <c r="D102" i="18"/>
  <c r="C106" i="18"/>
  <c r="C118" i="18" s="1"/>
  <c r="C136" i="18" s="1"/>
  <c r="C142" i="18" s="1"/>
  <c r="C103" i="18"/>
  <c r="C117" i="18" s="1"/>
  <c r="C135" i="18" s="1"/>
  <c r="C141" i="18" s="1"/>
  <c r="C101" i="18"/>
  <c r="C112" i="18"/>
  <c r="C120" i="18" s="1"/>
  <c r="C138" i="18" s="1"/>
  <c r="C144" i="18" s="1"/>
  <c r="C114" i="18"/>
  <c r="C98" i="18"/>
  <c r="C109" i="18"/>
  <c r="C119" i="18" s="1"/>
  <c r="C137" i="18" s="1"/>
  <c r="C143" i="18" s="1"/>
  <c r="C107" i="18"/>
  <c r="C104" i="18"/>
  <c r="C111" i="18"/>
  <c r="C105" i="18"/>
  <c r="C99" i="18"/>
  <c r="C110" i="18"/>
  <c r="C100" i="18"/>
  <c r="C116" i="18" s="1"/>
  <c r="C134" i="18" s="1"/>
  <c r="C140" i="18" s="1"/>
  <c r="C149" i="15"/>
  <c r="K196" i="15"/>
  <c r="L196" i="15" s="1"/>
  <c r="L198" i="15" s="1"/>
  <c r="K181" i="15"/>
  <c r="L181" i="15" s="1"/>
  <c r="L183" i="15" s="1"/>
  <c r="K160" i="15"/>
  <c r="L160" i="15" s="1"/>
  <c r="L162" i="15" s="1"/>
  <c r="K166" i="15"/>
  <c r="L166" i="15" s="1"/>
  <c r="L168" i="15" s="1"/>
  <c r="K193" i="15"/>
  <c r="L193" i="15" s="1"/>
  <c r="L195" i="15" s="1"/>
  <c r="K178" i="15"/>
  <c r="L178" i="15" s="1"/>
  <c r="L180" i="15" s="1"/>
  <c r="K154" i="15"/>
  <c r="L154" i="15" s="1"/>
  <c r="L156" i="15" s="1"/>
  <c r="K184" i="15"/>
  <c r="L184" i="15" s="1"/>
  <c r="L186" i="15" s="1"/>
  <c r="K172" i="15"/>
  <c r="L172" i="15" s="1"/>
  <c r="L174" i="15" s="1"/>
  <c r="D104" i="18"/>
  <c r="G181" i="15"/>
  <c r="H181" i="15" s="1"/>
  <c r="H183" i="15" s="1"/>
  <c r="D101" i="18"/>
  <c r="D106" i="18"/>
  <c r="D118" i="18" s="1"/>
  <c r="D136" i="18" s="1"/>
  <c r="D142" i="18" s="1"/>
  <c r="D99" i="18"/>
  <c r="D97" i="18"/>
  <c r="D115" i="18" s="1"/>
  <c r="D133" i="18" s="1"/>
  <c r="D139" i="18" s="1"/>
  <c r="D108" i="18"/>
  <c r="C102" i="15"/>
  <c r="C110" i="15"/>
  <c r="C108" i="15"/>
  <c r="C112" i="15"/>
  <c r="C120" i="15" s="1"/>
  <c r="C138" i="15" s="1"/>
  <c r="C144" i="15" s="1"/>
  <c r="D102" i="7"/>
  <c r="D109" i="7"/>
  <c r="D116" i="7" s="1"/>
  <c r="D133" i="7" s="1"/>
  <c r="D138" i="7" s="1"/>
  <c r="D111" i="7"/>
  <c r="D113" i="18"/>
  <c r="D110" i="18"/>
  <c r="D103" i="18"/>
  <c r="D117" i="18" s="1"/>
  <c r="D135" i="18" s="1"/>
  <c r="D141" i="18" s="1"/>
  <c r="D109" i="18"/>
  <c r="D119" i="18" s="1"/>
  <c r="D137" i="18" s="1"/>
  <c r="D143" i="18" s="1"/>
  <c r="D112" i="18"/>
  <c r="D120" i="18" s="1"/>
  <c r="D138" i="18" s="1"/>
  <c r="D144" i="18" s="1"/>
  <c r="C104" i="7"/>
  <c r="C109" i="7"/>
  <c r="C116" i="7" s="1"/>
  <c r="C133" i="7" s="1"/>
  <c r="C138" i="7" s="1"/>
  <c r="C106" i="7"/>
  <c r="C115" i="7" s="1"/>
  <c r="C132" i="7" s="1"/>
  <c r="C137" i="7" s="1"/>
  <c r="C103" i="7"/>
  <c r="C114" i="7" s="1"/>
  <c r="C131" i="7" s="1"/>
  <c r="C136" i="7" s="1"/>
  <c r="C108" i="18"/>
  <c r="C97" i="18"/>
  <c r="C115" i="18" s="1"/>
  <c r="C133" i="18" s="1"/>
  <c r="C139" i="18" s="1"/>
  <c r="C113" i="18"/>
  <c r="C102" i="18"/>
  <c r="C113" i="15"/>
  <c r="C114" i="15"/>
  <c r="C106" i="15"/>
  <c r="C118" i="15" s="1"/>
  <c r="C136" i="15" s="1"/>
  <c r="C142" i="15" s="1"/>
  <c r="C97" i="15"/>
  <c r="C115" i="15" s="1"/>
  <c r="C133" i="15" s="1"/>
  <c r="C139" i="15" s="1"/>
  <c r="D101" i="15"/>
  <c r="D104" i="15"/>
  <c r="D113" i="15"/>
  <c r="D103" i="15"/>
  <c r="D117" i="15" s="1"/>
  <c r="D135" i="15" s="1"/>
  <c r="D141" i="15" s="1"/>
  <c r="D98" i="18"/>
  <c r="D114" i="18"/>
  <c r="D107" i="18"/>
  <c r="D100" i="18"/>
  <c r="D116" i="18" s="1"/>
  <c r="D134" i="18" s="1"/>
  <c r="D140" i="18" s="1"/>
  <c r="C97" i="7"/>
  <c r="C112" i="7" s="1"/>
  <c r="C129" i="7" s="1"/>
  <c r="C134" i="7" s="1"/>
  <c r="C100" i="7"/>
  <c r="C113" i="7" s="1"/>
  <c r="C130" i="7" s="1"/>
  <c r="C135" i="7" s="1"/>
  <c r="C110" i="7"/>
  <c r="C99" i="15"/>
  <c r="C100" i="15"/>
  <c r="C116" i="15" s="1"/>
  <c r="C134" i="15" s="1"/>
  <c r="C140" i="15" s="1"/>
  <c r="C98" i="15"/>
  <c r="D100" i="15"/>
  <c r="D116" i="15" s="1"/>
  <c r="D134" i="15" s="1"/>
  <c r="D140" i="15" s="1"/>
  <c r="D105" i="15"/>
  <c r="D98" i="15"/>
  <c r="C17" i="17"/>
  <c r="I17" i="17"/>
  <c r="H17" i="17"/>
  <c r="G17" i="17"/>
  <c r="F17" i="17"/>
  <c r="E17" i="17"/>
  <c r="D17" i="17"/>
  <c r="K17" i="17"/>
  <c r="L17" i="17"/>
  <c r="G184" i="15" l="1"/>
  <c r="H184" i="15" s="1"/>
  <c r="H186" i="15" s="1"/>
  <c r="G196" i="15"/>
  <c r="H196" i="15" s="1"/>
  <c r="H198" i="15" s="1"/>
  <c r="X26" i="5" s="1"/>
  <c r="C147" i="15"/>
  <c r="G193" i="15"/>
  <c r="H193" i="15" s="1"/>
  <c r="H195" i="15" s="1"/>
  <c r="V33" i="5" s="1"/>
  <c r="C107" i="7"/>
  <c r="C101" i="7"/>
  <c r="C108" i="7"/>
  <c r="C98" i="7"/>
  <c r="C102" i="7"/>
  <c r="C111" i="7"/>
  <c r="G154" i="15"/>
  <c r="H154" i="15" s="1"/>
  <c r="H156" i="15" s="1"/>
  <c r="G178" i="15"/>
  <c r="H178" i="15" s="1"/>
  <c r="H180" i="15" s="1"/>
  <c r="N26" i="5" s="1"/>
  <c r="G160" i="15"/>
  <c r="H160" i="15" s="1"/>
  <c r="H162" i="15" s="1"/>
  <c r="H27" i="5" s="1"/>
  <c r="G166" i="15"/>
  <c r="H166" i="15" s="1"/>
  <c r="H168" i="15" s="1"/>
  <c r="J26" i="5" s="1"/>
  <c r="C99" i="7"/>
  <c r="C146" i="15"/>
  <c r="AA34" i="5" s="1"/>
  <c r="E196" i="15"/>
  <c r="F196" i="15" s="1"/>
  <c r="F198" i="15" s="1"/>
  <c r="X34" i="5" s="1"/>
  <c r="E181" i="15"/>
  <c r="F181" i="15" s="1"/>
  <c r="F183" i="15" s="1"/>
  <c r="P34" i="5" s="1"/>
  <c r="E160" i="15"/>
  <c r="F160" i="15" s="1"/>
  <c r="F162" i="15" s="1"/>
  <c r="H34" i="5" s="1"/>
  <c r="E184" i="15"/>
  <c r="F184" i="15" s="1"/>
  <c r="F186" i="15" s="1"/>
  <c r="R34" i="5" s="1"/>
  <c r="E193" i="15"/>
  <c r="F193" i="15" s="1"/>
  <c r="F195" i="15" s="1"/>
  <c r="V34" i="5" s="1"/>
  <c r="E178" i="15"/>
  <c r="F178" i="15" s="1"/>
  <c r="F180" i="15" s="1"/>
  <c r="N34" i="5" s="1"/>
  <c r="E154" i="15"/>
  <c r="F154" i="15" s="1"/>
  <c r="F156" i="15" s="1"/>
  <c r="F34" i="5" s="1"/>
  <c r="E166" i="15"/>
  <c r="F166" i="15" s="1"/>
  <c r="F168" i="15" s="1"/>
  <c r="J34" i="5" s="1"/>
  <c r="E172" i="15"/>
  <c r="F172" i="15" s="1"/>
  <c r="F174" i="15" s="1"/>
  <c r="L34" i="5" s="1"/>
  <c r="P25" i="5"/>
  <c r="P33" i="5"/>
  <c r="P35" i="5"/>
  <c r="P26" i="5"/>
  <c r="P30" i="5"/>
  <c r="P27" i="5"/>
  <c r="C148" i="18"/>
  <c r="I196" i="18"/>
  <c r="J196" i="18" s="1"/>
  <c r="J198" i="18" s="1"/>
  <c r="I181" i="18"/>
  <c r="J181" i="18" s="1"/>
  <c r="J183" i="18" s="1"/>
  <c r="I160" i="18"/>
  <c r="J160" i="18" s="1"/>
  <c r="J162" i="18" s="1"/>
  <c r="I193" i="18"/>
  <c r="J193" i="18" s="1"/>
  <c r="J195" i="18" s="1"/>
  <c r="I178" i="18"/>
  <c r="J178" i="18" s="1"/>
  <c r="J180" i="18" s="1"/>
  <c r="I154" i="18"/>
  <c r="J154" i="18" s="1"/>
  <c r="J156" i="18" s="1"/>
  <c r="I166" i="18"/>
  <c r="J166" i="18" s="1"/>
  <c r="J168" i="18" s="1"/>
  <c r="I172" i="18"/>
  <c r="J172" i="18" s="1"/>
  <c r="J174" i="18" s="1"/>
  <c r="I184" i="18"/>
  <c r="J184" i="18" s="1"/>
  <c r="J186" i="18" s="1"/>
  <c r="C174" i="7"/>
  <c r="D174" i="7" s="1"/>
  <c r="D176" i="7" s="1"/>
  <c r="C153" i="7"/>
  <c r="D153" i="7" s="1"/>
  <c r="D155" i="7" s="1"/>
  <c r="C147" i="7"/>
  <c r="D147" i="7" s="1"/>
  <c r="D149" i="7" s="1"/>
  <c r="C159" i="7"/>
  <c r="D159" i="7" s="1"/>
  <c r="D161" i="7" s="1"/>
  <c r="C189" i="7"/>
  <c r="D189" i="7" s="1"/>
  <c r="D191" i="7" s="1"/>
  <c r="C171" i="7"/>
  <c r="D171" i="7" s="1"/>
  <c r="D173" i="7" s="1"/>
  <c r="C186" i="7"/>
  <c r="D186" i="7" s="1"/>
  <c r="D188" i="7" s="1"/>
  <c r="C165" i="7"/>
  <c r="D165" i="7" s="1"/>
  <c r="D167" i="7" s="1"/>
  <c r="C177" i="7"/>
  <c r="D177" i="7" s="1"/>
  <c r="D179" i="7" s="1"/>
  <c r="C139" i="7"/>
  <c r="R27" i="5"/>
  <c r="R33" i="5"/>
  <c r="R25" i="5"/>
  <c r="R35" i="5"/>
  <c r="R26" i="5"/>
  <c r="R30" i="5"/>
  <c r="C172" i="15"/>
  <c r="D172" i="15" s="1"/>
  <c r="D174" i="15" s="1"/>
  <c r="C145" i="15"/>
  <c r="C184" i="15"/>
  <c r="D184" i="15" s="1"/>
  <c r="D186" i="15" s="1"/>
  <c r="C166" i="15"/>
  <c r="D166" i="15" s="1"/>
  <c r="D168" i="15" s="1"/>
  <c r="C193" i="15"/>
  <c r="D193" i="15" s="1"/>
  <c r="D195" i="15" s="1"/>
  <c r="C178" i="15"/>
  <c r="D178" i="15" s="1"/>
  <c r="D180" i="15" s="1"/>
  <c r="C154" i="15"/>
  <c r="D154" i="15" s="1"/>
  <c r="D156" i="15" s="1"/>
  <c r="C196" i="15"/>
  <c r="D196" i="15" s="1"/>
  <c r="D198" i="15" s="1"/>
  <c r="C181" i="15"/>
  <c r="D181" i="15" s="1"/>
  <c r="D183" i="15" s="1"/>
  <c r="C160" i="15"/>
  <c r="D160" i="15" s="1"/>
  <c r="D162" i="15" s="1"/>
  <c r="G174" i="7"/>
  <c r="H174" i="7" s="1"/>
  <c r="H176" i="7" s="1"/>
  <c r="G159" i="7"/>
  <c r="H159" i="7" s="1"/>
  <c r="H161" i="7" s="1"/>
  <c r="G189" i="7"/>
  <c r="H189" i="7" s="1"/>
  <c r="H191" i="7" s="1"/>
  <c r="G171" i="7"/>
  <c r="H171" i="7" s="1"/>
  <c r="H173" i="7" s="1"/>
  <c r="G186" i="7"/>
  <c r="H186" i="7" s="1"/>
  <c r="H188" i="7" s="1"/>
  <c r="G165" i="7"/>
  <c r="H165" i="7" s="1"/>
  <c r="H167" i="7" s="1"/>
  <c r="G153" i="7"/>
  <c r="H153" i="7" s="1"/>
  <c r="H155" i="7" s="1"/>
  <c r="G177" i="7"/>
  <c r="H177" i="7" s="1"/>
  <c r="H179" i="7" s="1"/>
  <c r="G147" i="7"/>
  <c r="H147" i="7" s="1"/>
  <c r="H149" i="7" s="1"/>
  <c r="C141" i="7"/>
  <c r="M172" i="15"/>
  <c r="N172" i="15" s="1"/>
  <c r="N174" i="15" s="1"/>
  <c r="L29" i="5" s="1"/>
  <c r="M154" i="15"/>
  <c r="N154" i="15" s="1"/>
  <c r="N156" i="15" s="1"/>
  <c r="F29" i="5" s="1"/>
  <c r="M184" i="15"/>
  <c r="N184" i="15" s="1"/>
  <c r="N186" i="15" s="1"/>
  <c r="R29" i="5" s="1"/>
  <c r="M166" i="15"/>
  <c r="N166" i="15" s="1"/>
  <c r="N168" i="15" s="1"/>
  <c r="J29" i="5" s="1"/>
  <c r="M193" i="15"/>
  <c r="N193" i="15" s="1"/>
  <c r="N195" i="15" s="1"/>
  <c r="V29" i="5" s="1"/>
  <c r="C150" i="15"/>
  <c r="AA29" i="5" s="1"/>
  <c r="M196" i="15"/>
  <c r="N196" i="15" s="1"/>
  <c r="N198" i="15" s="1"/>
  <c r="X29" i="5" s="1"/>
  <c r="M181" i="15"/>
  <c r="N181" i="15" s="1"/>
  <c r="N183" i="15" s="1"/>
  <c r="P29" i="5" s="1"/>
  <c r="M160" i="15"/>
  <c r="N160" i="15" s="1"/>
  <c r="N162" i="15" s="1"/>
  <c r="H29" i="5" s="1"/>
  <c r="M178" i="15"/>
  <c r="N178" i="15" s="1"/>
  <c r="N180" i="15" s="1"/>
  <c r="N29" i="5" s="1"/>
  <c r="X27" i="5"/>
  <c r="X33" i="5"/>
  <c r="X25" i="5"/>
  <c r="AA27" i="5"/>
  <c r="AA33" i="5"/>
  <c r="AA26" i="5"/>
  <c r="AA30" i="5"/>
  <c r="AA25" i="5"/>
  <c r="AA35" i="5"/>
  <c r="M196" i="18"/>
  <c r="N196" i="18" s="1"/>
  <c r="N198" i="18" s="1"/>
  <c r="M181" i="18"/>
  <c r="N181" i="18" s="1"/>
  <c r="N183" i="18" s="1"/>
  <c r="M160" i="18"/>
  <c r="N160" i="18" s="1"/>
  <c r="N162" i="18" s="1"/>
  <c r="M166" i="18"/>
  <c r="N166" i="18" s="1"/>
  <c r="N168" i="18" s="1"/>
  <c r="M193" i="18"/>
  <c r="N193" i="18" s="1"/>
  <c r="N195" i="18" s="1"/>
  <c r="M178" i="18"/>
  <c r="N178" i="18" s="1"/>
  <c r="N180" i="18" s="1"/>
  <c r="M154" i="18"/>
  <c r="N154" i="18" s="1"/>
  <c r="N156" i="18" s="1"/>
  <c r="C150" i="18"/>
  <c r="M184" i="18"/>
  <c r="N184" i="18" s="1"/>
  <c r="N186" i="18" s="1"/>
  <c r="M172" i="18"/>
  <c r="N172" i="18" s="1"/>
  <c r="N174" i="18" s="1"/>
  <c r="I196" i="15"/>
  <c r="J196" i="15" s="1"/>
  <c r="J198" i="15" s="1"/>
  <c r="X36" i="5" s="1"/>
  <c r="I181" i="15"/>
  <c r="J181" i="15" s="1"/>
  <c r="J183" i="15" s="1"/>
  <c r="P36" i="5" s="1"/>
  <c r="I160" i="15"/>
  <c r="J160" i="15" s="1"/>
  <c r="J162" i="15" s="1"/>
  <c r="H36" i="5" s="1"/>
  <c r="I193" i="15"/>
  <c r="J193" i="15" s="1"/>
  <c r="J195" i="15" s="1"/>
  <c r="V36" i="5" s="1"/>
  <c r="I178" i="15"/>
  <c r="J178" i="15" s="1"/>
  <c r="J180" i="15" s="1"/>
  <c r="N36" i="5" s="1"/>
  <c r="I154" i="15"/>
  <c r="J154" i="15" s="1"/>
  <c r="J156" i="15" s="1"/>
  <c r="F36" i="5" s="1"/>
  <c r="I184" i="15"/>
  <c r="J184" i="15" s="1"/>
  <c r="J186" i="15" s="1"/>
  <c r="R36" i="5" s="1"/>
  <c r="I172" i="15"/>
  <c r="J172" i="15" s="1"/>
  <c r="J174" i="15" s="1"/>
  <c r="L36" i="5" s="1"/>
  <c r="C148" i="15"/>
  <c r="AA36" i="5" s="1"/>
  <c r="I166" i="15"/>
  <c r="J166" i="15" s="1"/>
  <c r="J168" i="15" s="1"/>
  <c r="J36" i="5" s="1"/>
  <c r="C142" i="7"/>
  <c r="I174" i="7"/>
  <c r="J174" i="7" s="1"/>
  <c r="J176" i="7" s="1"/>
  <c r="I153" i="7"/>
  <c r="J153" i="7" s="1"/>
  <c r="J155" i="7" s="1"/>
  <c r="I189" i="7"/>
  <c r="J189" i="7" s="1"/>
  <c r="J191" i="7" s="1"/>
  <c r="I171" i="7"/>
  <c r="J171" i="7" s="1"/>
  <c r="J173" i="7" s="1"/>
  <c r="I147" i="7"/>
  <c r="J147" i="7" s="1"/>
  <c r="J149" i="7" s="1"/>
  <c r="I177" i="7"/>
  <c r="J177" i="7" s="1"/>
  <c r="J179" i="7" s="1"/>
  <c r="I186" i="7"/>
  <c r="J186" i="7" s="1"/>
  <c r="J188" i="7" s="1"/>
  <c r="I165" i="7"/>
  <c r="J165" i="7" s="1"/>
  <c r="J167" i="7" s="1"/>
  <c r="I159" i="7"/>
  <c r="J159" i="7" s="1"/>
  <c r="J161" i="7" s="1"/>
  <c r="F27" i="5"/>
  <c r="F30" i="5"/>
  <c r="F33" i="5"/>
  <c r="F26" i="5"/>
  <c r="F25" i="5"/>
  <c r="F35" i="5"/>
  <c r="N27" i="5"/>
  <c r="N35" i="5"/>
  <c r="N30" i="5"/>
  <c r="V25" i="5"/>
  <c r="V30" i="5"/>
  <c r="V35" i="5"/>
  <c r="C149" i="18"/>
  <c r="K172" i="18"/>
  <c r="L172" i="18" s="1"/>
  <c r="L174" i="18" s="1"/>
  <c r="K193" i="18"/>
  <c r="L193" i="18" s="1"/>
  <c r="L195" i="18" s="1"/>
  <c r="K184" i="18"/>
  <c r="L184" i="18" s="1"/>
  <c r="L186" i="18" s="1"/>
  <c r="K166" i="18"/>
  <c r="L166" i="18" s="1"/>
  <c r="L168" i="18" s="1"/>
  <c r="K178" i="18"/>
  <c r="L178" i="18" s="1"/>
  <c r="L180" i="18" s="1"/>
  <c r="K196" i="18"/>
  <c r="L196" i="18" s="1"/>
  <c r="L198" i="18" s="1"/>
  <c r="K181" i="18"/>
  <c r="L181" i="18" s="1"/>
  <c r="L183" i="18" s="1"/>
  <c r="K160" i="18"/>
  <c r="L160" i="18" s="1"/>
  <c r="L162" i="18" s="1"/>
  <c r="K154" i="18"/>
  <c r="L154" i="18" s="1"/>
  <c r="L156" i="18" s="1"/>
  <c r="E153" i="7"/>
  <c r="F153" i="7" s="1"/>
  <c r="F155" i="7" s="1"/>
  <c r="E177" i="7"/>
  <c r="F177" i="7" s="1"/>
  <c r="F179" i="7" s="1"/>
  <c r="E159" i="7"/>
  <c r="F159" i="7" s="1"/>
  <c r="F161" i="7" s="1"/>
  <c r="E165" i="7"/>
  <c r="F165" i="7" s="1"/>
  <c r="F167" i="7" s="1"/>
  <c r="E186" i="7"/>
  <c r="F186" i="7" s="1"/>
  <c r="F188" i="7" s="1"/>
  <c r="E189" i="7"/>
  <c r="F189" i="7" s="1"/>
  <c r="F191" i="7" s="1"/>
  <c r="E171" i="7"/>
  <c r="F171" i="7" s="1"/>
  <c r="F173" i="7" s="1"/>
  <c r="C140" i="7"/>
  <c r="E147" i="7"/>
  <c r="F147" i="7" s="1"/>
  <c r="F149" i="7" s="1"/>
  <c r="E174" i="7"/>
  <c r="F174" i="7" s="1"/>
  <c r="F176" i="7" s="1"/>
  <c r="C145" i="18"/>
  <c r="AA46" i="5" s="1"/>
  <c r="C172" i="18"/>
  <c r="D172" i="18" s="1"/>
  <c r="D174" i="18" s="1"/>
  <c r="L46" i="5" s="1"/>
  <c r="C184" i="18"/>
  <c r="D184" i="18" s="1"/>
  <c r="D186" i="18" s="1"/>
  <c r="R46" i="5" s="1"/>
  <c r="C166" i="18"/>
  <c r="D166" i="18" s="1"/>
  <c r="D168" i="18" s="1"/>
  <c r="J46" i="5" s="1"/>
  <c r="C193" i="18"/>
  <c r="D193" i="18" s="1"/>
  <c r="D195" i="18" s="1"/>
  <c r="V46" i="5" s="1"/>
  <c r="C178" i="18"/>
  <c r="D178" i="18" s="1"/>
  <c r="D180" i="18" s="1"/>
  <c r="N46" i="5" s="1"/>
  <c r="C154" i="18"/>
  <c r="D154" i="18" s="1"/>
  <c r="D156" i="18" s="1"/>
  <c r="F46" i="5" s="1"/>
  <c r="C196" i="18"/>
  <c r="D196" i="18" s="1"/>
  <c r="D198" i="18" s="1"/>
  <c r="X46" i="5" s="1"/>
  <c r="C181" i="18"/>
  <c r="D181" i="18" s="1"/>
  <c r="D183" i="18" s="1"/>
  <c r="P46" i="5" s="1"/>
  <c r="C160" i="18"/>
  <c r="D160" i="18" s="1"/>
  <c r="D162" i="18" s="1"/>
  <c r="H46" i="5" s="1"/>
  <c r="K174" i="7"/>
  <c r="L174" i="7" s="1"/>
  <c r="L176" i="7" s="1"/>
  <c r="K147" i="7"/>
  <c r="L147" i="7" s="1"/>
  <c r="L149" i="7" s="1"/>
  <c r="K171" i="7"/>
  <c r="L171" i="7" s="1"/>
  <c r="L173" i="7" s="1"/>
  <c r="K177" i="7"/>
  <c r="L177" i="7" s="1"/>
  <c r="L179" i="7" s="1"/>
  <c r="K189" i="7"/>
  <c r="L189" i="7" s="1"/>
  <c r="L191" i="7" s="1"/>
  <c r="K186" i="7"/>
  <c r="L186" i="7" s="1"/>
  <c r="L188" i="7" s="1"/>
  <c r="K165" i="7"/>
  <c r="L165" i="7" s="1"/>
  <c r="L167" i="7" s="1"/>
  <c r="K159" i="7"/>
  <c r="L159" i="7" s="1"/>
  <c r="L161" i="7" s="1"/>
  <c r="K153" i="7"/>
  <c r="L153" i="7" s="1"/>
  <c r="L155" i="7" s="1"/>
  <c r="C143" i="7"/>
  <c r="J27" i="5"/>
  <c r="J30" i="5"/>
  <c r="J33" i="5"/>
  <c r="L25" i="5"/>
  <c r="L33" i="5"/>
  <c r="L26" i="5"/>
  <c r="L35" i="5"/>
  <c r="L27" i="5"/>
  <c r="L30" i="5"/>
  <c r="C146" i="18"/>
  <c r="E196" i="18"/>
  <c r="F196" i="18" s="1"/>
  <c r="F198" i="18" s="1"/>
  <c r="E181" i="18"/>
  <c r="F181" i="18" s="1"/>
  <c r="F183" i="18" s="1"/>
  <c r="E160" i="18"/>
  <c r="F160" i="18" s="1"/>
  <c r="F162" i="18" s="1"/>
  <c r="E184" i="18"/>
  <c r="F184" i="18" s="1"/>
  <c r="F186" i="18" s="1"/>
  <c r="E193" i="18"/>
  <c r="F193" i="18" s="1"/>
  <c r="F195" i="18" s="1"/>
  <c r="E178" i="18"/>
  <c r="F178" i="18" s="1"/>
  <c r="F180" i="18" s="1"/>
  <c r="E154" i="18"/>
  <c r="F154" i="18" s="1"/>
  <c r="F156" i="18" s="1"/>
  <c r="E166" i="18"/>
  <c r="F166" i="18" s="1"/>
  <c r="F168" i="18" s="1"/>
  <c r="E172" i="18"/>
  <c r="F172" i="18" s="1"/>
  <c r="F174" i="18" s="1"/>
  <c r="G172" i="18"/>
  <c r="H172" i="18" s="1"/>
  <c r="H174" i="18" s="1"/>
  <c r="G193" i="18"/>
  <c r="H193" i="18" s="1"/>
  <c r="H195" i="18" s="1"/>
  <c r="G154" i="18"/>
  <c r="H154" i="18" s="1"/>
  <c r="H156" i="18" s="1"/>
  <c r="C147" i="18"/>
  <c r="G184" i="18"/>
  <c r="H184" i="18" s="1"/>
  <c r="H186" i="18" s="1"/>
  <c r="G166" i="18"/>
  <c r="H166" i="18" s="1"/>
  <c r="H168" i="18" s="1"/>
  <c r="G178" i="18"/>
  <c r="H178" i="18" s="1"/>
  <c r="H180" i="18" s="1"/>
  <c r="G196" i="18"/>
  <c r="H196" i="18" s="1"/>
  <c r="H198" i="18" s="1"/>
  <c r="G181" i="18"/>
  <c r="H181" i="18" s="1"/>
  <c r="H183" i="18" s="1"/>
  <c r="G160" i="18"/>
  <c r="H160" i="18" s="1"/>
  <c r="H162" i="18" s="1"/>
  <c r="M17" i="17"/>
  <c r="C54" i="13"/>
  <c r="C23" i="13"/>
  <c r="C59" i="13"/>
  <c r="C58" i="13"/>
  <c r="C57" i="13"/>
  <c r="C55" i="13"/>
  <c r="C24" i="13"/>
  <c r="C127" i="13"/>
  <c r="H35" i="5" l="1"/>
  <c r="H33" i="5"/>
  <c r="J35" i="5"/>
  <c r="V27" i="5"/>
  <c r="Y27" i="5" s="1"/>
  <c r="N33" i="5"/>
  <c r="N25" i="5"/>
  <c r="X35" i="5"/>
  <c r="X30" i="5"/>
  <c r="Y30" i="5" s="1"/>
  <c r="J25" i="5"/>
  <c r="V26" i="5"/>
  <c r="H30" i="5"/>
  <c r="H25" i="5"/>
  <c r="Y34" i="5"/>
  <c r="H26" i="5"/>
  <c r="X43" i="5"/>
  <c r="X39" i="5"/>
  <c r="X42" i="5"/>
  <c r="AA42" i="5"/>
  <c r="AA43" i="5"/>
  <c r="AA39" i="5"/>
  <c r="V38" i="5"/>
  <c r="V45" i="5"/>
  <c r="V41" i="5"/>
  <c r="AA9" i="5"/>
  <c r="AA7" i="5"/>
  <c r="AA12" i="5"/>
  <c r="AA13" i="5"/>
  <c r="F9" i="5"/>
  <c r="F12" i="5"/>
  <c r="F13" i="5"/>
  <c r="F7" i="5"/>
  <c r="P10" i="5"/>
  <c r="P21" i="5"/>
  <c r="P11" i="5"/>
  <c r="P22" i="5"/>
  <c r="P23" i="5"/>
  <c r="P6" i="5"/>
  <c r="P20" i="5"/>
  <c r="P17" i="5"/>
  <c r="R10" i="5"/>
  <c r="R21" i="5"/>
  <c r="R11" i="5"/>
  <c r="R22" i="5"/>
  <c r="R23" i="5"/>
  <c r="R6" i="5"/>
  <c r="R17" i="5"/>
  <c r="R20" i="5"/>
  <c r="Y36" i="5"/>
  <c r="J44" i="5"/>
  <c r="J40" i="5"/>
  <c r="Y29" i="5"/>
  <c r="N8" i="5"/>
  <c r="N16" i="5"/>
  <c r="N28" i="5"/>
  <c r="N31" i="5"/>
  <c r="N32" i="5"/>
  <c r="AA19" i="5"/>
  <c r="AA15" i="5"/>
  <c r="AA14" i="5"/>
  <c r="AA18" i="5"/>
  <c r="N42" i="5"/>
  <c r="N39" i="5"/>
  <c r="N43" i="5"/>
  <c r="R41" i="5"/>
  <c r="R45" i="5"/>
  <c r="R38" i="5"/>
  <c r="H9" i="5"/>
  <c r="H12" i="5"/>
  <c r="H7" i="5"/>
  <c r="H13" i="5"/>
  <c r="X7" i="5"/>
  <c r="X12" i="5"/>
  <c r="X9" i="5"/>
  <c r="X13" i="5"/>
  <c r="P7" i="5"/>
  <c r="P9" i="5"/>
  <c r="P12" i="5"/>
  <c r="P13" i="5"/>
  <c r="V10" i="5"/>
  <c r="V21" i="5"/>
  <c r="V11" i="5"/>
  <c r="V22" i="5"/>
  <c r="V23" i="5"/>
  <c r="V6" i="5"/>
  <c r="V17" i="5"/>
  <c r="V20" i="5"/>
  <c r="Y25" i="5"/>
  <c r="H40" i="5"/>
  <c r="H44" i="5"/>
  <c r="H23" i="5"/>
  <c r="H8" i="5"/>
  <c r="H16" i="5"/>
  <c r="H22" i="5"/>
  <c r="P31" i="5"/>
  <c r="P28" i="5"/>
  <c r="P32" i="5"/>
  <c r="L28" i="5"/>
  <c r="L32" i="5"/>
  <c r="L31" i="5"/>
  <c r="X15" i="5"/>
  <c r="X18" i="5"/>
  <c r="X19" i="5"/>
  <c r="X14" i="5"/>
  <c r="H43" i="5"/>
  <c r="H39" i="5"/>
  <c r="H42" i="5"/>
  <c r="J39" i="5"/>
  <c r="J43" i="5"/>
  <c r="J42" i="5"/>
  <c r="V42" i="5"/>
  <c r="V39" i="5"/>
  <c r="V43" i="5"/>
  <c r="F38" i="5"/>
  <c r="F45" i="5"/>
  <c r="F41" i="5"/>
  <c r="H38" i="5"/>
  <c r="H41" i="5"/>
  <c r="H45" i="5"/>
  <c r="J13" i="5"/>
  <c r="J7" i="5"/>
  <c r="J9" i="5"/>
  <c r="J12" i="5"/>
  <c r="R7" i="5"/>
  <c r="R12" i="5"/>
  <c r="R9" i="5"/>
  <c r="R13" i="5"/>
  <c r="AA17" i="5"/>
  <c r="AA23" i="5"/>
  <c r="AA20" i="5"/>
  <c r="AA6" i="5"/>
  <c r="AA21" i="5"/>
  <c r="AA11" i="5"/>
  <c r="AA10" i="5"/>
  <c r="AA22" i="5"/>
  <c r="L10" i="5"/>
  <c r="L21" i="5"/>
  <c r="L11" i="5"/>
  <c r="L23" i="5"/>
  <c r="L17" i="5"/>
  <c r="L22" i="5"/>
  <c r="L6" i="5"/>
  <c r="L20" i="5"/>
  <c r="Y26" i="5"/>
  <c r="L40" i="5"/>
  <c r="L44" i="5"/>
  <c r="N44" i="5"/>
  <c r="N40" i="5"/>
  <c r="P40" i="5"/>
  <c r="P44" i="5"/>
  <c r="AA16" i="5"/>
  <c r="AA8" i="5"/>
  <c r="L16" i="5"/>
  <c r="L8" i="5"/>
  <c r="J8" i="5"/>
  <c r="J16" i="5"/>
  <c r="X28" i="5"/>
  <c r="X31" i="5"/>
  <c r="X32" i="5"/>
  <c r="J32" i="5"/>
  <c r="J31" i="5"/>
  <c r="J28" i="5"/>
  <c r="L19" i="5"/>
  <c r="L14" i="5"/>
  <c r="L15" i="5"/>
  <c r="L18" i="5"/>
  <c r="J15" i="5"/>
  <c r="J18" i="5"/>
  <c r="J19" i="5"/>
  <c r="J14" i="5"/>
  <c r="L45" i="5"/>
  <c r="L38" i="5"/>
  <c r="L41" i="5"/>
  <c r="X38" i="5"/>
  <c r="X41" i="5"/>
  <c r="X45" i="5"/>
  <c r="V7" i="5"/>
  <c r="V9" i="5"/>
  <c r="V13" i="5"/>
  <c r="V12" i="5"/>
  <c r="X10" i="5"/>
  <c r="X21" i="5"/>
  <c r="X11" i="5"/>
  <c r="X22" i="5"/>
  <c r="X23" i="5"/>
  <c r="X6" i="5"/>
  <c r="X17" i="5"/>
  <c r="X20" i="5"/>
  <c r="Y35" i="5"/>
  <c r="AB45" i="5"/>
  <c r="AA40" i="5"/>
  <c r="AA44" i="5"/>
  <c r="AB41" i="5"/>
  <c r="R8" i="5"/>
  <c r="R16" i="5"/>
  <c r="H31" i="5"/>
  <c r="H28" i="5"/>
  <c r="H32" i="5"/>
  <c r="AA28" i="5"/>
  <c r="AA31" i="5"/>
  <c r="AA32" i="5"/>
  <c r="N15" i="5"/>
  <c r="N18" i="5"/>
  <c r="N19" i="5"/>
  <c r="N14" i="5"/>
  <c r="H19" i="5"/>
  <c r="H14" i="5"/>
  <c r="H15" i="5"/>
  <c r="H18" i="5"/>
  <c r="F42" i="5"/>
  <c r="F39" i="5"/>
  <c r="F43" i="5"/>
  <c r="J41" i="5"/>
  <c r="J38" i="5"/>
  <c r="J45" i="5"/>
  <c r="AA45" i="5"/>
  <c r="AA41" i="5"/>
  <c r="AA38" i="5"/>
  <c r="Y46" i="5"/>
  <c r="F6" i="5"/>
  <c r="F20" i="5"/>
  <c r="F11" i="5"/>
  <c r="F23" i="5"/>
  <c r="F10" i="5"/>
  <c r="F17" i="5"/>
  <c r="F21" i="5"/>
  <c r="F22" i="5"/>
  <c r="H11" i="5"/>
  <c r="H17" i="5"/>
  <c r="H20" i="5"/>
  <c r="H10" i="5"/>
  <c r="H6" i="5"/>
  <c r="H21" i="5"/>
  <c r="F44" i="5"/>
  <c r="F40" i="5"/>
  <c r="X16" i="5"/>
  <c r="X8" i="5"/>
  <c r="V32" i="5"/>
  <c r="V31" i="5"/>
  <c r="V28" i="5"/>
  <c r="R15" i="5"/>
  <c r="R18" i="5"/>
  <c r="R14" i="5"/>
  <c r="R19" i="5"/>
  <c r="P15" i="5"/>
  <c r="P14" i="5"/>
  <c r="P18" i="5"/>
  <c r="P19" i="5"/>
  <c r="P43" i="5"/>
  <c r="P39" i="5"/>
  <c r="P42" i="5"/>
  <c r="R43" i="5"/>
  <c r="R39" i="5"/>
  <c r="R42" i="5"/>
  <c r="L39" i="5"/>
  <c r="L42" i="5"/>
  <c r="L43" i="5"/>
  <c r="N38" i="5"/>
  <c r="N45" i="5"/>
  <c r="N41" i="5"/>
  <c r="P38" i="5"/>
  <c r="P41" i="5"/>
  <c r="P45" i="5"/>
  <c r="L9" i="5"/>
  <c r="L13" i="5"/>
  <c r="L12" i="5"/>
  <c r="L7" i="5"/>
  <c r="N7" i="5"/>
  <c r="N9" i="5"/>
  <c r="N13" i="5"/>
  <c r="N12" i="5"/>
  <c r="N10" i="5"/>
  <c r="N21" i="5"/>
  <c r="N11" i="5"/>
  <c r="N22" i="5"/>
  <c r="N23" i="5"/>
  <c r="N20" i="5"/>
  <c r="N6" i="5"/>
  <c r="N17" i="5"/>
  <c r="J10" i="5"/>
  <c r="J11" i="5"/>
  <c r="J22" i="5"/>
  <c r="J21" i="5"/>
  <c r="J6" i="5"/>
  <c r="J23" i="5"/>
  <c r="J17" i="5"/>
  <c r="J20" i="5"/>
  <c r="Y33" i="5"/>
  <c r="R44" i="5"/>
  <c r="R40" i="5"/>
  <c r="V44" i="5"/>
  <c r="V40" i="5"/>
  <c r="X40" i="5"/>
  <c r="X44" i="5"/>
  <c r="F8" i="5"/>
  <c r="F16" i="5"/>
  <c r="V16" i="5"/>
  <c r="V8" i="5"/>
  <c r="P16" i="5"/>
  <c r="P8" i="5"/>
  <c r="F28" i="5"/>
  <c r="F32" i="5"/>
  <c r="F31" i="5"/>
  <c r="R32" i="5"/>
  <c r="R28" i="5"/>
  <c r="R31" i="5"/>
  <c r="V15" i="5"/>
  <c r="V14" i="5"/>
  <c r="V18" i="5"/>
  <c r="V19" i="5"/>
  <c r="F15" i="5"/>
  <c r="F14" i="5"/>
  <c r="F18" i="5"/>
  <c r="F19" i="5"/>
  <c r="C25" i="13"/>
  <c r="Y14" i="5" l="1"/>
  <c r="Y16" i="5"/>
  <c r="H37" i="5"/>
  <c r="Y44" i="5"/>
  <c r="Y22" i="5"/>
  <c r="AA37" i="5"/>
  <c r="Y23" i="5"/>
  <c r="Y39" i="5"/>
  <c r="Y13" i="5"/>
  <c r="Y31" i="5"/>
  <c r="Y11" i="5"/>
  <c r="Y42" i="5"/>
  <c r="Y12" i="5"/>
  <c r="Y19" i="5"/>
  <c r="Y32" i="5"/>
  <c r="Y17" i="5"/>
  <c r="Y20" i="5"/>
  <c r="AB48" i="5"/>
  <c r="AB50" i="5" s="1"/>
  <c r="Y9" i="5"/>
  <c r="AA24" i="5"/>
  <c r="AB81" i="5" s="1"/>
  <c r="Y45" i="5"/>
  <c r="Y15" i="5"/>
  <c r="Y8" i="5"/>
  <c r="Y21" i="5"/>
  <c r="Y38" i="5"/>
  <c r="Y18" i="5"/>
  <c r="Y28" i="5"/>
  <c r="Y40" i="5"/>
  <c r="Y10" i="5"/>
  <c r="Y6" i="5"/>
  <c r="Y43" i="5"/>
  <c r="Y41" i="5"/>
  <c r="Y7" i="5"/>
  <c r="C46" i="13"/>
  <c r="C35" i="13"/>
  <c r="C56" i="13" s="1"/>
  <c r="C60" i="13" s="1"/>
  <c r="C129" i="13" s="1"/>
  <c r="C28" i="13"/>
  <c r="C34" i="13"/>
  <c r="C33" i="13"/>
  <c r="C32" i="13"/>
  <c r="C31" i="13"/>
  <c r="C30" i="13"/>
  <c r="C29" i="13"/>
  <c r="Y37" i="5" l="1"/>
  <c r="Y24" i="5"/>
  <c r="Z81" i="5" s="1"/>
  <c r="AD83" i="5" s="1"/>
  <c r="AD84" i="5" s="1"/>
  <c r="C36" i="13"/>
  <c r="C74" i="13" l="1"/>
  <c r="C79" i="13" s="1"/>
  <c r="C47" i="13"/>
  <c r="C49" i="13" s="1"/>
  <c r="C64" i="13" l="1"/>
  <c r="C128" i="13"/>
  <c r="C67" i="13"/>
  <c r="C66" i="13"/>
  <c r="C65" i="13"/>
  <c r="C69" i="13" l="1"/>
  <c r="C77" i="13" s="1"/>
  <c r="C80" i="13" s="1"/>
  <c r="C130" i="13" l="1"/>
  <c r="C132" i="13" s="1"/>
  <c r="C95" i="13"/>
  <c r="C96" i="13" l="1"/>
  <c r="C97" i="13" l="1"/>
  <c r="C115" i="13" s="1"/>
  <c r="C133" i="13" s="1"/>
  <c r="C139" i="13" s="1"/>
  <c r="C145" i="13" s="1"/>
  <c r="C100" i="13"/>
  <c r="C116" i="13" s="1"/>
  <c r="C134" i="13" s="1"/>
  <c r="C140" i="13" s="1"/>
  <c r="C146" i="13" s="1"/>
  <c r="C103" i="13"/>
  <c r="C117" i="13" s="1"/>
  <c r="C135" i="13" s="1"/>
  <c r="C141" i="13" s="1"/>
  <c r="C106" i="13"/>
  <c r="C118" i="13" s="1"/>
  <c r="C136" i="13" s="1"/>
  <c r="C142" i="13" s="1"/>
  <c r="C148" i="13" s="1"/>
  <c r="C109" i="13"/>
  <c r="C119" i="13" s="1"/>
  <c r="C137" i="13" s="1"/>
  <c r="C143" i="13" s="1"/>
  <c r="C149" i="13" s="1"/>
  <c r="C112" i="13"/>
  <c r="C120" i="13" s="1"/>
  <c r="C138" i="13" s="1"/>
  <c r="C144" i="13" s="1"/>
  <c r="C150" i="13" s="1"/>
  <c r="C114" i="13"/>
  <c r="C113" i="13"/>
  <c r="C111" i="13"/>
  <c r="C110" i="13"/>
  <c r="C108" i="13"/>
  <c r="C107" i="13"/>
  <c r="C105" i="13"/>
  <c r="C104" i="13"/>
  <c r="C102" i="13"/>
  <c r="C101" i="13"/>
  <c r="C99" i="13"/>
  <c r="C98" i="13"/>
  <c r="F154" i="13" l="1"/>
  <c r="G154" i="13" s="1"/>
  <c r="G156" i="13" s="1"/>
  <c r="F47" i="5" s="1"/>
  <c r="C147" i="13"/>
  <c r="AA47" i="5" s="1"/>
  <c r="AA48" i="5" s="1"/>
  <c r="AA50" i="5" s="1"/>
  <c r="F160" i="13"/>
  <c r="G160" i="13" s="1"/>
  <c r="G162" i="13" s="1"/>
  <c r="H47" i="5" s="1"/>
  <c r="H48" i="5" s="1"/>
  <c r="F196" i="13"/>
  <c r="G196" i="13" s="1"/>
  <c r="G198" i="13" s="1"/>
  <c r="X47" i="5" s="1"/>
  <c r="F193" i="13"/>
  <c r="G193" i="13" s="1"/>
  <c r="G195" i="13" s="1"/>
  <c r="V47" i="5" s="1"/>
  <c r="F184" i="13"/>
  <c r="G184" i="13" s="1"/>
  <c r="G186" i="13" s="1"/>
  <c r="R47" i="5" s="1"/>
  <c r="F181" i="13"/>
  <c r="G181" i="13" s="1"/>
  <c r="G183" i="13" s="1"/>
  <c r="P47" i="5" s="1"/>
  <c r="F178" i="13"/>
  <c r="G178" i="13" s="1"/>
  <c r="G180" i="13" s="1"/>
  <c r="N47" i="5" s="1"/>
  <c r="F172" i="13"/>
  <c r="G172" i="13" s="1"/>
  <c r="G174" i="13" s="1"/>
  <c r="L47" i="5" s="1"/>
  <c r="F166" i="13"/>
  <c r="G166" i="13" s="1"/>
  <c r="G168" i="13" s="1"/>
  <c r="J47" i="5" s="1"/>
  <c r="Y47" i="5" l="1"/>
  <c r="Y48" i="5" s="1"/>
  <c r="Y50" i="5" s="1"/>
  <c r="AC52" i="5" l="1"/>
  <c r="AC53" i="5" s="1"/>
</calcChain>
</file>

<file path=xl/sharedStrings.xml><?xml version="1.0" encoding="utf-8"?>
<sst xmlns="http://schemas.openxmlformats.org/spreadsheetml/2006/main" count="2693" uniqueCount="633">
  <si>
    <t>MEMÓRIA DE CÁLCULO</t>
  </si>
  <si>
    <t>Premissas Utilizadas</t>
  </si>
  <si>
    <t>Quantidade média de dias úteis no mês</t>
  </si>
  <si>
    <t>Quantidade de dias no mês</t>
  </si>
  <si>
    <t>Módulo 1</t>
  </si>
  <si>
    <t>Salário Normativo</t>
  </si>
  <si>
    <t>CCT</t>
  </si>
  <si>
    <t>Data Base</t>
  </si>
  <si>
    <t>CBO</t>
  </si>
  <si>
    <t>SC000316/2022</t>
  </si>
  <si>
    <t>5143-20</t>
  </si>
  <si>
    <t>PR000321/2022</t>
  </si>
  <si>
    <t>Carga horária semanal</t>
  </si>
  <si>
    <t>Salário Base (Cl. 3ª 01)</t>
  </si>
  <si>
    <t>Encarregado de 16 a 35 empregados</t>
  </si>
  <si>
    <t>+ 20% insalubridade</t>
  </si>
  <si>
    <t>Encarregado de 36 a 100 empregados (Cl. 3º CCT)</t>
  </si>
  <si>
    <t>Adicional de risco limpeza de vidros e fachadas de risco ( Cl.3º)</t>
  </si>
  <si>
    <t>+ 30% de periculosidade</t>
  </si>
  <si>
    <t xml:space="preserve">Valor da diária do carregador </t>
  </si>
  <si>
    <t>Valor baseado em Pesquisa de Preços anexa ao Processo</t>
  </si>
  <si>
    <t>módulo 2</t>
  </si>
  <si>
    <t>Módulo 2.3</t>
  </si>
  <si>
    <t>custo empregado</t>
  </si>
  <si>
    <t>custo da empresa</t>
  </si>
  <si>
    <t>Auxílio alimentação 44h  ( Cl.12ª)</t>
  </si>
  <si>
    <t>Auxílio alimentação 44h  ( Cl.13ª)</t>
  </si>
  <si>
    <t>Auxílio alimentação 30h  ( Cl.12ª)</t>
  </si>
  <si>
    <t>Auxílio alimentação 30h  ( Cl.13ª)</t>
  </si>
  <si>
    <t>Auxílio transporte  ( Cl.14ª)</t>
  </si>
  <si>
    <t>Prêmio Assiduidade  ( Cl.11º)</t>
  </si>
  <si>
    <t>Prêmio Assiduidade  ( Cl.)</t>
  </si>
  <si>
    <t>Assistência ao Trabalhador  ( Cl.16º)</t>
  </si>
  <si>
    <t>Assistência ao Trabalhador  ( Cl.)</t>
  </si>
  <si>
    <t>Ajuda de Custo  limpeza de vidros e fachadas de risco  ( Cl.12º)</t>
  </si>
  <si>
    <t>Benefício assistência médica  ( Cl.15ª)</t>
  </si>
  <si>
    <t>Benefício social familiar  ( Cl.16ª)</t>
  </si>
  <si>
    <t>Módulo 3</t>
  </si>
  <si>
    <t>3.1 -A - Aviso Prévio Indenizado:  Fórmula do Percentual: 1/12 x 5% = 0,42%; Fórmula: Total da Remuneração x 0,42%</t>
  </si>
  <si>
    <t>→ Proporção estimada dos empregados demitidos com Aviso Prévio Indenizado, no primeiro período de 12 meses, durante a vigência do contrato: 5%.</t>
  </si>
  <si>
    <t>C - Multa do FGTS sobre Aviso Prévio Indenizado -</t>
  </si>
  <si>
    <t>(Considerando que a multa do FGTS  incide uma única vez sobre a totalidade dos meses de contrato, independentemente da espécie de Aviso Prévio  - trabalhado ou indenizado -,  zeramos essa rubrica e aportamos na sua totalidade na alínea “f” deste mesmo módulo.)</t>
  </si>
  <si>
    <t>D - Aviso Prévio Trabalhado: Fórmula do Percentual: 1 / 30 dias x 7 dias / 12 meses = 1,94%; Fórmula: Total da Remuneração x 1,</t>
  </si>
  <si>
    <t>→ Foi considerado que 100% dos empregados seriam demitidos com Aviso Prévio Trabalhado ao final do contrato.</t>
  </si>
  <si>
    <t>(Esta parcela e seus reflexos  deverão ser reduzidos após o primeiro ano da contratação para o percentual máximo de 0,194% e, 0,072%, respectivamente: Acórdão 1.186/2017-P).</t>
  </si>
  <si>
    <t>OBS: Nas prorrogações deverá constar da planilha de custos somente a previsão da extensão do aviso prévio, consoante disposto na Lei nº 12.506/2011, de 03 dias a mais por ano trabalhado, até o limite máximo de 42 dias, haja vista que os contratos poderão ser prorrogados até 60 meses.</t>
  </si>
  <si>
    <t>F - Multa FGTS e contribuição social - Fórmula do Percentual: Alíquota do FGTS (8%) x Multa do FGTS (40%) x 90% x (1 + 1/12 + 1/12 + 1/3 x 1/12) = 3,44% ; Fórmula: (Total da Remuneração) x 3,44%</t>
  </si>
  <si>
    <t>→ Foi considerado que 10% dos empregados pedem as contas.</t>
  </si>
  <si>
    <t>Módulo 4</t>
  </si>
  <si>
    <t>4.1 - Substituto nas Ausências Legais</t>
  </si>
  <si>
    <t>A - Substituto na cobertura de Férias</t>
  </si>
  <si>
    <t>Provisão para as despesas com o pagamento do substituto do empregado residente, quando este se ausentar em razões de suas férias - Fórmula do Percentual: 1/12 = 8,33% ; Fórmula: (MÓDULO 1 + 2 + 3) x 8,33%</t>
  </si>
  <si>
    <t>B – Subs. cobertura de Ausências Legais</t>
  </si>
  <si>
    <t>Provisão para cobertura das despesas eventuais com outras faltas legais (justificadas ou abonadas por lei) - Fórmula do Percentual: Média de ausências por ano * (4,874) / dias do mês (30) / doze meses = 1,3538%;    Fórmula: (MÓDULO 1 + 2 + 3) x 1,3538%</t>
  </si>
  <si>
    <t>Ausência justificada</t>
  </si>
  <si>
    <t>Afastamento por doença</t>
  </si>
  <si>
    <t>* Fonte: Caderno técnico de Limpeza 2019 - Paraná - SEGES/ME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</si>
  <si>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</si>
  <si>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</si>
  <si>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</si>
  <si>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</si>
  <si>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</si>
  <si>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</si>
  <si>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TOTAL</t>
  </si>
  <si>
    <t>C - Subst. cobertura de Licença Parternidade</t>
  </si>
  <si>
    <t>Fórmula do Percentual: 5 dias de licença (5 / 30) / 12 meses x percentual estatístico* x percentual de empregados do sexo masculino** ;    Fórmula: (MÓDULO 1 + 2 + 3) x 0,02%</t>
  </si>
  <si>
    <t xml:space="preserve">*Expectativa anual de nascimento de filhos dos trabalhadores (IBGE – Manual de Preenchimento da Planilha de Custos): </t>
  </si>
  <si>
    <t>**Percentual de Homens: Limpeza 51,67%</t>
  </si>
  <si>
    <t>D - Subst.  cobertura de Ausências por acidente de trabalho</t>
  </si>
  <si>
    <t>Lei  8.213/91 obriga o empregador a assumir o ônus financeiro pelo prazo de 15 dias, no caso de acidente de trabalho previsto no art. 131 da CLT. Fórmula do Percentual: 0,9659 * dias / 30 dias do mês / 12 meses = 0,2681% ; Fórmula: (MÓDULO 1 + 2 + 3) x 0,2681%</t>
  </si>
  <si>
    <t>* Média de faltas anuais por acidente de trabalho( dias)</t>
  </si>
  <si>
    <t>4.3 - Afastamento Maternidade</t>
  </si>
  <si>
    <t>A - Afastamento Maternidade</t>
  </si>
  <si>
    <t>Fórmula do Percentual: (Dias licença: 120 / Dias no mês: 30 ) x Percentual de Mulheres* x Expectativa mensal de Afastamento Maternidade**;  Fórmula: (13° Salário + Férias + Adicional Férias + Submódulo 2.2 + Benefícios Mensais excluídos vale transporte e vale refeição) x Percentual Encontrado</t>
  </si>
  <si>
    <t xml:space="preserve">*Percentual de Mulheres Limpeza </t>
  </si>
  <si>
    <t>**Expectativa mensal Afastamento Maternidade (Censo IBGE)</t>
  </si>
  <si>
    <t>Módulo 6</t>
  </si>
  <si>
    <t>A - Custos Indiretos</t>
  </si>
  <si>
    <t>B - Lucro</t>
  </si>
  <si>
    <t>Vale Transporte e ISS</t>
  </si>
  <si>
    <t>Unidade Orgânica GEX Florianópolis</t>
  </si>
  <si>
    <t>ISS</t>
  </si>
  <si>
    <t>VT</t>
  </si>
  <si>
    <t>Serventes</t>
  </si>
  <si>
    <t>VT*Servente</t>
  </si>
  <si>
    <t>Unidade Orgânica GEX Blumenau</t>
  </si>
  <si>
    <t>Unidade Orgânica</t>
  </si>
  <si>
    <t>GERÊNCIA EXECUTIVA FLORIANÓPOLIS</t>
  </si>
  <si>
    <t>GERÊNCIA EXECUTIVA BLUMENAU</t>
  </si>
  <si>
    <t>GERÊNCIA EXECUTIVA JOINVILLE</t>
  </si>
  <si>
    <t>APS ALFREDO WAGNER</t>
  </si>
  <si>
    <t>CEDOC Prev</t>
  </si>
  <si>
    <t>APS CANOINHAS</t>
  </si>
  <si>
    <t>APS BIGUAÇÚ</t>
  </si>
  <si>
    <t>APS BLUMENAU</t>
  </si>
  <si>
    <t>APS JARAGUÁ DO SUL</t>
  </si>
  <si>
    <t>APS CURITIBANOS</t>
  </si>
  <si>
    <t>APS BRUSQUE</t>
  </si>
  <si>
    <t>APS JOINVILLE - CENTRO</t>
  </si>
  <si>
    <t>APS FLORIANÓPOLIS - CENTRO</t>
  </si>
  <si>
    <t>APS IBIRAMA</t>
  </si>
  <si>
    <t>APS MAFRA</t>
  </si>
  <si>
    <t>APS FLORIANÓPOLIS - CONTINENTE</t>
  </si>
  <si>
    <t>APS INDAIAL</t>
  </si>
  <si>
    <t>APS SÃO BENTO DO SUL</t>
  </si>
  <si>
    <t>5,25</t>
  </si>
  <si>
    <t>APS IMBITUBA</t>
  </si>
  <si>
    <t>APS ITAJAÍ</t>
  </si>
  <si>
    <t>APS SÃO FRANCISCO DO SUL</t>
  </si>
  <si>
    <t>APS ITAPEMA</t>
  </si>
  <si>
    <t>APS RIO DO SUL</t>
  </si>
  <si>
    <t>PRÉDIO JOINVILLE - GUANABARA (DEPÓSITO/ARQUIVO)</t>
  </si>
  <si>
    <t>APS LAGES</t>
  </si>
  <si>
    <t>APS TIMBÓ</t>
  </si>
  <si>
    <t>APS GUARAMIRIM</t>
  </si>
  <si>
    <t>APS PALHOÇA</t>
  </si>
  <si>
    <t>APS BALNEÁRIO DE CAMBORIÚ</t>
  </si>
  <si>
    <t>APS RIO NEGRO/PR</t>
  </si>
  <si>
    <t>APS SÃO JOAQUIM</t>
  </si>
  <si>
    <t>APS PENHA</t>
  </si>
  <si>
    <t>Média Simples VT</t>
  </si>
  <si>
    <t>APS SÃO JOSÉ</t>
  </si>
  <si>
    <t>APS POMERODE</t>
  </si>
  <si>
    <t>Média Ponderada VT</t>
  </si>
  <si>
    <t>APS TIJUCAS</t>
  </si>
  <si>
    <t>Arquivo Palhoça</t>
  </si>
  <si>
    <t>GALPÕES MAURO RAMOS</t>
  </si>
  <si>
    <t>SALAS COMERCIAIS NO EDIFÍCIO EMEDAUX</t>
  </si>
  <si>
    <t>APS BI - Perícias</t>
  </si>
  <si>
    <t>SUPERINTENDÊNCIA – SRIII</t>
  </si>
  <si>
    <t>MATERIAIS</t>
  </si>
  <si>
    <t>Formalização da pesquisa de preços</t>
  </si>
  <si>
    <t>DISCRIMINAÇÃO</t>
  </si>
  <si>
    <t>UNIDADE</t>
  </si>
  <si>
    <t>QUANTIDADE DEFINIDA POR SERVENTE</t>
  </si>
  <si>
    <t>PREÇO MEDIO – PAINEL DE PREÇOS (R$)</t>
  </si>
  <si>
    <t>PREÇO MÉDIO - INTERNET (R$)</t>
  </si>
  <si>
    <t>CUSTO MÉDIO (R$)</t>
  </si>
  <si>
    <t>CUSTO MENSAL MATERIAIS POR SERVENTE</t>
  </si>
  <si>
    <t>USO(*)</t>
  </si>
  <si>
    <t>Art. 3º A pesquisa de preços será materializada em documento que conterá, no mínimo:</t>
  </si>
  <si>
    <t>Ácido Muriático</t>
  </si>
  <si>
    <t>litro</t>
  </si>
  <si>
    <t>VII</t>
  </si>
  <si>
    <t>I - identificação do agente responsável pela cotação;</t>
  </si>
  <si>
    <t>Agua Sanitária</t>
  </si>
  <si>
    <t>II,III</t>
  </si>
  <si>
    <t>II - caracterização das fontes consultadas;</t>
  </si>
  <si>
    <t>Álcool Gel 70%</t>
  </si>
  <si>
    <t>500 ml</t>
  </si>
  <si>
    <t>IX</t>
  </si>
  <si>
    <t>III - série de preços coletados;</t>
  </si>
  <si>
    <t>Álcool Liquido 70%</t>
  </si>
  <si>
    <t>V - justificativas para a metodologia utilizada, em especial para a desconsideração de valores inexequíveis, inconsistentes e excessivamente elevados, se aplicável.</t>
  </si>
  <si>
    <t>Cera Líquida</t>
  </si>
  <si>
    <t>5 litros</t>
  </si>
  <si>
    <t>I, X</t>
  </si>
  <si>
    <t>Desinfetante de uso geral/banheiro</t>
  </si>
  <si>
    <t>II, X</t>
  </si>
  <si>
    <t>Desincrustante limpeza pesada piso</t>
  </si>
  <si>
    <t>I, II, VII</t>
  </si>
  <si>
    <t>Detergente liquido neutro</t>
  </si>
  <si>
    <t>X</t>
  </si>
  <si>
    <t>Detergente para Louça</t>
  </si>
  <si>
    <t>II</t>
  </si>
  <si>
    <t>Estopa 500g</t>
  </si>
  <si>
    <t>Unidade</t>
  </si>
  <si>
    <t>I, II, X</t>
  </si>
  <si>
    <t>Fibra de limpeza pesada, 230mmx150mm</t>
  </si>
  <si>
    <t>I</t>
  </si>
  <si>
    <t>Esponja dupla face, 110mmx75mmx20mm</t>
  </si>
  <si>
    <t>Flanela de algodão 40cm x 60cm</t>
  </si>
  <si>
    <t>II,, III, XI,X</t>
  </si>
  <si>
    <t>Inseticida aerosol 300ml</t>
  </si>
  <si>
    <t>I, II,X</t>
  </si>
  <si>
    <t>Lã de aço fina uso doméstico</t>
  </si>
  <si>
    <t>PC  8UN</t>
  </si>
  <si>
    <t>Limpa-metais (polidor)</t>
  </si>
  <si>
    <t>VI</t>
  </si>
  <si>
    <t>Limpa Vidro líquido</t>
  </si>
  <si>
    <t>500ml</t>
  </si>
  <si>
    <t>IV</t>
  </si>
  <si>
    <t>Limpador Multiuso (Veja ou similar)</t>
  </si>
  <si>
    <t>Lustra Móveis líquido</t>
  </si>
  <si>
    <t>100 ml</t>
  </si>
  <si>
    <t>Luva borracha para limpeza (tamanho p/m/g)</t>
  </si>
  <si>
    <t>Par</t>
  </si>
  <si>
    <t>Odorizador de ambiente spray 360ml</t>
  </si>
  <si>
    <t>Pano para limpeza algodão alvejado 70 x 45 cm ( 120g)</t>
  </si>
  <si>
    <t>Papel higiênico 1ª qual,  branca, fl. dupla 30m x 10cm ( farto 64un)</t>
  </si>
  <si>
    <t>Fardo 64un</t>
  </si>
  <si>
    <t>Papel Higiênico Rolão com 300 metros x 10 cm (BRANCO, MACIO)</t>
  </si>
  <si>
    <t>Rolão ( fardo 8un)</t>
  </si>
  <si>
    <t>Papel Toalha interfolhada, cor branca, 21cmx22cm PC com 1000 fls</t>
  </si>
  <si>
    <t>Pacote</t>
  </si>
  <si>
    <t>Pastilha Sanitária com suporte</t>
  </si>
  <si>
    <t>pacote 25g</t>
  </si>
  <si>
    <t>Sabão em líquido neutro litros</t>
  </si>
  <si>
    <t>Sabão em Barra neutro 200g</t>
  </si>
  <si>
    <t>Sabão em pó</t>
  </si>
  <si>
    <t>Kg</t>
  </si>
  <si>
    <t>Sabonete Líquido neutro, 1ª qualidade</t>
  </si>
  <si>
    <t>Sapólio cremoso 300ml</t>
  </si>
  <si>
    <t>II,X</t>
  </si>
  <si>
    <t>Saco para Lixo reforçado 40L</t>
  </si>
  <si>
    <t>pcte 100 un</t>
  </si>
  <si>
    <t>I,II,V</t>
  </si>
  <si>
    <t>Saco para Lixo reforçado 60L</t>
  </si>
  <si>
    <t>Saco para Lixo reforçado 100L</t>
  </si>
  <si>
    <t>UTENSÍLIOS</t>
  </si>
  <si>
    <t>QUANTIDADE DEFINIDA POR SERVENTE (ANUAL)</t>
  </si>
  <si>
    <t>CUSTO MENSAL UTENSÍLIOS POR SERVENTE</t>
  </si>
  <si>
    <t>Balde de Plástico 10L a 20L</t>
  </si>
  <si>
    <t>Desentupidor de Pia</t>
  </si>
  <si>
    <t>Desentupidor de Vaso Sanitário</t>
  </si>
  <si>
    <t>Disco Para Enceradeira</t>
  </si>
  <si>
    <t>Escova sanitária com suporte</t>
  </si>
  <si>
    <t>Escova para Enceradeira</t>
  </si>
  <si>
    <t>Escova de Nylon para tangue</t>
  </si>
  <si>
    <t>Espanador de pó, penas, cabo 40 a 60 cm</t>
  </si>
  <si>
    <t>Mop Seco</t>
  </si>
  <si>
    <t>Mop Úmido</t>
  </si>
  <si>
    <t>Mop Úmido Refil</t>
  </si>
  <si>
    <t>Pá plastido p/ coleta de lixo,  cabo longo 80 cm</t>
  </si>
  <si>
    <t>Rodo espuma com cabo comprido, 40 a 60 cm</t>
  </si>
  <si>
    <t>Rodo borracha dupla, cabo comprido, 40 a 60 cm</t>
  </si>
  <si>
    <t>Saco descartável para aspirador de pó</t>
  </si>
  <si>
    <t>PACOTE COM 3UN</t>
  </si>
  <si>
    <t>Suporte limpa tudo, c/ rosca, articulado,  cabo</t>
  </si>
  <si>
    <t>I,II,V,X</t>
  </si>
  <si>
    <t>Vassoura de Gari</t>
  </si>
  <si>
    <t>I,X</t>
  </si>
  <si>
    <t>Vassoura de Nylon</t>
  </si>
  <si>
    <t>I,IIV,VII,X</t>
  </si>
  <si>
    <t>Vassoura de palha</t>
  </si>
  <si>
    <t>CUSTO UTENSÍLIO MENSAL POR SERVENTE</t>
  </si>
  <si>
    <t>CUSTO TOTAL DE MATERIAIS + UTENSÍLIOS POR SERVENTE</t>
  </si>
  <si>
    <t>MATERIAIS/UTENSÍLIOS PARA ÁREA SANITIZAÇÃO</t>
  </si>
  <si>
    <t>QUANTIDADE DEFINIDA POR SERVENTE (MENSAL)</t>
  </si>
  <si>
    <t>PREÇO MÉDIO – PAINEL DE PREÇOS (R$)</t>
  </si>
  <si>
    <t>CUSTO MENSAL MATERIAIS (R$)</t>
  </si>
  <si>
    <t>Álcool isopropílico</t>
  </si>
  <si>
    <t>III</t>
  </si>
  <si>
    <t>XI</t>
  </si>
  <si>
    <t>Saco para Lixo Leitoso reforçado 100L</t>
  </si>
  <si>
    <t>V</t>
  </si>
  <si>
    <t>QUANTIDADE DEFINIDA (anual)</t>
  </si>
  <si>
    <t>CUSTO MENSAL MATERIAIS (R$) - GEX Ponta Grossa</t>
  </si>
  <si>
    <t>Borrifador 350ml de Álcool de 350ml a 500 ml</t>
  </si>
  <si>
    <t>VALOR POR servente COVID</t>
  </si>
  <si>
    <t>As áreas destinadas ao consumo dos produtos solicitados estão assim distribuídas:</t>
  </si>
  <si>
    <t>I. Para uso em áreas de circulação</t>
  </si>
  <si>
    <t>II. Para uso em banheiros e cozinha</t>
  </si>
  <si>
    <t>III. Para uso nos protetores de acrílicos</t>
  </si>
  <si>
    <t>IV. Para uso em áreas envidraçadas e tampos de mesa</t>
  </si>
  <si>
    <t>V. Para uso nas salas</t>
  </si>
  <si>
    <t>VI. Para brilho em superfícies de Inox</t>
  </si>
  <si>
    <t>VII. Para limpeza de pisos e paredes de pedra</t>
  </si>
  <si>
    <t>VIII. Para limpeza dos microcomputadores</t>
  </si>
  <si>
    <t>XI. Higienização e desinfecção das mãos e superfícies de mobiliários e equipamentos,</t>
  </si>
  <si>
    <t>X. Diversos</t>
  </si>
  <si>
    <t>EQUIPAMENTOS</t>
  </si>
  <si>
    <t>QUANTIDADE DEFINIDA (1 por Unidade) GEXFLO</t>
  </si>
  <si>
    <t>QUANTIDADE DEFINIDA (1 por Unidade) GEXBLU</t>
  </si>
  <si>
    <t>QUANTIDADE DEFINIDA (1 por Unidade) GEXJVL</t>
  </si>
  <si>
    <t>CUSTO MENSAL EQUIPAMENTOS (R$) - GEXFLO</t>
  </si>
  <si>
    <t>CUSTO MENSAL EQUIPAMENTOS (R$) - GEXCRI</t>
  </si>
  <si>
    <t>CUSTO MENSAL EQUIPAMENTOS (R$) - GEXJVL</t>
  </si>
  <si>
    <t>Aspirador de Pó</t>
  </si>
  <si>
    <t>Cabo Extensor para Limpeza (5 metros)</t>
  </si>
  <si>
    <t>Carro funcional c/ bolsa, metal/plástico, 3 prat.</t>
  </si>
  <si>
    <t>Enceradeira industrial DC 350 ( 60 meses)</t>
  </si>
  <si>
    <t>Escada domés.  Alum. Degraus 4 a 6, Antiderrap</t>
  </si>
  <si>
    <t>Extensão elétrica de 15mt</t>
  </si>
  <si>
    <t xml:space="preserve">Lavadora de alta pressão mínimo 1.500 LB  </t>
  </si>
  <si>
    <t>Mangueira de jardim 20m, c/ esguicho/engate</t>
  </si>
  <si>
    <t>Placa sinalizadora (Piso Molhado - 2 por APS)</t>
  </si>
  <si>
    <t>Rastelo de Jardim ( APS com areas verdes)</t>
  </si>
  <si>
    <t>TOTAL GERAL ( 60 MESES)</t>
  </si>
  <si>
    <t>TOTAL ANUAL DE EQUIPAMENTOS  - Depreciação Anual conforme tabela da RFB -</t>
  </si>
  <si>
    <t>VALOR POR SERVENTE</t>
  </si>
  <si>
    <t>UNIFORMES</t>
  </si>
  <si>
    <t xml:space="preserve">QUANTIDADE DEFINIDA (anual) </t>
  </si>
  <si>
    <t>PREÇO MÉDIO – PAINEL DE PREÇOS</t>
  </si>
  <si>
    <t>PEÇO MÉDIO - INTERNET</t>
  </si>
  <si>
    <t>CUSTO MÉDIO</t>
  </si>
  <si>
    <t xml:space="preserve">CUSTO MENSAL UNIFORMES </t>
  </si>
  <si>
    <t>SERVENTES</t>
  </si>
  <si>
    <t>Bata ( avental) pano</t>
  </si>
  <si>
    <t>Bota de borracha</t>
  </si>
  <si>
    <t>Calça</t>
  </si>
  <si>
    <t>Camiseta</t>
  </si>
  <si>
    <t>Crachá, protetor, jacaré, cordão e regulador</t>
  </si>
  <si>
    <t>Sapato segurança</t>
  </si>
  <si>
    <t>ENCARREGADAS</t>
  </si>
  <si>
    <t xml:space="preserve">Calça Social </t>
  </si>
  <si>
    <t>Camisa social  manga curta/longa</t>
  </si>
  <si>
    <t>Crachá, protetor, jacaré, cordão,regulador</t>
  </si>
  <si>
    <t>Sapato Social</t>
  </si>
  <si>
    <t>TOTAL GERAL MENSAL POR SERVENTE</t>
  </si>
  <si>
    <t>TOTAL GERAL MENSAL ENCARREGADA</t>
  </si>
  <si>
    <t>EPIs</t>
  </si>
  <si>
    <t>QUANTIDADE DEFINIDA MENSAL (Serventes 20 ou 30h)</t>
  </si>
  <si>
    <t>QUANTIDADE DEFINIDA MENSAL (Serventes 40 ou 44h)</t>
  </si>
  <si>
    <t>PREÇO MÉDIO - INTERNET</t>
  </si>
  <si>
    <t>CUSTO MENSAL DE EPIS (Servente 20 ou 30h)</t>
  </si>
  <si>
    <t>CUSTO MENSAL DE EPIS (Servente 40 ou 44h)</t>
  </si>
  <si>
    <t>ÁREA SANITIZAÇÃO</t>
  </si>
  <si>
    <t>Avental descartável</t>
  </si>
  <si>
    <t>Face Shield</t>
  </si>
  <si>
    <t>Luvas descartáveis (100un) (50 pares)</t>
  </si>
  <si>
    <t>Máscara descartável</t>
  </si>
  <si>
    <t>Touca descartável</t>
  </si>
  <si>
    <t>QUANTIDADE DEFINIDA ANUAL  (Serventes 20 ou 30h)</t>
  </si>
  <si>
    <t>QUANTIDADE DEFINIDA ANUAL  (Serventes 40 ou 44h)</t>
  </si>
  <si>
    <t>PREÇO MEDIO – PAINEL DE PREÇOS</t>
  </si>
  <si>
    <t>EPIs USO GERAL</t>
  </si>
  <si>
    <t>Avental impermeável de pvc</t>
  </si>
  <si>
    <t>Luva proteção de raspa de couro, cano curto</t>
  </si>
  <si>
    <t>Óculos de proteção lente transparente</t>
  </si>
  <si>
    <t>Obs:  Periodicidade/frequencia de trocas dos EPIs de acorda com as premissas adotadas na contratação de média de dias úteis no mês = 22 dias</t>
  </si>
  <si>
    <t>1x ao dia</t>
  </si>
  <si>
    <t>1x a cada 6 meses -  Deverá ser descartado quando danificado</t>
  </si>
  <si>
    <t>3 pares ao dia ou quando danificado</t>
  </si>
  <si>
    <t>1x a cada 3h</t>
  </si>
  <si>
    <t>Borrifador 500ML</t>
  </si>
  <si>
    <t>2un/servente/a cada 3 meses ( 1 para álcool 70% e 1 para álcool isopropílico)</t>
  </si>
  <si>
    <t>Flanela de algodão branca 40cm x 60cm</t>
  </si>
  <si>
    <t>4 un para cada servente/mês</t>
  </si>
  <si>
    <t>saco de Lixo reforçado,  100 L , cor branco leitoso</t>
  </si>
  <si>
    <t>2 un/dia por lixeira x 4 salas de perícia/serviço social e reabilitação x 22 dias uteis mês</t>
  </si>
  <si>
    <t>PLANO DE TELEFONE  ENCARREGADA (O)</t>
  </si>
  <si>
    <t>Crédito celular encarregada</t>
  </si>
  <si>
    <t>ÁREA INTERNA</t>
  </si>
  <si>
    <t>ÁREA EXTERNA</t>
  </si>
  <si>
    <t>ESQUADRIAS</t>
  </si>
  <si>
    <t>ITEM 11</t>
  </si>
  <si>
    <t>ITEM 12</t>
  </si>
  <si>
    <t>ITEM 13</t>
  </si>
  <si>
    <t>ITEM 14</t>
  </si>
  <si>
    <t>ITEM 15</t>
  </si>
  <si>
    <t>ISS %</t>
  </si>
  <si>
    <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</si>
  <si>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</si>
  <si>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</si>
  <si>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</si>
  <si>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</si>
  <si>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t>AE-2: 
 coleta de detritos em pátios e áreas verdes com frequência diária</t>
  </si>
  <si>
    <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</si>
  <si>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</si>
  <si>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</si>
  <si>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t>EI:</t>
    </r>
    <r>
      <rPr>
        <sz val="9"/>
        <color rgb="FF000000"/>
        <rFont val="Calibri"/>
        <family val="2"/>
        <charset val="1"/>
      </rPr>
      <t xml:space="preserve"> 
Face Interna</t>
    </r>
  </si>
  <si>
    <t>Valor mensal                                   Limpeza odinária</t>
  </si>
  <si>
    <t>Valor mensal                                   Servente Covid</t>
  </si>
  <si>
    <t>Valor limite mensal - Horas eventuais Limp Ordinária</t>
  </si>
  <si>
    <t>Valor limite mensal - horas eventuais COVID</t>
  </si>
  <si>
    <t>Valor mensal item                    Diárias carregadores</t>
  </si>
  <si>
    <t>Área</t>
  </si>
  <si>
    <t>Preço m²</t>
  </si>
  <si>
    <t>R$</t>
  </si>
  <si>
    <t>30h</t>
  </si>
  <si>
    <t>44h</t>
  </si>
  <si>
    <t>RUA FELIPE SCHMIDT, 331, CENTRO, CEP 88010000</t>
  </si>
  <si>
    <t>FLORIANÓPOLIS/SC</t>
  </si>
  <si>
    <t>RUA MAJOR PEDRO BORGES, 103, CENTRO, CEP 88450000</t>
  </si>
  <si>
    <t>ALFREDO WAGNER/SC</t>
  </si>
  <si>
    <t>RUA GETÚLIO VARGAS, 70, CENTRO, CEP 88160000</t>
  </si>
  <si>
    <t>BIGUAÇU/SC</t>
  </si>
  <si>
    <t>RUA MAXIMINO DE MORAES, 357, CENTRO, CEP 89520000</t>
  </si>
  <si>
    <t>APS CURITIBANOS/SC</t>
  </si>
  <si>
    <t>AV. IVO SILVEIRA, 1960, CAPOEIRAS, CEP 88085000</t>
  </si>
  <si>
    <t>RUA SANTA CATARINA, 952, CENTRO, CEP 88780000</t>
  </si>
  <si>
    <t>IMBITUBA/SC</t>
  </si>
  <si>
    <t>RUA CENTO E VINTE E UM, 78, CENTRO, CEP 88220000</t>
  </si>
  <si>
    <t>ITAPEMA/SC</t>
  </si>
  <si>
    <t>RUA GOVERNADOR JORGE LACERDA, 126, CENTRO, CEP 88501120</t>
  </si>
  <si>
    <t>LAGES/SC</t>
  </si>
  <si>
    <t>RUA BARÃO DO RIO BRANCO, 277, CENTRO, CEP 88130101</t>
  </si>
  <si>
    <t>PALHOÇA/SC</t>
  </si>
  <si>
    <t xml:space="preserve">RUA DOMINGOS MARTORANO, 350, CENTRO, CEP 88600000 </t>
  </si>
  <si>
    <t>SÃO JOAQUIM/SC</t>
  </si>
  <si>
    <t>RUA ADEMAR DA SILVA, 1279, KOBRASOL, CEP 88101091</t>
  </si>
  <si>
    <t>SÃO JOSÉ/SC</t>
  </si>
  <si>
    <t>RUA ATILIO CAMPOS FILHO, S/N, CENTRO,</t>
  </si>
  <si>
    <t>TIJUCAS/SC</t>
  </si>
  <si>
    <t xml:space="preserve">AV. PREFEITO NELSON MARTINS, 405, CENTRO, CEP 88131300 </t>
  </si>
  <si>
    <t>AV. MAURO RAMOS, 1880, CENTRO, CEP 88020302</t>
  </si>
  <si>
    <t>R. SANTOS DUMONT, 64- CENTRO, CEP 88015020</t>
  </si>
  <si>
    <t>R. ÁLVARO DE CARVALHO, 220 - CENTRO, 88010040</t>
  </si>
  <si>
    <t>PRAÇA PEREIRA OLIVEIRA, 13, CENTRO, CEP 88010540</t>
  </si>
  <si>
    <t>Rua Presidente John. Kennedy, 25, Centro</t>
  </si>
  <si>
    <t>BLUMENAU/SC</t>
  </si>
  <si>
    <t>Rua João Pessoa, 2000, Velha</t>
  </si>
  <si>
    <t>Rua Rodrigues Alves, 50, Centro</t>
  </si>
  <si>
    <t>BRUSQUE/SC</t>
  </si>
  <si>
    <t>Rua XV de Novembro, 459, Centro</t>
  </si>
  <si>
    <t>IBIRAMA/SC</t>
  </si>
  <si>
    <t>Rua Marechal Floriano Peixoto, 444, Centro</t>
  </si>
  <si>
    <t>INDAIAL/SC</t>
  </si>
  <si>
    <t>R. Doutor José Bonifácio Malburg, 195, Centro</t>
  </si>
  <si>
    <t>ITAJAÍ/SC</t>
  </si>
  <si>
    <t>Av. 7 de Setembro, 352, Jardim América</t>
  </si>
  <si>
    <t>RIO DO SUL/SC</t>
  </si>
  <si>
    <t>Rua Benjamin Constant, 29, Centro</t>
  </si>
  <si>
    <t>TIMBÓ/SC</t>
  </si>
  <si>
    <t>Av. do Estado Dalmo Vieira, 3660</t>
  </si>
  <si>
    <t>BALNEÁRIO DE CAMBORIÚ/SC</t>
  </si>
  <si>
    <t>Rua João Veríssimo da Silva – SN, Centro</t>
  </si>
  <si>
    <t>PENHA/SC</t>
  </si>
  <si>
    <t>Rua Arthur Reinert, 11, Centro</t>
  </si>
  <si>
    <t>POMERODE/SC</t>
  </si>
  <si>
    <t>Rua 9 de Março, nº 241 – Centro, Joinville/SC</t>
  </si>
  <si>
    <t>Joinville/SC</t>
  </si>
  <si>
    <t>Rua Vidal Ramos, nº 780 – Centro, Canoinhas/SC</t>
  </si>
  <si>
    <t>Canoinhas/SC</t>
  </si>
  <si>
    <t>Av. Getúlio Vargas, nº 500 – Centro, Jaraguá do Sul</t>
  </si>
  <si>
    <t>Jaguará do sul/SC</t>
  </si>
  <si>
    <t>Rua Mathias Piechinick, nº 37 - Centro, Mafra/SC</t>
  </si>
  <si>
    <t>Mafra/SC</t>
  </si>
  <si>
    <t>Rua Capitão Ernesto Nunes, nº 89 - Centro, São Bento do Sul/SC</t>
  </si>
  <si>
    <t>São Bento do Sul/SC</t>
  </si>
  <si>
    <t>Rua Barão do Rio Branco, nº 377 - Centro, São Francisco do Sul/SC</t>
  </si>
  <si>
    <t>São Francisco do Sul/SC</t>
  </si>
  <si>
    <t>Rua Graciosa, nº 380 – Guanabara, Joinville/SC</t>
  </si>
  <si>
    <t>Av. Nelson Luís Rosa de Bem, nº 90 - Centro, Guaramirim/SC</t>
  </si>
  <si>
    <t>Guaramirim/SC</t>
  </si>
  <si>
    <t>Av. Saturnino Olindo, nº 30, Rio Negro/PR</t>
  </si>
  <si>
    <t>Rio Negro/PR</t>
  </si>
  <si>
    <t> </t>
  </si>
  <si>
    <t>TOTAL GERAL</t>
  </si>
  <si>
    <t xml:space="preserve">ISS </t>
  </si>
  <si>
    <t>AI-4: 
Banheiros</t>
  </si>
  <si>
    <t xml:space="preserve">AE-2:                                                                                                                                    coleta de detritos em pátios e áreas verdes com frequência diária
</t>
  </si>
  <si>
    <t>Serventes por Unidade (Calculada)</t>
  </si>
  <si>
    <t>Qtde de serventes ajustada LIMPEZA ORDINÁRIA                      e carga horária</t>
  </si>
  <si>
    <t>Qtde Ajustada Qtde postos COVID e Carga horária servente</t>
  </si>
  <si>
    <t>Qtde horas eventuais Limpeza Ordinária/Mês</t>
  </si>
  <si>
    <t xml:space="preserve"> Qtde horas eventuais COVID/Mês</t>
  </si>
  <si>
    <t>Qtde Diárias carregadores/Mês</t>
  </si>
  <si>
    <t>Qtde postos e Carga horária ENCARREGADA</t>
  </si>
  <si>
    <t>h</t>
  </si>
  <si>
    <t>diarias</t>
  </si>
  <si>
    <t>Total Geral</t>
  </si>
  <si>
    <t>Produtividade adotada</t>
  </si>
  <si>
    <t>total</t>
  </si>
  <si>
    <t>Número de Serventes</t>
  </si>
  <si>
    <t>fração</t>
  </si>
  <si>
    <t>Número de Encarregados</t>
  </si>
  <si>
    <t>800 a 1200</t>
  </si>
  <si>
    <t>1500 a 2500</t>
  </si>
  <si>
    <t>1000 a 1500</t>
  </si>
  <si>
    <t>200 a 300</t>
  </si>
  <si>
    <t>1800 a 2700</t>
  </si>
  <si>
    <t>6000 a 9000</t>
  </si>
  <si>
    <t>130 a 160</t>
  </si>
  <si>
    <t>300 a 380</t>
  </si>
  <si>
    <t>ANEXO IV</t>
  </si>
  <si>
    <t>MODELO DE PROPOSTA E PLANILHA DE CUSTOS E FORMAÇÃO DE PREÇOS</t>
  </si>
  <si>
    <t>PROCESSO 35014.018642/2022-12</t>
  </si>
  <si>
    <t>Servente 44h</t>
  </si>
  <si>
    <t>Servente 30h</t>
  </si>
  <si>
    <t>Servente 44h limpeza de esquadrias com risco</t>
  </si>
  <si>
    <t>Encarregada</t>
  </si>
  <si>
    <t>Salário Normativo da Categoria:</t>
  </si>
  <si>
    <t>Data base da Categoria:</t>
  </si>
  <si>
    <t>Convenção Coletiva:</t>
  </si>
  <si>
    <t>CBO/MTE:</t>
  </si>
  <si>
    <t>CUSTOS</t>
  </si>
  <si>
    <t>Percentuais e Valores de Referência</t>
  </si>
  <si>
    <t xml:space="preserve">Servente 44h </t>
  </si>
  <si>
    <t>Encarregada 44h</t>
  </si>
  <si>
    <t>MÓDULO 1: COMPOSIÇÃO DA REMUNERAÇÃO</t>
  </si>
  <si>
    <t>1 - Composição da Remuneração</t>
  </si>
  <si>
    <t>Percentuais</t>
  </si>
  <si>
    <t>Valor (R$)</t>
  </si>
  <si>
    <t>A – Salário Base 40 horas</t>
  </si>
  <si>
    <t>B - Adicional de Insalubridade</t>
  </si>
  <si>
    <t>D - Adicional Noturno</t>
  </si>
  <si>
    <t>E - Adicional de Hora Noturna Reduzida</t>
  </si>
  <si>
    <t>F - Adicional de Hora Extra no Feriado Trabalhado</t>
  </si>
  <si>
    <t>E - Outros -Adicional de Periculosidade</t>
  </si>
  <si>
    <t>Total</t>
  </si>
  <si>
    <t>MÓDULO 2: ENCARGOS E BENEFÍCIOS ANUAIS, MENSAIS E DIÁRIOS</t>
  </si>
  <si>
    <t>2.1 - 13º Salário, Férias e Adicional de Férias</t>
  </si>
  <si>
    <t>A - 13º salário</t>
  </si>
  <si>
    <t>B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</si>
  <si>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</si>
  <si>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</si>
  <si>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</si>
  <si>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</si>
  <si>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</si>
  <si>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</si>
  <si>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</si>
  <si>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</si>
  <si>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</si>
  <si>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</si>
  <si>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</si>
  <si>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</si>
  <si>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- Transporte</t>
  </si>
  <si>
    <t>B - Auxílio-Refeição/Alimentação ( COM DESCONTO DE 1% - CCT SC)</t>
  </si>
  <si>
    <t>C - Ajuda de custo (equipes limpeza vidros)</t>
  </si>
  <si>
    <t>D - Assistência ao Trabalhador (Cláusula 16º)</t>
  </si>
  <si>
    <t>E - Prêmio Assiduidade (Cláusula 11º)</t>
  </si>
  <si>
    <t>F - Outros (especificar)</t>
  </si>
  <si>
    <t>2 - ENCARGOS E BENEFÍCIOS ANUAIS, MENSAIS E DIÁRIOS</t>
  </si>
  <si>
    <t>2.2 - GPS, FGTS e outras contribuições</t>
  </si>
  <si>
    <t>MÓDULO 3: PROVISÃO PARA RESCISÃO</t>
  </si>
  <si>
    <t>3 - Provisão para Rescisão</t>
  </si>
  <si>
    <t>3.1 - Aviso Prévio Indenizado</t>
  </si>
  <si>
    <t>A - Aviso Prévio Indenizado</t>
  </si>
  <si>
    <t>B - Incidência do FGTS sobre Aviso Prévio Indenizado</t>
  </si>
  <si>
    <t>C - Multa do FGTS sobre Aviso Prévio Indenizado</t>
  </si>
  <si>
    <t>A - Aviso Prévio Trabalhado</t>
  </si>
  <si>
    <t>B - Incidência do submódulo 2.2 sobre o Aviso Prévio Trabalhado</t>
  </si>
  <si>
    <t>C - Multa do FGTS sobre Aviso Prévio Trabalhado</t>
  </si>
  <si>
    <t>MÓDULO 4: CUSTO DE REPOSIÇÃO DO PROFISSIONAL AUSENTE</t>
  </si>
  <si>
    <t>B – Substituto na cobertura de Ausências Legais</t>
  </si>
  <si>
    <t>C - Substituto na cobertura de Licença Paternidade</t>
  </si>
  <si>
    <t>D - Substituto na cobertura de Ausências por acidente de trabalho</t>
  </si>
  <si>
    <t>E - Outros</t>
  </si>
  <si>
    <t>Subtotal</t>
  </si>
  <si>
    <t>4.2 - Substituto na Intrajornada</t>
  </si>
  <si>
    <t>A - Substituto na cobertura de Intervalo para repouso ou alimentação</t>
  </si>
  <si>
    <t>4 - Custo de Reposição do Profissional Ausente</t>
  </si>
  <si>
    <t>MÓDULO 5: INSUMOS DE MÃO DE OBRA</t>
  </si>
  <si>
    <t>5 - Insumos Diversos</t>
  </si>
  <si>
    <t>A - Uniformes</t>
  </si>
  <si>
    <t>B - Materiais e utensílios</t>
  </si>
  <si>
    <t>C - Equipamentos</t>
  </si>
  <si>
    <t>D - EPIs</t>
  </si>
  <si>
    <t>E - Esquadrias de risco - Materiais/ Equipamentos/EPIs ( conforme MPOG)</t>
  </si>
  <si>
    <t>F -  Plano de telefone</t>
  </si>
  <si>
    <t>G - Outros</t>
  </si>
  <si>
    <t>MÓDULO 6: CUSTOS INDIRETOS, TRIBUTOS E LUCRO</t>
  </si>
  <si>
    <t>6 - Custos Indiretos, Tributos e Lucro</t>
  </si>
  <si>
    <t>C - Tributos  (ISS 2,00%)</t>
  </si>
  <si>
    <t>C.1 - Tributos Federais (PIS e COFINS)</t>
  </si>
  <si>
    <t>C.3 - Tributos Municipais (especificar)</t>
  </si>
  <si>
    <t>C - Tributos  (ISS 2,500%)</t>
  </si>
  <si>
    <t>C - Tributos  (ISS 3,00%)</t>
  </si>
  <si>
    <t>C - Tributos  (ISS 4,00%)</t>
  </si>
  <si>
    <t>C - Tributos  (ISS 5,00%)</t>
  </si>
  <si>
    <t>Total Tributos por ISS Municipal</t>
  </si>
  <si>
    <t>C.4 - Outros Tributos (especificar)</t>
  </si>
  <si>
    <t>QUADRO RESUMO DO CUSTO POR EMPREGADO</t>
  </si>
  <si>
    <t>Mão de obra vinculada à execução contratual (valor por empregado)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</si>
  <si>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</si>
  <si>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</si>
  <si>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</si>
  <si>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</si>
  <si>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</si>
  <si>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</si>
  <si>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 (ISS 2,00%)</t>
  </si>
  <si>
    <t>F - Módulo 6 - Custos Indiretos, Tributos e Lucro (ISS 2,5%)</t>
  </si>
  <si>
    <t>F - Módulo 6 - Custos Indiretos, Tributos e Lucro (ISS 3,00%)</t>
  </si>
  <si>
    <t>F - Módulo 6 - Custos Indiretos, Tributos e Lucro (ISS 4,00%)</t>
  </si>
  <si>
    <t>F - Módulo 6 - Custos Indiretos, Tributos e Lucro (ISS 5,00%)</t>
  </si>
  <si>
    <t>TOTAL POR EMPREGADO/MÊS com ISS de 2%</t>
  </si>
  <si>
    <t>TOTAL POR EMPREGADO/MÊS com ISS de 2,5%</t>
  </si>
  <si>
    <t>TOTAL POR EMPREGADO/MÊS com ISS de 3%</t>
  </si>
  <si>
    <t>TOTAL POR EMPREGADO/MÊS com ISS de 4%</t>
  </si>
  <si>
    <t>TOTAL POR EMPREGADO/MÊS com ISS de 5%</t>
  </si>
  <si>
    <t>VALOR DA HORA com ISS de 2%</t>
  </si>
  <si>
    <t>VALOR DA HORA com ISS de 2,5%</t>
  </si>
  <si>
    <t>VALOR DA HORA com ISS de 3%</t>
  </si>
  <si>
    <t>VALOR DA HORA com ISS de 4%</t>
  </si>
  <si>
    <t>VALOR DA HORA com ISS de 5%</t>
  </si>
  <si>
    <t>AI-1 Área Interna pisos frios</t>
  </si>
  <si>
    <t>ISS de 2%</t>
  </si>
  <si>
    <t>ISS de 2,5%</t>
  </si>
  <si>
    <t>ISS de 3%</t>
  </si>
  <si>
    <t>ISS de 4%</t>
  </si>
  <si>
    <t>ISS de 5%</t>
  </si>
  <si>
    <t>MÃO DE OBRA</t>
  </si>
  <si>
    <t>(1) PRODUTIVIDADE (1/P)</t>
  </si>
  <si>
    <t>(2) PREÇO HOMEM MÊS (R$)</t>
  </si>
  <si>
    <t>(1x2) SUBTOTAL (R$/M²)</t>
  </si>
  <si>
    <t>SERVENTE</t>
  </si>
  <si>
    <t>ENCARREGADO</t>
  </si>
  <si>
    <t>Subtotal 20%</t>
  </si>
  <si>
    <t>AI-2 Área interna (Almoxarifado, Galpões, arquivos )</t>
  </si>
  <si>
    <t>(1) PRODUTIVIDADE (1/M²)</t>
  </si>
  <si>
    <t>Subtotal:</t>
  </si>
  <si>
    <t>AI-3 Área interna Espaços Livres (saguão, hall, salão)</t>
  </si>
  <si>
    <t>AI-4 Área interna  Banheiros</t>
  </si>
  <si>
    <t>AE-1 AE-2 AE-3 Áreas Externas</t>
  </si>
  <si>
    <t>AE-1 Área Externa pisos adjacentes às edificações</t>
  </si>
  <si>
    <t>Subtotal AE-1</t>
  </si>
  <si>
    <t>AE-2: coleta de detritos em pátios e áreas verdes com frequência diária</t>
  </si>
  <si>
    <t>Subtotal AE-2</t>
  </si>
  <si>
    <t>AE-3 Área Externa arruamento, passeios</t>
  </si>
  <si>
    <t>Subtotal AE-3</t>
  </si>
  <si>
    <t>EER EE EI Esquadrias</t>
  </si>
  <si>
    <r>
      <t xml:space="preserve">EER Área de Esquadria 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</si>
  <si>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t>Subtotal EER</t>
  </si>
  <si>
    <r>
      <t xml:space="preserve">EE Área de Esquadria 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</si>
  <si>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t>Subtotal EE</t>
  </si>
  <si>
    <t>EI Área de Esquadria Face Interna</t>
  </si>
  <si>
    <t>Subtotal EI</t>
  </si>
  <si>
    <t>Servente 44h COVID</t>
  </si>
  <si>
    <t>Servente 30h COVID</t>
  </si>
  <si>
    <t>E - Outros -Adicional de risco limpeza de vidros e fachadas ( acima de 3m)</t>
  </si>
  <si>
    <t>F - Passagens intermunicipais</t>
  </si>
  <si>
    <t>G - Plano de telefone</t>
  </si>
  <si>
    <r>
      <rPr>
        <b/>
        <sz val="9"/>
        <color rgb="FF000000"/>
        <rFont val="Calibri"/>
        <family val="2"/>
        <charset val="1"/>
      </rP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</si>
  <si>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rPr>
        <b/>
        <sz val="9"/>
        <color rgb="FF000000"/>
        <rFont val="Calibri"/>
        <family val="2"/>
        <charset val="1"/>
      </rP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</si>
  <si>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rPr>
        <b/>
        <sz val="9"/>
        <color rgb="FF000000"/>
        <rFont val="Calibri"/>
        <family val="2"/>
        <charset val="1"/>
      </rP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</si>
  <si>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rPr>
        <b/>
        <sz val="9"/>
        <color rgb="FF000000"/>
        <rFont val="Calibri"/>
        <family val="2"/>
        <charset val="1"/>
      </rP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</si>
  <si>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rPr>
        <b/>
        <sz val="9"/>
        <color rgb="FF000000"/>
        <rFont val="Calibri"/>
        <family val="2"/>
        <charset val="1"/>
      </rP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</si>
  <si>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r>
      <rPr>
        <b/>
        <sz val="9"/>
        <color rgb="FF000000"/>
        <rFont val="Calibri"/>
        <family val="2"/>
        <charset val="1"/>
      </rPr>
      <t>AE-2:</t>
    </r>
    <r>
      <rPr>
        <sz val="9"/>
        <color rgb="FF000000"/>
        <rFont val="Calibri"/>
        <family val="2"/>
        <charset val="1"/>
      </rPr>
      <t xml:space="preserve"> 
Áreas verdes</t>
    </r>
  </si>
  <si>
    <r>
      <rPr>
        <b/>
        <sz val="9"/>
        <color rgb="FF000000"/>
        <rFont val="Calibri"/>
        <family val="2"/>
        <charset val="1"/>
      </rP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</si>
  <si>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rPr>
        <b/>
        <sz val="10"/>
        <color rgb="FF000000"/>
        <rFont val="Calibri"/>
        <family val="2"/>
        <charset val="1"/>
      </rP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</si>
  <si>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rPr>
        <b/>
        <sz val="10"/>
        <color rgb="FF000000"/>
        <rFont val="Calibri"/>
        <family val="2"/>
        <charset val="1"/>
      </rP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</si>
  <si>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rPr>
        <b/>
        <sz val="9"/>
        <color rgb="FF000000"/>
        <rFont val="Calibri"/>
        <family val="2"/>
        <charset val="1"/>
      </rPr>
      <t>EI:</t>
    </r>
    <r>
      <rPr>
        <sz val="9"/>
        <color rgb="FF000000"/>
        <rFont val="Calibri"/>
        <family val="2"/>
        <charset val="1"/>
      </rPr>
      <t xml:space="preserve"> 
Face Interna</t>
    </r>
  </si>
  <si>
    <t xml:space="preserve">Qtd total </t>
  </si>
  <si>
    <t>Fração</t>
  </si>
  <si>
    <t>SEMESTRAL</t>
  </si>
  <si>
    <t>=H68/</t>
  </si>
  <si>
    <t>C - Tributos  (ISS 3,50%)</t>
  </si>
  <si>
    <t>F - Módulo 6 - Custos Indiretos, Tributos e Lucro (ISS 3,50%)</t>
  </si>
  <si>
    <t>TOTAL POR EMPREGADO/MÊS com ISS de 3,5%</t>
  </si>
  <si>
    <t>VALOR DA HORA com ISS de 3,5%</t>
  </si>
  <si>
    <t>ISS de 3,5%</t>
  </si>
  <si>
    <t>AE-2: 
Áreas verdes - Coleta de detritos</t>
  </si>
  <si>
    <t xml:space="preserve">- </t>
  </si>
  <si>
    <t>Qtd total</t>
  </si>
  <si>
    <t>Covid 44h</t>
  </si>
  <si>
    <t>Servente 40h</t>
  </si>
  <si>
    <t>Servente 44h Covid</t>
  </si>
  <si>
    <t>B - Auxílio-Refeição/Alimentação ( COM DESCONTO DE 20%)</t>
  </si>
  <si>
    <t>D - Assistência Médica (Cláusula 15ª)</t>
  </si>
  <si>
    <t>E - Benefício Social Familiar (Cláusula 16ª)</t>
  </si>
  <si>
    <t>F - Plano de telefone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</si>
</sst>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8" formatCode="&quot;R$&quot;\ #,##0.00;[Red]\-&quot;R$&quot;\ #,##0.00"/>
    <numFmt numFmtId="43" formatCode="_-* #,##0.00_-;\-* #,##0.00_-;_-* &quot;-&quot;??_-;_-@_-"/>
    <numFmt numFmtId="164" formatCode="_-&quot;R$ &quot;* #,##0.00_-;&quot;-R$ &quot;* #,##0.00_-;_-&quot;R$ &quot;* \-??_-;_-@_-"/>
    <numFmt numFmtId="165" formatCode="&quot;R$ &quot;#,##0.00"/>
    <numFmt numFmtId="166" formatCode="_-* #,##0.00_-;\-* #,##0.00_-;_-* \-??_-;_-@_-"/>
    <numFmt numFmtId="167" formatCode="d/m/yyyy"/>
    <numFmt numFmtId="168" formatCode="* #,##0.00\ ;\-* #,##0.00\ ;* \-#\ ;@\ "/>
    <numFmt numFmtId="169" formatCode="#,##0.00\ ;\(#,##0.00\);\-#\ ;@\ "/>
    <numFmt numFmtId="170" formatCode="#,##0.000000;\(#,##0.000000\)"/>
    <numFmt numFmtId="171" formatCode="&quot;R$ &quot;#,##0.00;[Red]&quot;-R$ &quot;#,##0.00"/>
    <numFmt numFmtId="172" formatCode="_-[$R$-416]\ * #,##0.00_-;\-[$R$-416]\ * #,##0.00_-;_-[$R$-416]\ * \-??_-;_-@_-"/>
    <numFmt numFmtId="173" formatCode="#,##0.00\ ;\(#,##0.00\)"/>
    <numFmt numFmtId="174" formatCode="&quot;R$ &quot;#,##0.00\ ;[Red]&quot;(R$ &quot;#,##0.00\)"/>
    <numFmt numFmtId="175" formatCode="[$R$-416]\ #,##0.00;[Red]\-[$R$-416]\ #,##0.00"/>
    <numFmt numFmtId="176" formatCode="* #,##0.00\ ;\-* #,##0.00\ ;* \-#\ ;@"/>
    <numFmt numFmtId="177" formatCode="0.000000000"/>
    <numFmt numFmtId="178" formatCode="#,##0.00\ ;#,##0.00\ ;\-#\ ;@\ "/>
    <numFmt numFmtId="179" formatCode="0.000000000;[Red]\(0.000000000\)"/>
    <numFmt numFmtId="180" formatCode="0.0000000000"/>
    <numFmt numFmtId="181" formatCode="0.0000"/>
    <numFmt numFmtId="182" formatCode="&quot;R$&quot;\ #,##0.00"/>
    <numFmt numFmtId="183" formatCode="_-[$R$-416]\ * #,##0.00_-;\-[$R$-416]\ * #,##0.00_-;_-[$R$-416]\ * &quot;-&quot;??_-;_-@_-"/>
    <numFmt numFmtId="184" formatCode="#,##0.000;\(#,##0.000\)"/>
    <numFmt numFmtId="185" formatCode="#,##0.00;\(#,##0.00\)"/>
  </numFmts>
  <fonts count="69" x14ac:knownFonts="1">
    <font>
      <sz val="11"/>
      <color rgb="FF333333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333333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9"/>
      <color rgb="FF333333"/>
      <name val="Calibri"/>
      <family val="2"/>
      <charset val="1"/>
    </font>
    <font>
      <sz val="9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DDDDDD"/>
      <name val="Calibri"/>
      <family val="2"/>
      <charset val="1"/>
    </font>
    <font>
      <sz val="9"/>
      <color rgb="FFDDDDDD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DDDDDD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9"/>
      <color rgb="FF333333"/>
      <name val="Arial"/>
      <family val="2"/>
      <charset val="1"/>
    </font>
    <font>
      <sz val="9"/>
      <color rgb="FF333333"/>
      <name val="Arial"/>
      <family val="2"/>
      <charset val="1"/>
    </font>
    <font>
      <sz val="8"/>
      <color rgb="FF333333"/>
      <name val="Arial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333333"/>
      <name val="Calibri"/>
      <family val="2"/>
      <charset val="1"/>
    </font>
    <font>
      <b/>
      <sz val="12"/>
      <color rgb="FF333333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339966"/>
      <name val="Calibri"/>
      <family val="2"/>
      <charset val="1"/>
    </font>
    <font>
      <b/>
      <sz val="10"/>
      <color rgb="FF808080"/>
      <name val="Calibri"/>
      <family val="2"/>
      <charset val="1"/>
    </font>
    <font>
      <sz val="18"/>
      <color rgb="FFFFFFFF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rgb="FF444444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444444"/>
      <name val="Calibri"/>
      <family val="2"/>
      <charset val="1"/>
    </font>
    <font>
      <b/>
      <i/>
      <sz val="10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1"/>
      <color rgb="FF444444"/>
      <name val="Calibri"/>
      <family val="2"/>
      <charset val="1"/>
    </font>
    <font>
      <sz val="11"/>
      <color rgb="FF333333"/>
      <name val="Calibri"/>
      <family val="2"/>
      <charset val="1"/>
    </font>
    <font>
      <b/>
      <i/>
      <sz val="10"/>
      <color rgb="FF333333"/>
      <name val="Calibri"/>
      <family val="2"/>
      <charset val="1"/>
    </font>
    <font>
      <b/>
      <i/>
      <sz val="9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sz val="10"/>
      <name val="Arial"/>
      <family val="2"/>
    </font>
    <font>
      <u/>
      <sz val="11"/>
      <color theme="10"/>
      <name val="Arial"/>
      <family val="2"/>
      <charset val="1"/>
    </font>
    <font>
      <b/>
      <sz val="9"/>
      <name val="Calibri"/>
      <family val="2"/>
      <charset val="1"/>
    </font>
    <font>
      <i/>
      <sz val="10"/>
      <color rgb="FF000000"/>
      <name val="Calibri"/>
      <family val="2"/>
    </font>
    <font>
      <i/>
      <sz val="10"/>
      <color rgb="FF000000"/>
      <name val="Calibri"/>
      <family val="2"/>
      <charset val="1"/>
    </font>
    <font>
      <sz val="10"/>
      <color rgb="FF333333"/>
      <name val="Calibri"/>
      <family val="2"/>
    </font>
    <font>
      <sz val="10"/>
      <color rgb="FF000000"/>
      <name val="Calibri"/>
      <family val="2"/>
    </font>
    <font>
      <b/>
      <sz val="9"/>
      <color rgb="FF333333"/>
      <name val="Calibri"/>
      <family val="2"/>
    </font>
    <font>
      <sz val="9"/>
      <color rgb="FF333333"/>
      <name val="Calibri"/>
      <family val="2"/>
    </font>
    <font>
      <sz val="10"/>
      <color rgb="FF333333"/>
      <name val="Arial"/>
      <family val="2"/>
    </font>
    <font>
      <sz val="11"/>
      <color rgb="FFFFFFFF"/>
      <name val="Arial"/>
      <family val="2"/>
      <charset val="1"/>
    </font>
    <font>
      <sz val="10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8"/>
      <name val="Calibri"/>
      <family val="2"/>
    </font>
    <font>
      <b/>
      <sz val="10"/>
      <color rgb="FF333333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808080"/>
      <name val="Calibri"/>
      <family val="2"/>
    </font>
    <font>
      <b/>
      <sz val="12"/>
      <color rgb="FF333333"/>
      <name val="Calibri"/>
      <family val="2"/>
    </font>
    <font>
      <b/>
      <sz val="10"/>
      <color rgb="FF333333"/>
      <name val="Calibri"/>
      <family val="2"/>
    </font>
    <font>
      <sz val="10"/>
      <color rgb="FF333333"/>
      <name val="Calibri"/>
      <family val="2"/>
    </font>
    <font>
      <sz val="10"/>
      <color rgb="FF000080"/>
      <name val="Calibri"/>
      <family val="2"/>
    </font>
    <font>
      <b/>
      <sz val="10"/>
      <color rgb="FF000000"/>
      <name val="Calibri"/>
      <family val="2"/>
    </font>
  </fonts>
  <fills count="84">
    <fill>
      <patternFill patternType="none"/>
    </fill>
    <fill>
      <patternFill patternType="gray125"/>
    </fill>
    <fill>
      <patternFill patternType="solid">
        <fgColor rgb="FF1F4E78"/>
        <bgColor rgb="FF3D4C2F"/>
      </patternFill>
    </fill>
    <fill>
      <patternFill patternType="solid">
        <fgColor rgb="FFD9E1F2"/>
        <bgColor rgb="FFD6DCE4"/>
      </patternFill>
    </fill>
    <fill>
      <patternFill patternType="solid">
        <fgColor rgb="FFBF819E"/>
        <bgColor rgb="FFA6A6A6"/>
      </patternFill>
    </fill>
    <fill>
      <patternFill patternType="solid">
        <fgColor rgb="FFFFE699"/>
        <bgColor rgb="FFFFFF99"/>
      </patternFill>
    </fill>
    <fill>
      <patternFill patternType="solid">
        <fgColor rgb="FF729FCF"/>
        <bgColor rgb="FF5B9BD5"/>
      </patternFill>
    </fill>
    <fill>
      <patternFill patternType="solid">
        <fgColor rgb="FF8EA9DB"/>
        <bgColor rgb="FF8FAADC"/>
      </patternFill>
    </fill>
    <fill>
      <patternFill patternType="solid">
        <fgColor rgb="FFD0CECE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CE4D6"/>
        <bgColor rgb="FFFFF2CC"/>
      </patternFill>
    </fill>
    <fill>
      <patternFill patternType="solid">
        <fgColor rgb="FF49873A"/>
        <bgColor rgb="FF808080"/>
      </patternFill>
    </fill>
    <fill>
      <patternFill patternType="solid">
        <fgColor rgb="FFC6E0B4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8497B0"/>
        <bgColor rgb="FF729FCF"/>
      </patternFill>
    </fill>
    <fill>
      <patternFill patternType="solid">
        <fgColor rgb="FFD6DCE4"/>
        <bgColor rgb="FFDBDBDB"/>
      </patternFill>
    </fill>
    <fill>
      <patternFill patternType="solid">
        <fgColor rgb="FFFFFF00"/>
        <bgColor rgb="FFFFCC00"/>
      </patternFill>
    </fill>
    <fill>
      <patternFill patternType="solid">
        <fgColor rgb="FFB4C7DC"/>
        <bgColor rgb="FFB4C6E7"/>
      </patternFill>
    </fill>
    <fill>
      <patternFill patternType="solid">
        <fgColor rgb="FFFFFFCC"/>
        <bgColor rgb="FFFFF2CC"/>
      </patternFill>
    </fill>
    <fill>
      <patternFill patternType="solid">
        <fgColor rgb="FFCC99FF"/>
        <bgColor rgb="FFADB9CA"/>
      </patternFill>
    </fill>
    <fill>
      <patternFill patternType="solid">
        <fgColor rgb="FF00CCFF"/>
        <bgColor rgb="FF5B9BD5"/>
      </patternFill>
    </fill>
    <fill>
      <patternFill patternType="solid">
        <fgColor rgb="FF00FF00"/>
        <bgColor rgb="FF5EB91E"/>
      </patternFill>
    </fill>
    <fill>
      <patternFill patternType="solid">
        <fgColor rgb="FFCCCCFF"/>
        <bgColor rgb="FFB4C6E7"/>
      </patternFill>
    </fill>
    <fill>
      <patternFill patternType="solid">
        <fgColor rgb="FFC0C0C0"/>
        <bgColor rgb="FFC1C1C1"/>
      </patternFill>
    </fill>
    <fill>
      <patternFill patternType="solid">
        <fgColor rgb="FFFD6802"/>
        <bgColor rgb="FFFF9999"/>
      </patternFill>
    </fill>
    <fill>
      <patternFill patternType="solid">
        <fgColor rgb="FFFFCC00"/>
        <bgColor rgb="FFFFC000"/>
      </patternFill>
    </fill>
    <fill>
      <patternFill patternType="solid">
        <fgColor rgb="FFD9D9D9"/>
        <bgColor rgb="FFDBDBDB"/>
      </patternFill>
    </fill>
    <fill>
      <patternFill patternType="solid">
        <fgColor rgb="FFA1467E"/>
        <bgColor rgb="FF824802"/>
      </patternFill>
    </fill>
    <fill>
      <patternFill patternType="solid">
        <fgColor rgb="FF5EB91E"/>
        <bgColor rgb="FF70AD47"/>
      </patternFill>
    </fill>
    <fill>
      <patternFill patternType="solid">
        <fgColor rgb="FF5983B0"/>
        <bgColor rgb="FF5B9BD5"/>
      </patternFill>
    </fill>
    <fill>
      <patternFill patternType="solid">
        <fgColor rgb="FFA6A6A6"/>
        <bgColor rgb="FFADB9CA"/>
      </patternFill>
    </fill>
    <fill>
      <patternFill patternType="solid">
        <fgColor rgb="FFBBE33D"/>
        <bgColor rgb="FFA9D18E"/>
      </patternFill>
    </fill>
    <fill>
      <patternFill patternType="solid">
        <fgColor rgb="FF808080"/>
        <bgColor rgb="FF8497B0"/>
      </patternFill>
    </fill>
    <fill>
      <patternFill patternType="solid">
        <fgColor rgb="FF5B9BD5"/>
        <bgColor rgb="FF729FCF"/>
      </patternFill>
    </fill>
    <fill>
      <patternFill patternType="darkGray">
        <fgColor rgb="FFFD6802"/>
        <bgColor rgb="FFFF9999"/>
      </patternFill>
    </fill>
    <fill>
      <patternFill patternType="solid">
        <fgColor rgb="FF9BC2E6"/>
        <bgColor rgb="FFB4C6E7"/>
      </patternFill>
    </fill>
    <fill>
      <patternFill patternType="solid">
        <fgColor rgb="FFADB9CA"/>
        <bgColor rgb="FFC0C0C0"/>
      </patternFill>
    </fill>
    <fill>
      <patternFill patternType="solid">
        <fgColor rgb="FFDBDBDB"/>
        <bgColor rgb="FFDDDDDD"/>
      </patternFill>
    </fill>
    <fill>
      <patternFill patternType="solid">
        <fgColor rgb="FFF4B183"/>
        <bgColor rgb="FFFF9999"/>
      </patternFill>
    </fill>
    <fill>
      <patternFill patternType="solid">
        <fgColor rgb="FFFF9999"/>
        <bgColor rgb="FFF4B183"/>
      </patternFill>
    </fill>
    <fill>
      <patternFill patternType="solid">
        <fgColor rgb="FFFFCCCC"/>
        <bgColor rgb="FFF8CBAD"/>
      </patternFill>
    </fill>
    <fill>
      <patternFill patternType="solid">
        <fgColor rgb="FFC1C1C1"/>
        <bgColor rgb="FFC0C0C0"/>
      </patternFill>
    </fill>
    <fill>
      <patternFill patternType="solid">
        <fgColor rgb="FFDDDDDD"/>
        <bgColor rgb="FFDBDBDB"/>
      </patternFill>
    </fill>
    <fill>
      <patternFill patternType="solid">
        <fgColor rgb="FF70AD47"/>
        <bgColor rgb="FF5EB91E"/>
      </patternFill>
    </fill>
    <fill>
      <patternFill patternType="solid">
        <fgColor rgb="FFCCCCCC"/>
        <bgColor rgb="FFD0CECE"/>
      </patternFill>
    </fill>
    <fill>
      <patternFill patternType="solid">
        <fgColor rgb="FFDEEBF7"/>
        <bgColor rgb="FFD9E1F2"/>
      </patternFill>
    </fill>
    <fill>
      <patternFill patternType="solid">
        <fgColor rgb="FF8FAADC"/>
        <bgColor rgb="FF8EA9DB"/>
      </patternFill>
    </fill>
    <fill>
      <patternFill patternType="solid">
        <fgColor rgb="FFFFFF99"/>
        <bgColor rgb="FFFFFFCC"/>
      </patternFill>
    </fill>
    <fill>
      <patternFill patternType="solid">
        <fgColor rgb="FFD6DCE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5983B0"/>
        <bgColor rgb="FF50938A"/>
      </patternFill>
    </fill>
    <fill>
      <patternFill patternType="solid">
        <fgColor rgb="FFCCCCCC"/>
        <bgColor rgb="FFC1C1C1"/>
      </patternFill>
    </fill>
    <fill>
      <patternFill patternType="solid">
        <fgColor rgb="FF808080"/>
        <bgColor rgb="FF000000"/>
      </patternFill>
    </fill>
    <fill>
      <patternFill patternType="solid">
        <fgColor rgb="FFBF819E"/>
        <bgColor rgb="FF999999"/>
      </patternFill>
    </fill>
    <fill>
      <patternFill patternType="solid">
        <fgColor rgb="FFBBE33D"/>
        <bgColor rgb="FFACB20C"/>
      </patternFill>
    </fill>
    <fill>
      <patternFill patternType="solid">
        <fgColor rgb="FFB4C7DC"/>
        <bgColor rgb="FFB3CAC7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1467E"/>
        <bgColor rgb="FF808080"/>
      </patternFill>
    </fill>
    <fill>
      <patternFill patternType="solid">
        <fgColor rgb="FF5EB91E"/>
        <bgColor rgb="FF339966"/>
      </patternFill>
    </fill>
    <fill>
      <patternFill patternType="solid">
        <fgColor rgb="FFDDDDDD"/>
        <bgColor rgb="FFD9D9D9"/>
      </patternFill>
    </fill>
    <fill>
      <patternFill patternType="solid">
        <fgColor rgb="FF9BC2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1D4E7B"/>
        <bgColor rgb="FF444444"/>
      </patternFill>
    </fill>
  </fills>
  <borders count="2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9BC2E6"/>
      </top>
      <bottom style="thin">
        <color rgb="FFB4C6E7"/>
      </bottom>
      <diagonal/>
    </border>
    <border>
      <left/>
      <right/>
      <top/>
      <bottom style="thin">
        <color rgb="FFB4C6E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9BC2E6"/>
      </left>
      <right/>
      <top style="thin">
        <color rgb="FFB4C6E7"/>
      </top>
      <bottom style="thin">
        <color rgb="FF9BC2E6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5">
    <xf numFmtId="0" fontId="0" fillId="0" borderId="0"/>
    <xf numFmtId="168" fontId="12" fillId="0" borderId="0"/>
    <xf numFmtId="9" fontId="15" fillId="0" borderId="0" applyBorder="0" applyProtection="0"/>
    <xf numFmtId="166" fontId="1" fillId="0" borderId="0" applyBorder="0" applyProtection="0"/>
    <xf numFmtId="0" fontId="47" fillId="0" borderId="0" applyNumberFormat="0" applyFill="0" applyBorder="0" applyAlignment="0" applyProtection="0"/>
  </cellStyleXfs>
  <cellXfs count="1159">
    <xf numFmtId="0" fontId="0" fillId="0" borderId="0" xfId="0"/>
    <xf numFmtId="0" fontId="6" fillId="3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167" fontId="3" fillId="0" borderId="3" xfId="0" applyNumberFormat="1" applyFont="1" applyBorder="1" applyAlignment="1">
      <alignment vertical="center"/>
    </xf>
    <xf numFmtId="167" fontId="3" fillId="0" borderId="3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/>
    <xf numFmtId="0" fontId="6" fillId="0" borderId="10" xfId="0" applyFont="1" applyBorder="1"/>
    <xf numFmtId="0" fontId="6" fillId="3" borderId="11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9" fontId="13" fillId="0" borderId="0" xfId="1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7" fillId="8" borderId="13" xfId="0" applyFont="1" applyFill="1" applyBorder="1" applyAlignment="1">
      <alignment vertical="center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165" fontId="15" fillId="0" borderId="20" xfId="0" applyNumberFormat="1" applyFont="1" applyBorder="1" applyAlignment="1">
      <alignment vertical="center"/>
    </xf>
    <xf numFmtId="165" fontId="15" fillId="0" borderId="21" xfId="0" applyNumberFormat="1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9" fillId="8" borderId="25" xfId="0" applyFont="1" applyFill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165" fontId="15" fillId="0" borderId="27" xfId="0" applyNumberFormat="1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7" fillId="3" borderId="25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164" fontId="15" fillId="0" borderId="30" xfId="0" applyNumberFormat="1" applyFont="1" applyBorder="1" applyAlignment="1">
      <alignment vertical="center"/>
    </xf>
    <xf numFmtId="164" fontId="15" fillId="0" borderId="33" xfId="0" applyNumberFormat="1" applyFont="1" applyBorder="1" applyAlignment="1">
      <alignment vertical="center"/>
    </xf>
    <xf numFmtId="0" fontId="15" fillId="9" borderId="33" xfId="0" applyFont="1" applyFill="1" applyBorder="1" applyAlignment="1">
      <alignment vertical="center"/>
    </xf>
    <xf numFmtId="0" fontId="15" fillId="9" borderId="0" xfId="0" applyFont="1" applyFill="1" applyAlignment="1">
      <alignment vertical="center"/>
    </xf>
    <xf numFmtId="171" fontId="15" fillId="9" borderId="0" xfId="0" applyNumberFormat="1" applyFont="1" applyFill="1" applyAlignment="1">
      <alignment vertical="center"/>
    </xf>
    <xf numFmtId="0" fontId="17" fillId="3" borderId="3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2" fontId="15" fillId="9" borderId="3" xfId="0" applyNumberFormat="1" applyFont="1" applyFill="1" applyBorder="1" applyAlignment="1">
      <alignment vertical="center"/>
    </xf>
    <xf numFmtId="0" fontId="17" fillId="3" borderId="37" xfId="0" applyFont="1" applyFill="1" applyBorder="1" applyAlignment="1">
      <alignment horizontal="center" vertical="center" wrapText="1"/>
    </xf>
    <xf numFmtId="165" fontId="15" fillId="9" borderId="0" xfId="0" applyNumberFormat="1" applyFont="1" applyFill="1" applyAlignment="1">
      <alignment vertical="center"/>
    </xf>
    <xf numFmtId="164" fontId="15" fillId="9" borderId="0" xfId="0" applyNumberFormat="1" applyFont="1" applyFill="1" applyAlignment="1">
      <alignment vertical="center"/>
    </xf>
    <xf numFmtId="0" fontId="17" fillId="10" borderId="15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9" fontId="16" fillId="10" borderId="40" xfId="0" applyNumberFormat="1" applyFont="1" applyFill="1" applyBorder="1" applyAlignment="1">
      <alignment horizontal="left" vertical="center"/>
    </xf>
    <xf numFmtId="0" fontId="16" fillId="10" borderId="40" xfId="0" applyFont="1" applyFill="1" applyBorder="1" applyAlignment="1">
      <alignment horizontal="center" vertical="center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27" xfId="0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vertical="center"/>
    </xf>
    <xf numFmtId="165" fontId="15" fillId="0" borderId="43" xfId="0" applyNumberFormat="1" applyFont="1" applyBorder="1" applyAlignment="1">
      <alignment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27" xfId="0" applyFont="1" applyFill="1" applyBorder="1" applyAlignment="1">
      <alignment horizontal="center" vertical="center" wrapText="1"/>
    </xf>
    <xf numFmtId="0" fontId="17" fillId="15" borderId="18" xfId="0" applyFont="1" applyFill="1" applyBorder="1" applyAlignment="1">
      <alignment horizontal="center" vertical="center" wrapText="1"/>
    </xf>
    <xf numFmtId="171" fontId="15" fillId="0" borderId="31" xfId="0" applyNumberFormat="1" applyFont="1" applyBorder="1" applyAlignment="1">
      <alignment vertical="center"/>
    </xf>
    <xf numFmtId="2" fontId="15" fillId="0" borderId="3" xfId="0" applyNumberFormat="1" applyFont="1" applyBorder="1" applyAlignment="1">
      <alignment vertical="center"/>
    </xf>
    <xf numFmtId="165" fontId="15" fillId="0" borderId="6" xfId="0" applyNumberFormat="1" applyFont="1" applyBorder="1" applyAlignment="1">
      <alignment vertical="center"/>
    </xf>
    <xf numFmtId="171" fontId="15" fillId="0" borderId="32" xfId="0" applyNumberFormat="1" applyFont="1" applyBorder="1" applyAlignment="1">
      <alignment vertical="center"/>
    </xf>
    <xf numFmtId="165" fontId="15" fillId="0" borderId="47" xfId="0" applyNumberFormat="1" applyFont="1" applyBorder="1" applyAlignment="1">
      <alignment vertical="center"/>
    </xf>
    <xf numFmtId="171" fontId="15" fillId="0" borderId="48" xfId="0" applyNumberFormat="1" applyFont="1" applyBorder="1" applyAlignment="1">
      <alignment vertical="center"/>
    </xf>
    <xf numFmtId="2" fontId="15" fillId="0" borderId="7" xfId="0" applyNumberFormat="1" applyFont="1" applyBorder="1" applyAlignment="1">
      <alignment vertical="center"/>
    </xf>
    <xf numFmtId="171" fontId="15" fillId="0" borderId="21" xfId="0" applyNumberFormat="1" applyFont="1" applyBorder="1" applyAlignment="1">
      <alignment vertical="center"/>
    </xf>
    <xf numFmtId="0" fontId="21" fillId="9" borderId="23" xfId="0" applyFont="1" applyFill="1" applyBorder="1" applyAlignment="1">
      <alignment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165" fontId="15" fillId="0" borderId="12" xfId="0" applyNumberFormat="1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0" xfId="0" applyFont="1"/>
    <xf numFmtId="0" fontId="23" fillId="9" borderId="33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167" fontId="6" fillId="18" borderId="44" xfId="0" applyNumberFormat="1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vertical="center"/>
    </xf>
    <xf numFmtId="0" fontId="6" fillId="9" borderId="0" xfId="0" applyFont="1" applyFill="1" applyAlignment="1">
      <alignment horizontal="right" vertical="center"/>
    </xf>
    <xf numFmtId="173" fontId="3" fillId="18" borderId="23" xfId="1" applyNumberFormat="1" applyFont="1" applyFill="1" applyBorder="1" applyAlignment="1">
      <alignment horizontal="center" vertical="center"/>
    </xf>
    <xf numFmtId="167" fontId="3" fillId="18" borderId="23" xfId="0" applyNumberFormat="1" applyFont="1" applyFill="1" applyBorder="1" applyAlignment="1">
      <alignment horizontal="center" vertical="center"/>
    </xf>
    <xf numFmtId="167" fontId="3" fillId="18" borderId="41" xfId="0" applyNumberFormat="1" applyFont="1" applyFill="1" applyBorder="1" applyAlignment="1">
      <alignment horizontal="center" vertical="center"/>
    </xf>
    <xf numFmtId="0" fontId="22" fillId="21" borderId="23" xfId="0" applyFont="1" applyFill="1" applyBorder="1" applyAlignment="1">
      <alignment vertical="center" wrapText="1"/>
    </xf>
    <xf numFmtId="169" fontId="22" fillId="21" borderId="3" xfId="1" applyNumberFormat="1" applyFont="1" applyFill="1" applyBorder="1" applyAlignment="1">
      <alignment horizontal="center" vertical="center"/>
    </xf>
    <xf numFmtId="169" fontId="22" fillId="21" borderId="51" xfId="1" applyNumberFormat="1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vertical="center" wrapText="1"/>
    </xf>
    <xf numFmtId="165" fontId="24" fillId="9" borderId="3" xfId="2" applyNumberFormat="1" applyFont="1" applyFill="1" applyBorder="1" applyAlignment="1" applyProtection="1">
      <alignment vertical="center"/>
    </xf>
    <xf numFmtId="169" fontId="22" fillId="9" borderId="3" xfId="1" applyNumberFormat="1" applyFont="1" applyFill="1" applyBorder="1"/>
    <xf numFmtId="169" fontId="22" fillId="9" borderId="51" xfId="1" applyNumberFormat="1" applyFont="1" applyFill="1" applyBorder="1"/>
    <xf numFmtId="10" fontId="24" fillId="9" borderId="3" xfId="2" applyNumberFormat="1" applyFont="1" applyFill="1" applyBorder="1" applyAlignment="1" applyProtection="1">
      <alignment vertical="center"/>
    </xf>
    <xf numFmtId="169" fontId="25" fillId="9" borderId="3" xfId="2" applyNumberFormat="1" applyFont="1" applyFill="1" applyBorder="1" applyAlignment="1" applyProtection="1">
      <alignment vertical="center"/>
    </xf>
    <xf numFmtId="10" fontId="25" fillId="9" borderId="3" xfId="0" applyNumberFormat="1" applyFont="1" applyFill="1" applyBorder="1" applyAlignment="1">
      <alignment vertical="center"/>
    </xf>
    <xf numFmtId="0" fontId="20" fillId="7" borderId="23" xfId="0" applyFont="1" applyFill="1" applyBorder="1" applyAlignment="1">
      <alignment horizontal="right" vertical="center"/>
    </xf>
    <xf numFmtId="9" fontId="20" fillId="7" borderId="3" xfId="0" applyNumberFormat="1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51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vertical="center"/>
    </xf>
    <xf numFmtId="169" fontId="22" fillId="22" borderId="3" xfId="1" applyNumberFormat="1" applyFont="1" applyFill="1" applyBorder="1" applyAlignment="1">
      <alignment horizontal="center" vertical="center"/>
    </xf>
    <xf numFmtId="169" fontId="22" fillId="22" borderId="51" xfId="1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10" fontId="20" fillId="7" borderId="3" xfId="0" applyNumberFormat="1" applyFont="1" applyFill="1" applyBorder="1" applyAlignment="1">
      <alignment horizontal="center" vertical="center"/>
    </xf>
    <xf numFmtId="2" fontId="20" fillId="7" borderId="3" xfId="0" applyNumberFormat="1" applyFont="1" applyFill="1" applyBorder="1" applyAlignment="1">
      <alignment horizontal="right" vertical="center"/>
    </xf>
    <xf numFmtId="2" fontId="20" fillId="7" borderId="51" xfId="0" applyNumberFormat="1" applyFont="1" applyFill="1" applyBorder="1" applyAlignment="1">
      <alignment horizontal="right" vertical="center"/>
    </xf>
    <xf numFmtId="0" fontId="20" fillId="3" borderId="3" xfId="0" applyFont="1" applyFill="1" applyBorder="1" applyAlignment="1">
      <alignment vertical="center"/>
    </xf>
    <xf numFmtId="0" fontId="20" fillId="3" borderId="51" xfId="0" applyFont="1" applyFill="1" applyBorder="1" applyAlignment="1">
      <alignment vertical="center"/>
    </xf>
    <xf numFmtId="169" fontId="22" fillId="9" borderId="3" xfId="1" applyNumberFormat="1" applyFont="1" applyFill="1" applyBorder="1" applyAlignment="1">
      <alignment vertical="center"/>
    </xf>
    <xf numFmtId="169" fontId="22" fillId="9" borderId="51" xfId="1" applyNumberFormat="1" applyFont="1" applyFill="1" applyBorder="1" applyAlignment="1">
      <alignment vertical="center"/>
    </xf>
    <xf numFmtId="174" fontId="24" fillId="9" borderId="3" xfId="2" applyNumberFormat="1" applyFont="1" applyFill="1" applyBorder="1" applyAlignment="1" applyProtection="1">
      <alignment horizontal="right" vertical="center"/>
    </xf>
    <xf numFmtId="174" fontId="24" fillId="9" borderId="3" xfId="2" applyNumberFormat="1" applyFont="1" applyFill="1" applyBorder="1" applyAlignment="1" applyProtection="1">
      <alignment vertical="center"/>
    </xf>
    <xf numFmtId="166" fontId="24" fillId="9" borderId="3" xfId="2" applyNumberFormat="1" applyFont="1" applyFill="1" applyBorder="1" applyAlignment="1" applyProtection="1">
      <alignment vertical="center"/>
    </xf>
    <xf numFmtId="10" fontId="21" fillId="0" borderId="3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vertical="center"/>
    </xf>
    <xf numFmtId="4" fontId="21" fillId="0" borderId="51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20" fillId="3" borderId="3" xfId="0" applyFont="1" applyFill="1" applyBorder="1" applyAlignment="1">
      <alignment horizontal="center" vertical="center"/>
    </xf>
    <xf numFmtId="0" fontId="20" fillId="3" borderId="51" xfId="0" applyFont="1" applyFill="1" applyBorder="1" applyAlignment="1">
      <alignment horizontal="center" vertical="center"/>
    </xf>
    <xf numFmtId="2" fontId="21" fillId="0" borderId="3" xfId="0" applyNumberFormat="1" applyFont="1" applyBorder="1" applyAlignment="1">
      <alignment horizontal="right" vertical="center"/>
    </xf>
    <xf numFmtId="4" fontId="20" fillId="7" borderId="3" xfId="0" applyNumberFormat="1" applyFont="1" applyFill="1" applyBorder="1" applyAlignment="1">
      <alignment horizontal="right" vertical="center"/>
    </xf>
    <xf numFmtId="4" fontId="20" fillId="7" borderId="51" xfId="0" applyNumberFormat="1" applyFont="1" applyFill="1" applyBorder="1" applyAlignment="1">
      <alignment horizontal="right" vertical="center"/>
    </xf>
    <xf numFmtId="10" fontId="24" fillId="9" borderId="3" xfId="2" applyNumberFormat="1" applyFont="1" applyFill="1" applyBorder="1" applyAlignment="1" applyProtection="1">
      <alignment vertical="center"/>
      <protection locked="0"/>
    </xf>
    <xf numFmtId="0" fontId="22" fillId="23" borderId="23" xfId="0" applyFont="1" applyFill="1" applyBorder="1" applyAlignment="1">
      <alignment horizontal="right" vertical="center" wrapText="1"/>
    </xf>
    <xf numFmtId="10" fontId="22" fillId="23" borderId="3" xfId="0" applyNumberFormat="1" applyFont="1" applyFill="1" applyBorder="1" applyAlignment="1">
      <alignment horizontal="right" vertical="center" wrapText="1"/>
    </xf>
    <xf numFmtId="169" fontId="22" fillId="23" borderId="3" xfId="0" applyNumberFormat="1" applyFont="1" applyFill="1" applyBorder="1" applyAlignment="1">
      <alignment vertical="center"/>
    </xf>
    <xf numFmtId="169" fontId="22" fillId="23" borderId="51" xfId="0" applyNumberFormat="1" applyFont="1" applyFill="1" applyBorder="1" applyAlignment="1">
      <alignment vertical="center"/>
    </xf>
    <xf numFmtId="0" fontId="21" fillId="0" borderId="23" xfId="0" applyFont="1" applyBorder="1" applyAlignment="1">
      <alignment wrapText="1"/>
    </xf>
    <xf numFmtId="171" fontId="24" fillId="9" borderId="3" xfId="2" applyNumberFormat="1" applyFont="1" applyFill="1" applyBorder="1" applyProtection="1"/>
    <xf numFmtId="171" fontId="24" fillId="9" borderId="3" xfId="2" applyNumberFormat="1" applyFont="1" applyFill="1" applyBorder="1" applyAlignment="1" applyProtection="1">
      <alignment vertical="center"/>
    </xf>
    <xf numFmtId="0" fontId="25" fillId="23" borderId="3" xfId="0" applyFont="1" applyFill="1" applyBorder="1" applyAlignment="1">
      <alignment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58" xfId="0" applyFont="1" applyFill="1" applyBorder="1" applyAlignment="1">
      <alignment horizontal="center" vertical="center"/>
    </xf>
    <xf numFmtId="169" fontId="22" fillId="9" borderId="3" xfId="0" applyNumberFormat="1" applyFont="1" applyFill="1" applyBorder="1" applyAlignment="1">
      <alignment vertical="center"/>
    </xf>
    <xf numFmtId="169" fontId="22" fillId="9" borderId="51" xfId="0" applyNumberFormat="1" applyFont="1" applyFill="1" applyBorder="1" applyAlignment="1">
      <alignment vertical="center"/>
    </xf>
    <xf numFmtId="169" fontId="26" fillId="9" borderId="3" xfId="0" applyNumberFormat="1" applyFont="1" applyFill="1" applyBorder="1" applyAlignment="1">
      <alignment vertical="center"/>
    </xf>
    <xf numFmtId="169" fontId="26" fillId="9" borderId="51" xfId="0" applyNumberFormat="1" applyFont="1" applyFill="1" applyBorder="1" applyAlignment="1">
      <alignment vertical="center"/>
    </xf>
    <xf numFmtId="0" fontId="22" fillId="23" borderId="41" xfId="0" applyFont="1" applyFill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31" borderId="12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20" fillId="17" borderId="39" xfId="0" applyFont="1" applyFill="1" applyBorder="1" applyAlignment="1">
      <alignment horizontal="center" vertical="center" wrapText="1"/>
    </xf>
    <xf numFmtId="0" fontId="32" fillId="37" borderId="38" xfId="0" applyFont="1" applyFill="1" applyBorder="1" applyAlignment="1">
      <alignment horizontal="center" vertical="center" wrapText="1"/>
    </xf>
    <xf numFmtId="0" fontId="33" fillId="38" borderId="12" xfId="0" applyFont="1" applyFill="1" applyBorder="1" applyAlignment="1">
      <alignment horizontal="center" vertical="center" wrapText="1"/>
    </xf>
    <xf numFmtId="172" fontId="32" fillId="30" borderId="30" xfId="0" applyNumberFormat="1" applyFont="1" applyFill="1" applyBorder="1" applyAlignment="1">
      <alignment horizontal="center" vertical="center" wrapText="1"/>
    </xf>
    <xf numFmtId="172" fontId="21" fillId="38" borderId="50" xfId="1" applyNumberFormat="1" applyFont="1" applyFill="1" applyBorder="1" applyAlignment="1">
      <alignment horizontal="center" vertical="center"/>
    </xf>
    <xf numFmtId="172" fontId="32" fillId="30" borderId="61" xfId="0" applyNumberFormat="1" applyFont="1" applyFill="1" applyBorder="1" applyAlignment="1">
      <alignment horizontal="center" vertical="center" wrapText="1"/>
    </xf>
    <xf numFmtId="172" fontId="21" fillId="38" borderId="51" xfId="1" applyNumberFormat="1" applyFont="1" applyFill="1" applyBorder="1" applyAlignment="1">
      <alignment horizontal="center" vertical="center"/>
    </xf>
    <xf numFmtId="0" fontId="14" fillId="0" borderId="0" xfId="0" applyFont="1"/>
    <xf numFmtId="2" fontId="30" fillId="0" borderId="0" xfId="0" applyNumberFormat="1" applyFont="1" applyAlignment="1">
      <alignment horizontal="center"/>
    </xf>
    <xf numFmtId="0" fontId="2" fillId="0" borderId="0" xfId="0" applyFont="1"/>
    <xf numFmtId="4" fontId="37" fillId="2" borderId="66" xfId="0" applyNumberFormat="1" applyFont="1" applyFill="1" applyBorder="1" applyAlignment="1">
      <alignment horizontal="center" vertical="center"/>
    </xf>
    <xf numFmtId="166" fontId="37" fillId="2" borderId="66" xfId="0" applyNumberFormat="1" applyFont="1" applyFill="1" applyBorder="1" applyAlignment="1">
      <alignment horizontal="center" vertical="center"/>
    </xf>
    <xf numFmtId="0" fontId="36" fillId="2" borderId="66" xfId="0" applyFont="1" applyFill="1" applyBorder="1" applyAlignment="1">
      <alignment vertical="center"/>
    </xf>
    <xf numFmtId="0" fontId="37" fillId="2" borderId="66" xfId="0" applyFont="1" applyFill="1" applyBorder="1" applyAlignment="1">
      <alignment horizontal="center" vertical="center"/>
    </xf>
    <xf numFmtId="0" fontId="35" fillId="2" borderId="66" xfId="0" applyFont="1" applyFill="1" applyBorder="1" applyAlignment="1">
      <alignment horizontal="left" vertical="center"/>
    </xf>
    <xf numFmtId="4" fontId="38" fillId="2" borderId="67" xfId="0" applyNumberFormat="1" applyFont="1" applyFill="1" applyBorder="1" applyAlignment="1">
      <alignment horizontal="center" vertical="center"/>
    </xf>
    <xf numFmtId="4" fontId="39" fillId="2" borderId="67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7" fillId="2" borderId="0" xfId="0" applyFont="1" applyFill="1" applyAlignment="1">
      <alignment horizontal="center" vertical="center"/>
    </xf>
    <xf numFmtId="4" fontId="37" fillId="2" borderId="0" xfId="0" applyNumberFormat="1" applyFont="1" applyFill="1" applyAlignment="1">
      <alignment horizontal="center" vertical="center"/>
    </xf>
    <xf numFmtId="0" fontId="0" fillId="2" borderId="69" xfId="0" applyFill="1" applyBorder="1" applyAlignment="1">
      <alignment vertical="center"/>
    </xf>
    <xf numFmtId="0" fontId="37" fillId="2" borderId="69" xfId="0" applyFont="1" applyFill="1" applyBorder="1" applyAlignment="1">
      <alignment horizontal="center" vertical="center"/>
    </xf>
    <xf numFmtId="4" fontId="37" fillId="2" borderId="69" xfId="0" applyNumberFormat="1" applyFont="1" applyFill="1" applyBorder="1" applyAlignment="1">
      <alignment horizontal="center" vertical="center"/>
    </xf>
    <xf numFmtId="0" fontId="41" fillId="0" borderId="0" xfId="0" applyFont="1"/>
    <xf numFmtId="0" fontId="42" fillId="0" borderId="0" xfId="0" applyFont="1" applyAlignment="1">
      <alignment horizontal="left" vertical="center"/>
    </xf>
    <xf numFmtId="0" fontId="22" fillId="9" borderId="44" xfId="0" applyFont="1" applyFill="1" applyBorder="1" applyAlignment="1">
      <alignment horizontal="center" vertical="center"/>
    </xf>
    <xf numFmtId="0" fontId="22" fillId="19" borderId="45" xfId="0" applyFont="1" applyFill="1" applyBorder="1" applyAlignment="1">
      <alignment horizontal="center" vertical="center" wrapText="1"/>
    </xf>
    <xf numFmtId="169" fontId="22" fillId="21" borderId="6" xfId="1" applyNumberFormat="1" applyFont="1" applyFill="1" applyBorder="1" applyAlignment="1">
      <alignment horizontal="center" vertical="center"/>
    </xf>
    <xf numFmtId="169" fontId="22" fillId="9" borderId="6" xfId="1" applyNumberFormat="1" applyFont="1" applyFill="1" applyBorder="1"/>
    <xf numFmtId="2" fontId="20" fillId="7" borderId="6" xfId="0" applyNumberFormat="1" applyFont="1" applyFill="1" applyBorder="1" applyAlignment="1">
      <alignment horizontal="right" vertical="center"/>
    </xf>
    <xf numFmtId="0" fontId="9" fillId="9" borderId="6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vertical="center"/>
    </xf>
    <xf numFmtId="169" fontId="22" fillId="9" borderId="6" xfId="1" applyNumberFormat="1" applyFont="1" applyFill="1" applyBorder="1" applyAlignment="1">
      <alignment vertical="center"/>
    </xf>
    <xf numFmtId="0" fontId="20" fillId="3" borderId="6" xfId="0" applyFont="1" applyFill="1" applyBorder="1" applyAlignment="1">
      <alignment horizontal="center" vertical="center"/>
    </xf>
    <xf numFmtId="4" fontId="20" fillId="7" borderId="6" xfId="0" applyNumberFormat="1" applyFont="1" applyFill="1" applyBorder="1" applyAlignment="1">
      <alignment horizontal="right" vertical="center"/>
    </xf>
    <xf numFmtId="169" fontId="22" fillId="22" borderId="6" xfId="1" applyNumberFormat="1" applyFont="1" applyFill="1" applyBorder="1" applyAlignment="1">
      <alignment horizontal="center" vertical="center"/>
    </xf>
    <xf numFmtId="169" fontId="22" fillId="23" borderId="6" xfId="0" applyNumberFormat="1" applyFont="1" applyFill="1" applyBorder="1" applyAlignment="1">
      <alignment vertical="center"/>
    </xf>
    <xf numFmtId="0" fontId="22" fillId="20" borderId="63" xfId="0" applyFont="1" applyFill="1" applyBorder="1" applyAlignment="1">
      <alignment vertical="center" wrapText="1"/>
    </xf>
    <xf numFmtId="0" fontId="22" fillId="20" borderId="4" xfId="0" applyFont="1" applyFill="1" applyBorder="1" applyAlignment="1">
      <alignment vertical="center" wrapText="1"/>
    </xf>
    <xf numFmtId="0" fontId="22" fillId="20" borderId="28" xfId="0" applyFont="1" applyFill="1" applyBorder="1" applyAlignment="1">
      <alignment vertical="center" wrapText="1"/>
    </xf>
    <xf numFmtId="0" fontId="9" fillId="9" borderId="47" xfId="0" applyFont="1" applyFill="1" applyBorder="1" applyAlignment="1">
      <alignment horizontal="center" vertical="center"/>
    </xf>
    <xf numFmtId="0" fontId="22" fillId="45" borderId="23" xfId="0" applyFont="1" applyFill="1" applyBorder="1" applyAlignment="1">
      <alignment vertical="center" wrapText="1"/>
    </xf>
    <xf numFmtId="10" fontId="24" fillId="45" borderId="3" xfId="2" applyNumberFormat="1" applyFont="1" applyFill="1" applyBorder="1" applyAlignment="1" applyProtection="1">
      <alignment vertical="center"/>
    </xf>
    <xf numFmtId="169" fontId="22" fillId="45" borderId="3" xfId="1" applyNumberFormat="1" applyFont="1" applyFill="1" applyBorder="1" applyAlignment="1">
      <alignment horizontal="left" vertical="center"/>
    </xf>
    <xf numFmtId="169" fontId="9" fillId="0" borderId="3" xfId="1" applyNumberFormat="1" applyFont="1" applyBorder="1" applyAlignment="1">
      <alignment vertical="center"/>
    </xf>
    <xf numFmtId="169" fontId="9" fillId="0" borderId="11" xfId="1" applyNumberFormat="1" applyFont="1" applyBorder="1" applyAlignment="1">
      <alignment vertical="center"/>
    </xf>
    <xf numFmtId="4" fontId="9" fillId="0" borderId="0" xfId="0" applyNumberFormat="1" applyFont="1"/>
    <xf numFmtId="10" fontId="24" fillId="9" borderId="11" xfId="2" applyNumberFormat="1" applyFont="1" applyFill="1" applyBorder="1" applyAlignment="1" applyProtection="1">
      <alignment vertical="center"/>
    </xf>
    <xf numFmtId="10" fontId="24" fillId="46" borderId="59" xfId="2" applyNumberFormat="1" applyFont="1" applyFill="1" applyBorder="1" applyAlignment="1" applyProtection="1">
      <alignment vertical="center"/>
    </xf>
    <xf numFmtId="169" fontId="22" fillId="46" borderId="45" xfId="1" applyNumberFormat="1" applyFont="1" applyFill="1" applyBorder="1" applyAlignment="1">
      <alignment vertical="center"/>
    </xf>
    <xf numFmtId="10" fontId="24" fillId="46" borderId="61" xfId="2" applyNumberFormat="1" applyFont="1" applyFill="1" applyBorder="1" applyAlignment="1" applyProtection="1">
      <alignment vertical="center"/>
    </xf>
    <xf numFmtId="169" fontId="22" fillId="46" borderId="3" xfId="1" applyNumberFormat="1" applyFont="1" applyFill="1" applyBorder="1" applyAlignment="1">
      <alignment vertical="center"/>
    </xf>
    <xf numFmtId="10" fontId="24" fillId="46" borderId="64" xfId="2" applyNumberFormat="1" applyFont="1" applyFill="1" applyBorder="1" applyAlignment="1" applyProtection="1">
      <alignment vertical="center"/>
    </xf>
    <xf numFmtId="169" fontId="22" fillId="46" borderId="42" xfId="1" applyNumberFormat="1" applyFont="1" applyFill="1" applyBorder="1" applyAlignment="1">
      <alignment vertical="center"/>
    </xf>
    <xf numFmtId="0" fontId="24" fillId="9" borderId="7" xfId="2" applyNumberFormat="1" applyFont="1" applyFill="1" applyBorder="1" applyAlignment="1" applyProtection="1">
      <alignment vertical="center"/>
    </xf>
    <xf numFmtId="169" fontId="9" fillId="9" borderId="7" xfId="1" applyNumberFormat="1" applyFont="1" applyFill="1" applyBorder="1" applyAlignment="1">
      <alignment vertical="center"/>
    </xf>
    <xf numFmtId="169" fontId="9" fillId="9" borderId="20" xfId="1" applyNumberFormat="1" applyFont="1" applyFill="1" applyBorder="1" applyAlignment="1">
      <alignment vertical="center"/>
    </xf>
    <xf numFmtId="169" fontId="9" fillId="9" borderId="57" xfId="1" applyNumberFormat="1" applyFont="1" applyFill="1" applyBorder="1" applyAlignment="1">
      <alignment vertical="center"/>
    </xf>
    <xf numFmtId="10" fontId="22" fillId="23" borderId="42" xfId="0" applyNumberFormat="1" applyFont="1" applyFill="1" applyBorder="1" applyAlignment="1">
      <alignment horizontal="right" vertical="center" wrapText="1"/>
    </xf>
    <xf numFmtId="169" fontId="22" fillId="23" borderId="42" xfId="0" applyNumberFormat="1" applyFont="1" applyFill="1" applyBorder="1" applyAlignment="1">
      <alignment vertical="center"/>
    </xf>
    <xf numFmtId="169" fontId="22" fillId="23" borderId="43" xfId="0" applyNumberFormat="1" applyFont="1" applyFill="1" applyBorder="1" applyAlignment="1">
      <alignment vertical="center"/>
    </xf>
    <xf numFmtId="169" fontId="22" fillId="23" borderId="52" xfId="0" applyNumberFormat="1" applyFont="1" applyFill="1" applyBorder="1" applyAlignment="1">
      <alignment vertical="center"/>
    </xf>
    <xf numFmtId="0" fontId="22" fillId="24" borderId="45" xfId="0" applyFont="1" applyFill="1" applyBorder="1" applyAlignment="1">
      <alignment horizontal="center" vertical="center" wrapText="1"/>
    </xf>
    <xf numFmtId="0" fontId="22" fillId="24" borderId="46" xfId="0" applyFont="1" applyFill="1" applyBorder="1" applyAlignment="1">
      <alignment horizontal="center" vertical="center" wrapText="1"/>
    </xf>
    <xf numFmtId="0" fontId="22" fillId="24" borderId="50" xfId="0" applyFont="1" applyFill="1" applyBorder="1" applyAlignment="1">
      <alignment horizontal="center" vertical="center" wrapText="1"/>
    </xf>
    <xf numFmtId="169" fontId="22" fillId="25" borderId="11" xfId="1" applyNumberFormat="1" applyFont="1" applyFill="1" applyBorder="1" applyAlignment="1">
      <alignment horizontal="center" vertical="center"/>
    </xf>
    <xf numFmtId="169" fontId="22" fillId="25" borderId="58" xfId="1" applyNumberFormat="1" applyFont="1" applyFill="1" applyBorder="1" applyAlignment="1">
      <alignment horizontal="center" vertical="center"/>
    </xf>
    <xf numFmtId="169" fontId="22" fillId="9" borderId="45" xfId="0" applyNumberFormat="1" applyFont="1" applyFill="1" applyBorder="1" applyAlignment="1">
      <alignment vertical="center"/>
    </xf>
    <xf numFmtId="169" fontId="22" fillId="9" borderId="50" xfId="0" applyNumberFormat="1" applyFont="1" applyFill="1" applyBorder="1" applyAlignment="1">
      <alignment vertical="center"/>
    </xf>
    <xf numFmtId="169" fontId="26" fillId="9" borderId="6" xfId="0" applyNumberFormat="1" applyFont="1" applyFill="1" applyBorder="1" applyAlignment="1">
      <alignment vertical="center"/>
    </xf>
    <xf numFmtId="169" fontId="26" fillId="9" borderId="11" xfId="0" applyNumberFormat="1" applyFont="1" applyFill="1" applyBorder="1" applyAlignment="1">
      <alignment vertical="center"/>
    </xf>
    <xf numFmtId="169" fontId="26" fillId="9" borderId="58" xfId="0" applyNumberFormat="1" applyFont="1" applyFill="1" applyBorder="1" applyAlignment="1">
      <alignment vertical="center"/>
    </xf>
    <xf numFmtId="169" fontId="26" fillId="9" borderId="62" xfId="0" applyNumberFormat="1" applyFont="1" applyFill="1" applyBorder="1" applyAlignment="1">
      <alignment vertical="center"/>
    </xf>
    <xf numFmtId="169" fontId="26" fillId="9" borderId="28" xfId="0" applyNumberFormat="1" applyFont="1" applyFill="1" applyBorder="1" applyAlignment="1">
      <alignment vertical="center"/>
    </xf>
    <xf numFmtId="0" fontId="22" fillId="26" borderId="38" xfId="0" applyFont="1" applyFill="1" applyBorder="1" applyAlignment="1">
      <alignment vertical="center" wrapText="1"/>
    </xf>
    <xf numFmtId="0" fontId="22" fillId="26" borderId="40" xfId="0" applyFont="1" applyFill="1" applyBorder="1" applyAlignment="1">
      <alignment vertical="center" wrapText="1"/>
    </xf>
    <xf numFmtId="175" fontId="22" fillId="26" borderId="40" xfId="0" applyNumberFormat="1" applyFont="1" applyFill="1" applyBorder="1" applyAlignment="1">
      <alignment horizontal="right" vertical="center" wrapText="1"/>
    </xf>
    <xf numFmtId="175" fontId="22" fillId="26" borderId="54" xfId="0" applyNumberFormat="1" applyFont="1" applyFill="1" applyBorder="1" applyAlignment="1">
      <alignment horizontal="right" vertical="center" wrapText="1"/>
    </xf>
    <xf numFmtId="0" fontId="22" fillId="26" borderId="33" xfId="0" applyFont="1" applyFill="1" applyBorder="1" applyAlignment="1">
      <alignment vertical="center" wrapText="1"/>
    </xf>
    <xf numFmtId="0" fontId="22" fillId="26" borderId="0" xfId="0" applyFont="1" applyFill="1" applyAlignment="1">
      <alignment vertical="center" wrapText="1"/>
    </xf>
    <xf numFmtId="175" fontId="22" fillId="26" borderId="0" xfId="0" applyNumberFormat="1" applyFont="1" applyFill="1" applyAlignment="1">
      <alignment horizontal="right" vertical="center" wrapText="1"/>
    </xf>
    <xf numFmtId="175" fontId="22" fillId="26" borderId="29" xfId="0" applyNumberFormat="1" applyFont="1" applyFill="1" applyBorder="1" applyAlignment="1">
      <alignment horizontal="right" vertical="center" wrapText="1"/>
    </xf>
    <xf numFmtId="0" fontId="22" fillId="30" borderId="40" xfId="0" applyFont="1" applyFill="1" applyBorder="1" applyAlignment="1">
      <alignment vertical="center" wrapText="1"/>
    </xf>
    <xf numFmtId="175" fontId="30" fillId="30" borderId="40" xfId="0" applyNumberFormat="1" applyFont="1" applyFill="1" applyBorder="1" applyAlignment="1">
      <alignment horizontal="right" vertical="center" wrapText="1"/>
    </xf>
    <xf numFmtId="0" fontId="22" fillId="30" borderId="0" xfId="0" applyFont="1" applyFill="1" applyAlignment="1">
      <alignment vertical="center" wrapText="1"/>
    </xf>
    <xf numFmtId="175" fontId="30" fillId="30" borderId="0" xfId="0" applyNumberFormat="1" applyFont="1" applyFill="1" applyAlignment="1">
      <alignment horizontal="right" vertical="center" wrapText="1"/>
    </xf>
    <xf numFmtId="0" fontId="9" fillId="0" borderId="33" xfId="0" applyFont="1" applyBorder="1"/>
    <xf numFmtId="0" fontId="9" fillId="9" borderId="33" xfId="0" applyFont="1" applyFill="1" applyBorder="1" applyAlignment="1">
      <alignment horizontal="center" vertical="center"/>
    </xf>
    <xf numFmtId="0" fontId="9" fillId="9" borderId="0" xfId="0" applyFont="1" applyFill="1" applyAlignment="1">
      <alignment vertical="center"/>
    </xf>
    <xf numFmtId="178" fontId="9" fillId="9" borderId="0" xfId="0" applyNumberFormat="1" applyFont="1" applyFill="1" applyAlignment="1">
      <alignment vertical="center"/>
    </xf>
    <xf numFmtId="0" fontId="9" fillId="9" borderId="0" xfId="0" applyFont="1" applyFill="1"/>
    <xf numFmtId="0" fontId="0" fillId="9" borderId="0" xfId="0" applyFill="1"/>
    <xf numFmtId="0" fontId="22" fillId="19" borderId="5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15" fillId="0" borderId="70" xfId="0" applyFont="1" applyBorder="1" applyAlignment="1">
      <alignment vertical="center"/>
    </xf>
    <xf numFmtId="2" fontId="15" fillId="0" borderId="70" xfId="0" applyNumberFormat="1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15" fillId="0" borderId="73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7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48" borderId="78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81" fontId="3" fillId="0" borderId="9" xfId="0" applyNumberFormat="1" applyFont="1" applyBorder="1"/>
    <xf numFmtId="0" fontId="20" fillId="26" borderId="40" xfId="3" applyNumberFormat="1" applyFont="1" applyFill="1" applyBorder="1" applyAlignment="1" applyProtection="1">
      <alignment horizontal="center" vertical="center"/>
    </xf>
    <xf numFmtId="10" fontId="21" fillId="39" borderId="2" xfId="0" applyNumberFormat="1" applyFont="1" applyFill="1" applyBorder="1" applyAlignment="1" applyProtection="1">
      <alignment horizontal="center" vertical="center" wrapText="1"/>
      <protection locked="0"/>
    </xf>
    <xf numFmtId="10" fontId="21" fillId="40" borderId="60" xfId="0" applyNumberFormat="1" applyFont="1" applyFill="1" applyBorder="1" applyAlignment="1" applyProtection="1">
      <alignment horizontal="center" vertical="center"/>
      <protection locked="0"/>
    </xf>
    <xf numFmtId="10" fontId="3" fillId="0" borderId="3" xfId="0" applyNumberFormat="1" applyFont="1" applyBorder="1" applyAlignment="1">
      <alignment horizontal="center"/>
    </xf>
    <xf numFmtId="0" fontId="22" fillId="47" borderId="70" xfId="0" applyFont="1" applyFill="1" applyBorder="1" applyAlignment="1">
      <alignment horizontal="center" vertical="center"/>
    </xf>
    <xf numFmtId="0" fontId="22" fillId="47" borderId="70" xfId="0" applyFont="1" applyFill="1" applyBorder="1" applyAlignment="1">
      <alignment horizontal="center" vertical="center" wrapText="1"/>
    </xf>
    <xf numFmtId="0" fontId="9" fillId="47" borderId="70" xfId="0" applyFont="1" applyFill="1" applyBorder="1"/>
    <xf numFmtId="177" fontId="9" fillId="47" borderId="70" xfId="0" applyNumberFormat="1" applyFont="1" applyFill="1" applyBorder="1"/>
    <xf numFmtId="169" fontId="9" fillId="47" borderId="70" xfId="0" applyNumberFormat="1" applyFont="1" applyFill="1" applyBorder="1"/>
    <xf numFmtId="0" fontId="22" fillId="47" borderId="70" xfId="0" applyFont="1" applyFill="1" applyBorder="1"/>
    <xf numFmtId="0" fontId="43" fillId="4" borderId="70" xfId="0" applyFont="1" applyFill="1" applyBorder="1" applyAlignment="1">
      <alignment horizontal="right"/>
    </xf>
    <xf numFmtId="177" fontId="43" fillId="4" borderId="70" xfId="0" applyNumberFormat="1" applyFont="1" applyFill="1" applyBorder="1"/>
    <xf numFmtId="169" fontId="43" fillId="4" borderId="70" xfId="0" applyNumberFormat="1" applyFont="1" applyFill="1" applyBorder="1"/>
    <xf numFmtId="179" fontId="9" fillId="47" borderId="70" xfId="0" applyNumberFormat="1" applyFont="1" applyFill="1" applyBorder="1"/>
    <xf numFmtId="4" fontId="9" fillId="47" borderId="70" xfId="0" applyNumberFormat="1" applyFont="1" applyFill="1" applyBorder="1"/>
    <xf numFmtId="0" fontId="43" fillId="31" borderId="70" xfId="0" applyFont="1" applyFill="1" applyBorder="1" applyAlignment="1">
      <alignment horizontal="right"/>
    </xf>
    <xf numFmtId="177" fontId="9" fillId="31" borderId="70" xfId="0" applyNumberFormat="1" applyFont="1" applyFill="1" applyBorder="1"/>
    <xf numFmtId="4" fontId="9" fillId="31" borderId="70" xfId="0" applyNumberFormat="1" applyFont="1" applyFill="1" applyBorder="1"/>
    <xf numFmtId="169" fontId="43" fillId="31" borderId="70" xfId="0" applyNumberFormat="1" applyFont="1" applyFill="1" applyBorder="1"/>
    <xf numFmtId="179" fontId="9" fillId="31" borderId="70" xfId="0" applyNumberFormat="1" applyFont="1" applyFill="1" applyBorder="1"/>
    <xf numFmtId="0" fontId="21" fillId="47" borderId="70" xfId="0" applyFont="1" applyFill="1" applyBorder="1"/>
    <xf numFmtId="0" fontId="40" fillId="17" borderId="70" xfId="0" applyFont="1" applyFill="1" applyBorder="1" applyAlignment="1">
      <alignment horizontal="right" vertical="center" wrapText="1"/>
    </xf>
    <xf numFmtId="180" fontId="9" fillId="17" borderId="70" xfId="0" applyNumberFormat="1" applyFont="1" applyFill="1" applyBorder="1"/>
    <xf numFmtId="4" fontId="9" fillId="17" borderId="70" xfId="0" applyNumberFormat="1" applyFont="1" applyFill="1" applyBorder="1"/>
    <xf numFmtId="169" fontId="43" fillId="17" borderId="70" xfId="0" applyNumberFormat="1" applyFont="1" applyFill="1" applyBorder="1"/>
    <xf numFmtId="168" fontId="8" fillId="0" borderId="19" xfId="1" applyFont="1" applyBorder="1" applyAlignment="1">
      <alignment horizontal="center" vertical="center"/>
    </xf>
    <xf numFmtId="165" fontId="45" fillId="0" borderId="9" xfId="1" applyNumberFormat="1" applyFont="1" applyBorder="1" applyAlignment="1">
      <alignment horizontal="center" vertical="center"/>
    </xf>
    <xf numFmtId="165" fontId="45" fillId="0" borderId="5" xfId="1" applyNumberFormat="1" applyFont="1" applyBorder="1" applyAlignment="1">
      <alignment horizontal="center" vertical="center"/>
    </xf>
    <xf numFmtId="165" fontId="45" fillId="0" borderId="89" xfId="1" applyNumberFormat="1" applyFont="1" applyBorder="1" applyAlignment="1">
      <alignment horizontal="center" vertical="center"/>
    </xf>
    <xf numFmtId="165" fontId="45" fillId="0" borderId="91" xfId="1" applyNumberFormat="1" applyFont="1" applyBorder="1" applyAlignment="1">
      <alignment horizontal="center" vertical="center"/>
    </xf>
    <xf numFmtId="168" fontId="8" fillId="0" borderId="9" xfId="1" applyFont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168" fontId="35" fillId="29" borderId="55" xfId="1" applyFont="1" applyFill="1" applyBorder="1" applyAlignment="1">
      <alignment horizontal="center" vertical="center"/>
    </xf>
    <xf numFmtId="165" fontId="35" fillId="29" borderId="55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94" xfId="0" applyFont="1" applyBorder="1" applyAlignment="1">
      <alignment vertical="center"/>
    </xf>
    <xf numFmtId="0" fontId="7" fillId="0" borderId="72" xfId="0" applyFont="1" applyBorder="1" applyAlignment="1">
      <alignment vertical="center"/>
    </xf>
    <xf numFmtId="0" fontId="7" fillId="0" borderId="71" xfId="0" applyFont="1" applyBorder="1" applyAlignment="1">
      <alignment horizontal="left" vertical="center"/>
    </xf>
    <xf numFmtId="0" fontId="7" fillId="0" borderId="94" xfId="0" applyFont="1" applyBorder="1" applyAlignment="1">
      <alignment horizontal="left" vertical="center"/>
    </xf>
    <xf numFmtId="0" fontId="7" fillId="0" borderId="47" xfId="0" applyFont="1" applyBorder="1" applyAlignment="1">
      <alignment vertical="center"/>
    </xf>
    <xf numFmtId="0" fontId="7" fillId="0" borderId="95" xfId="0" applyFont="1" applyBorder="1" applyAlignment="1">
      <alignment vertical="center"/>
    </xf>
    <xf numFmtId="0" fontId="7" fillId="0" borderId="79" xfId="0" applyFont="1" applyBorder="1" applyAlignment="1">
      <alignment vertical="center"/>
    </xf>
    <xf numFmtId="10" fontId="7" fillId="0" borderId="96" xfId="0" applyNumberFormat="1" applyFont="1" applyBorder="1" applyAlignment="1">
      <alignment vertical="center"/>
    </xf>
    <xf numFmtId="10" fontId="7" fillId="0" borderId="97" xfId="0" applyNumberFormat="1" applyFont="1" applyBorder="1" applyAlignment="1">
      <alignment vertical="center"/>
    </xf>
    <xf numFmtId="10" fontId="7" fillId="0" borderId="98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0" fontId="22" fillId="20" borderId="32" xfId="0" applyFont="1" applyFill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/>
    </xf>
    <xf numFmtId="4" fontId="20" fillId="0" borderId="6" xfId="0" applyNumberFormat="1" applyFont="1" applyBorder="1" applyAlignment="1">
      <alignment horizontal="right" vertical="center"/>
    </xf>
    <xf numFmtId="4" fontId="20" fillId="0" borderId="51" xfId="0" applyNumberFormat="1" applyFont="1" applyBorder="1" applyAlignment="1">
      <alignment horizontal="right" vertical="center"/>
    </xf>
    <xf numFmtId="0" fontId="46" fillId="0" borderId="99" xfId="0" applyFont="1" applyBorder="1"/>
    <xf numFmtId="0" fontId="46" fillId="0" borderId="77" xfId="0" applyFont="1" applyBorder="1"/>
    <xf numFmtId="8" fontId="46" fillId="0" borderId="77" xfId="0" applyNumberFormat="1" applyFont="1" applyBorder="1" applyAlignment="1">
      <alignment wrapText="1"/>
    </xf>
    <xf numFmtId="0" fontId="15" fillId="0" borderId="99" xfId="0" applyFont="1" applyBorder="1"/>
    <xf numFmtId="0" fontId="15" fillId="0" borderId="100" xfId="0" applyFont="1" applyBorder="1"/>
    <xf numFmtId="0" fontId="15" fillId="0" borderId="72" xfId="0" applyFont="1" applyBorder="1"/>
    <xf numFmtId="8" fontId="15" fillId="0" borderId="77" xfId="0" applyNumberFormat="1" applyFont="1" applyBorder="1" applyAlignment="1">
      <alignment wrapText="1"/>
    </xf>
    <xf numFmtId="0" fontId="15" fillId="0" borderId="101" xfId="0" applyFont="1" applyBorder="1" applyAlignment="1">
      <alignment vertical="center"/>
    </xf>
    <xf numFmtId="0" fontId="15" fillId="0" borderId="102" xfId="0" applyFont="1" applyBorder="1" applyAlignment="1">
      <alignment vertical="center"/>
    </xf>
    <xf numFmtId="0" fontId="41" fillId="0" borderId="103" xfId="0" applyFont="1" applyBorder="1"/>
    <xf numFmtId="8" fontId="15" fillId="0" borderId="104" xfId="0" applyNumberFormat="1" applyFont="1" applyBorder="1" applyAlignment="1">
      <alignment wrapText="1"/>
    </xf>
    <xf numFmtId="0" fontId="15" fillId="0" borderId="107" xfId="0" applyFont="1" applyBorder="1"/>
    <xf numFmtId="0" fontId="15" fillId="0" borderId="108" xfId="0" applyFont="1" applyBorder="1"/>
    <xf numFmtId="8" fontId="15" fillId="0" borderId="95" xfId="0" applyNumberFormat="1" applyFont="1" applyBorder="1" applyAlignment="1">
      <alignment wrapText="1"/>
    </xf>
    <xf numFmtId="8" fontId="15" fillId="0" borderId="77" xfId="0" applyNumberFormat="1" applyFont="1" applyBorder="1"/>
    <xf numFmtId="8" fontId="15" fillId="0" borderId="104" xfId="0" applyNumberFormat="1" applyFont="1" applyBorder="1"/>
    <xf numFmtId="8" fontId="15" fillId="0" borderId="78" xfId="0" applyNumberFormat="1" applyFont="1" applyBorder="1" applyAlignment="1">
      <alignment wrapText="1"/>
    </xf>
    <xf numFmtId="8" fontId="15" fillId="0" borderId="109" xfId="0" applyNumberFormat="1" applyFont="1" applyBorder="1" applyAlignment="1">
      <alignment wrapText="1"/>
    </xf>
    <xf numFmtId="8" fontId="15" fillId="0" borderId="74" xfId="0" applyNumberFormat="1" applyFont="1" applyBorder="1" applyAlignment="1">
      <alignment wrapText="1"/>
    </xf>
    <xf numFmtId="0" fontId="32" fillId="30" borderId="39" xfId="0" applyFont="1" applyFill="1" applyBorder="1" applyAlignment="1">
      <alignment horizontal="center" vertical="center" wrapText="1"/>
    </xf>
    <xf numFmtId="0" fontId="32" fillId="36" borderId="54" xfId="0" applyFont="1" applyFill="1" applyBorder="1" applyAlignment="1">
      <alignment horizontal="center" vertical="center" wrapText="1"/>
    </xf>
    <xf numFmtId="168" fontId="21" fillId="36" borderId="111" xfId="1" applyFont="1" applyFill="1" applyBorder="1" applyAlignment="1">
      <alignment horizontal="center" vertical="center"/>
    </xf>
    <xf numFmtId="168" fontId="21" fillId="36" borderId="60" xfId="1" applyFont="1" applyFill="1" applyBorder="1" applyAlignment="1">
      <alignment horizontal="center" vertical="center"/>
    </xf>
    <xf numFmtId="172" fontId="35" fillId="29" borderId="112" xfId="1" applyNumberFormat="1" applyFont="1" applyFill="1" applyBorder="1" applyAlignment="1">
      <alignment horizontal="center" vertical="center"/>
    </xf>
    <xf numFmtId="0" fontId="32" fillId="35" borderId="113" xfId="0" applyFont="1" applyFill="1" applyBorder="1" applyAlignment="1">
      <alignment horizontal="center" vertical="center" wrapText="1"/>
    </xf>
    <xf numFmtId="172" fontId="21" fillId="35" borderId="114" xfId="1" applyNumberFormat="1" applyFont="1" applyFill="1" applyBorder="1" applyAlignment="1">
      <alignment horizontal="center" vertical="center"/>
    </xf>
    <xf numFmtId="0" fontId="23" fillId="9" borderId="83" xfId="0" applyFont="1" applyFill="1" applyBorder="1" applyAlignment="1">
      <alignment vertical="center"/>
    </xf>
    <xf numFmtId="167" fontId="6" fillId="18" borderId="123" xfId="0" applyNumberFormat="1" applyFont="1" applyFill="1" applyBorder="1" applyAlignment="1">
      <alignment horizontal="center" vertical="center"/>
    </xf>
    <xf numFmtId="0" fontId="9" fillId="9" borderId="83" xfId="0" applyFont="1" applyFill="1" applyBorder="1" applyAlignment="1">
      <alignment vertical="center"/>
    </xf>
    <xf numFmtId="173" fontId="3" fillId="18" borderId="124" xfId="1" applyNumberFormat="1" applyFont="1" applyFill="1" applyBorder="1" applyAlignment="1">
      <alignment horizontal="center" vertical="center"/>
    </xf>
    <xf numFmtId="167" fontId="3" fillId="18" borderId="124" xfId="0" applyNumberFormat="1" applyFont="1" applyFill="1" applyBorder="1" applyAlignment="1">
      <alignment horizontal="center" vertical="center"/>
    </xf>
    <xf numFmtId="167" fontId="3" fillId="18" borderId="125" xfId="0" applyNumberFormat="1" applyFont="1" applyFill="1" applyBorder="1" applyAlignment="1">
      <alignment horizontal="center" vertical="center"/>
    </xf>
    <xf numFmtId="0" fontId="22" fillId="9" borderId="128" xfId="0" applyFont="1" applyFill="1" applyBorder="1" applyAlignment="1">
      <alignment horizontal="center" vertical="center"/>
    </xf>
    <xf numFmtId="0" fontId="22" fillId="19" borderId="129" xfId="0" applyFont="1" applyFill="1" applyBorder="1" applyAlignment="1">
      <alignment horizontal="center" vertical="center" wrapText="1"/>
    </xf>
    <xf numFmtId="0" fontId="22" fillId="20" borderId="130" xfId="0" applyFont="1" applyFill="1" applyBorder="1" applyAlignment="1">
      <alignment vertical="center" wrapText="1"/>
    </xf>
    <xf numFmtId="0" fontId="22" fillId="20" borderId="124" xfId="0" applyFont="1" applyFill="1" applyBorder="1" applyAlignment="1">
      <alignment vertical="center" wrapText="1"/>
    </xf>
    <xf numFmtId="0" fontId="22" fillId="21" borderId="90" xfId="0" applyFont="1" applyFill="1" applyBorder="1" applyAlignment="1">
      <alignment vertical="center" wrapText="1"/>
    </xf>
    <xf numFmtId="169" fontId="22" fillId="21" borderId="131" xfId="1" applyNumberFormat="1" applyFont="1" applyFill="1" applyBorder="1" applyAlignment="1">
      <alignment horizontal="center" vertical="center"/>
    </xf>
    <xf numFmtId="0" fontId="9" fillId="9" borderId="90" xfId="0" applyFont="1" applyFill="1" applyBorder="1" applyAlignment="1">
      <alignment vertical="center" wrapText="1"/>
    </xf>
    <xf numFmtId="169" fontId="22" fillId="9" borderId="131" xfId="1" applyNumberFormat="1" applyFont="1" applyFill="1" applyBorder="1"/>
    <xf numFmtId="0" fontId="20" fillId="7" borderId="90" xfId="0" applyFont="1" applyFill="1" applyBorder="1" applyAlignment="1">
      <alignment horizontal="right" vertical="center"/>
    </xf>
    <xf numFmtId="2" fontId="20" fillId="7" borderId="131" xfId="0" applyNumberFormat="1" applyFont="1" applyFill="1" applyBorder="1" applyAlignment="1">
      <alignment horizontal="right" vertical="center"/>
    </xf>
    <xf numFmtId="0" fontId="9" fillId="9" borderId="90" xfId="0" applyFont="1" applyFill="1" applyBorder="1" applyAlignment="1">
      <alignment horizontal="center" vertical="center"/>
    </xf>
    <xf numFmtId="0" fontId="9" fillId="9" borderId="131" xfId="0" applyFont="1" applyFill="1" applyBorder="1" applyAlignment="1">
      <alignment horizontal="center" vertical="center"/>
    </xf>
    <xf numFmtId="0" fontId="20" fillId="3" borderId="90" xfId="0" applyFont="1" applyFill="1" applyBorder="1" applyAlignment="1">
      <alignment vertical="center"/>
    </xf>
    <xf numFmtId="169" fontId="22" fillId="22" borderId="131" xfId="1" applyNumberFormat="1" applyFont="1" applyFill="1" applyBorder="1" applyAlignment="1">
      <alignment horizontal="center" vertical="center"/>
    </xf>
    <xf numFmtId="0" fontId="21" fillId="0" borderId="90" xfId="0" applyFont="1" applyBorder="1" applyAlignment="1">
      <alignment vertical="center"/>
    </xf>
    <xf numFmtId="0" fontId="20" fillId="3" borderId="131" xfId="0" applyFont="1" applyFill="1" applyBorder="1" applyAlignment="1">
      <alignment vertical="center"/>
    </xf>
    <xf numFmtId="169" fontId="22" fillId="9" borderId="131" xfId="1" applyNumberFormat="1" applyFont="1" applyFill="1" applyBorder="1" applyAlignment="1">
      <alignment vertical="center"/>
    </xf>
    <xf numFmtId="4" fontId="21" fillId="0" borderId="131" xfId="0" applyNumberFormat="1" applyFont="1" applyBorder="1" applyAlignment="1">
      <alignment vertical="center"/>
    </xf>
    <xf numFmtId="0" fontId="20" fillId="3" borderId="131" xfId="0" applyFont="1" applyFill="1" applyBorder="1" applyAlignment="1">
      <alignment horizontal="center" vertical="center"/>
    </xf>
    <xf numFmtId="2" fontId="21" fillId="0" borderId="131" xfId="0" applyNumberFormat="1" applyFont="1" applyBorder="1" applyAlignment="1">
      <alignment horizontal="right" vertical="center"/>
    </xf>
    <xf numFmtId="4" fontId="20" fillId="7" borderId="131" xfId="0" applyNumberFormat="1" applyFont="1" applyFill="1" applyBorder="1" applyAlignment="1">
      <alignment horizontal="right" vertical="center"/>
    </xf>
    <xf numFmtId="4" fontId="20" fillId="0" borderId="131" xfId="0" applyNumberFormat="1" applyFont="1" applyBorder="1" applyAlignment="1">
      <alignment horizontal="right" vertical="center"/>
    </xf>
    <xf numFmtId="0" fontId="22" fillId="23" borderId="90" xfId="0" applyFont="1" applyFill="1" applyBorder="1" applyAlignment="1">
      <alignment horizontal="right" vertical="center" wrapText="1"/>
    </xf>
    <xf numFmtId="169" fontId="22" fillId="23" borderId="131" xfId="0" applyNumberFormat="1" applyFont="1" applyFill="1" applyBorder="1" applyAlignment="1">
      <alignment vertical="center"/>
    </xf>
    <xf numFmtId="0" fontId="22" fillId="20" borderId="132" xfId="0" applyFont="1" applyFill="1" applyBorder="1" applyAlignment="1">
      <alignment vertical="center" wrapText="1"/>
    </xf>
    <xf numFmtId="0" fontId="22" fillId="20" borderId="133" xfId="0" applyFont="1" applyFill="1" applyBorder="1" applyAlignment="1">
      <alignment vertical="center" wrapText="1"/>
    </xf>
    <xf numFmtId="0" fontId="21" fillId="0" borderId="90" xfId="0" applyFont="1" applyBorder="1" applyAlignment="1">
      <alignment wrapText="1"/>
    </xf>
    <xf numFmtId="0" fontId="9" fillId="9" borderId="134" xfId="0" applyFont="1" applyFill="1" applyBorder="1" applyAlignment="1">
      <alignment horizontal="center" vertical="center"/>
    </xf>
    <xf numFmtId="0" fontId="22" fillId="45" borderId="90" xfId="0" applyFont="1" applyFill="1" applyBorder="1" applyAlignment="1">
      <alignment vertical="center" wrapText="1"/>
    </xf>
    <xf numFmtId="169" fontId="22" fillId="45" borderId="131" xfId="1" applyNumberFormat="1" applyFont="1" applyFill="1" applyBorder="1" applyAlignment="1">
      <alignment horizontal="left" vertical="center"/>
    </xf>
    <xf numFmtId="169" fontId="9" fillId="0" borderId="131" xfId="1" applyNumberFormat="1" applyFont="1" applyBorder="1" applyAlignment="1">
      <alignment vertical="center"/>
    </xf>
    <xf numFmtId="169" fontId="9" fillId="0" borderId="134" xfId="1" applyNumberFormat="1" applyFont="1" applyBorder="1" applyAlignment="1">
      <alignment vertical="center"/>
    </xf>
    <xf numFmtId="169" fontId="22" fillId="46" borderId="129" xfId="1" applyNumberFormat="1" applyFont="1" applyFill="1" applyBorder="1" applyAlignment="1">
      <alignment vertical="center"/>
    </xf>
    <xf numFmtId="169" fontId="22" fillId="46" borderId="131" xfId="1" applyNumberFormat="1" applyFont="1" applyFill="1" applyBorder="1" applyAlignment="1">
      <alignment vertical="center"/>
    </xf>
    <xf numFmtId="169" fontId="22" fillId="46" borderId="136" xfId="1" applyNumberFormat="1" applyFont="1" applyFill="1" applyBorder="1" applyAlignment="1">
      <alignment vertical="center"/>
    </xf>
    <xf numFmtId="169" fontId="9" fillId="9" borderId="137" xfId="1" applyNumberFormat="1" applyFont="1" applyFill="1" applyBorder="1" applyAlignment="1">
      <alignment vertical="center"/>
    </xf>
    <xf numFmtId="0" fontId="22" fillId="23" borderId="138" xfId="0" applyFont="1" applyFill="1" applyBorder="1" applyAlignment="1">
      <alignment horizontal="right" vertical="center" wrapText="1"/>
    </xf>
    <xf numFmtId="169" fontId="22" fillId="23" borderId="136" xfId="0" applyNumberFormat="1" applyFont="1" applyFill="1" applyBorder="1" applyAlignment="1">
      <alignment vertical="center"/>
    </xf>
    <xf numFmtId="0" fontId="22" fillId="24" borderId="129" xfId="0" applyFont="1" applyFill="1" applyBorder="1" applyAlignment="1">
      <alignment horizontal="center" vertical="center" wrapText="1"/>
    </xf>
    <xf numFmtId="169" fontId="22" fillId="25" borderId="134" xfId="1" applyNumberFormat="1" applyFont="1" applyFill="1" applyBorder="1" applyAlignment="1">
      <alignment horizontal="center" vertical="center"/>
    </xf>
    <xf numFmtId="169" fontId="22" fillId="9" borderId="129" xfId="0" applyNumberFormat="1" applyFont="1" applyFill="1" applyBorder="1" applyAlignment="1">
      <alignment vertical="center"/>
    </xf>
    <xf numFmtId="169" fontId="22" fillId="9" borderId="131" xfId="0" applyNumberFormat="1" applyFont="1" applyFill="1" applyBorder="1" applyAlignment="1">
      <alignment vertical="center"/>
    </xf>
    <xf numFmtId="169" fontId="26" fillId="9" borderId="131" xfId="0" applyNumberFormat="1" applyFont="1" applyFill="1" applyBorder="1" applyAlignment="1">
      <alignment vertical="center"/>
    </xf>
    <xf numFmtId="169" fontId="26" fillId="9" borderId="134" xfId="0" applyNumberFormat="1" applyFont="1" applyFill="1" applyBorder="1" applyAlignment="1">
      <alignment vertical="center"/>
    </xf>
    <xf numFmtId="169" fontId="26" fillId="9" borderId="133" xfId="0" applyNumberFormat="1" applyFont="1" applyFill="1" applyBorder="1" applyAlignment="1">
      <alignment vertical="center"/>
    </xf>
    <xf numFmtId="0" fontId="22" fillId="26" borderId="142" xfId="0" applyFont="1" applyFill="1" applyBorder="1" applyAlignment="1">
      <alignment vertical="center" wrapText="1"/>
    </xf>
    <xf numFmtId="175" fontId="22" fillId="26" borderId="143" xfId="0" applyNumberFormat="1" applyFont="1" applyFill="1" applyBorder="1" applyAlignment="1">
      <alignment horizontal="right" vertical="center" wrapText="1"/>
    </xf>
    <xf numFmtId="0" fontId="22" fillId="26" borderId="83" xfId="0" applyFont="1" applyFill="1" applyBorder="1" applyAlignment="1">
      <alignment vertical="center" wrapText="1"/>
    </xf>
    <xf numFmtId="175" fontId="22" fillId="26" borderId="84" xfId="0" applyNumberFormat="1" applyFont="1" applyFill="1" applyBorder="1" applyAlignment="1">
      <alignment horizontal="right" vertical="center" wrapText="1"/>
    </xf>
    <xf numFmtId="0" fontId="22" fillId="30" borderId="142" xfId="0" applyFont="1" applyFill="1" applyBorder="1" applyAlignment="1">
      <alignment vertical="center" wrapText="1"/>
    </xf>
    <xf numFmtId="175" fontId="30" fillId="30" borderId="143" xfId="0" applyNumberFormat="1" applyFont="1" applyFill="1" applyBorder="1" applyAlignment="1">
      <alignment horizontal="right" vertical="center" wrapText="1"/>
    </xf>
    <xf numFmtId="0" fontId="22" fillId="30" borderId="83" xfId="0" applyFont="1" applyFill="1" applyBorder="1" applyAlignment="1">
      <alignment vertical="center" wrapText="1"/>
    </xf>
    <xf numFmtId="175" fontId="30" fillId="30" borderId="84" xfId="0" applyNumberFormat="1" applyFont="1" applyFill="1" applyBorder="1" applyAlignment="1">
      <alignment horizontal="right" vertical="center" wrapText="1"/>
    </xf>
    <xf numFmtId="0" fontId="22" fillId="30" borderId="85" xfId="0" applyFont="1" applyFill="1" applyBorder="1" applyAlignment="1">
      <alignment vertical="center" wrapText="1"/>
    </xf>
    <xf numFmtId="0" fontId="22" fillId="30" borderId="86" xfId="0" applyFont="1" applyFill="1" applyBorder="1" applyAlignment="1">
      <alignment vertical="center" wrapText="1"/>
    </xf>
    <xf numFmtId="175" fontId="30" fillId="30" borderId="86" xfId="0" applyNumberFormat="1" applyFont="1" applyFill="1" applyBorder="1" applyAlignment="1">
      <alignment horizontal="right" vertical="center" wrapText="1"/>
    </xf>
    <xf numFmtId="175" fontId="30" fillId="30" borderId="87" xfId="0" applyNumberFormat="1" applyFont="1" applyFill="1" applyBorder="1" applyAlignment="1">
      <alignment horizontal="right" vertical="center" wrapText="1"/>
    </xf>
    <xf numFmtId="171" fontId="24" fillId="9" borderId="3" xfId="2" applyNumberFormat="1" applyFont="1" applyFill="1" applyBorder="1" applyAlignment="1" applyProtection="1">
      <alignment wrapText="1"/>
    </xf>
    <xf numFmtId="171" fontId="24" fillId="9" borderId="3" xfId="2" applyNumberFormat="1" applyFont="1" applyFill="1" applyBorder="1" applyAlignment="1" applyProtection="1">
      <alignment vertical="center" wrapText="1"/>
    </xf>
    <xf numFmtId="166" fontId="24" fillId="9" borderId="3" xfId="2" applyNumberFormat="1" applyFont="1" applyFill="1" applyBorder="1" applyAlignment="1" applyProtection="1">
      <alignment vertical="center" wrapText="1"/>
    </xf>
    <xf numFmtId="10" fontId="24" fillId="9" borderId="3" xfId="2" applyNumberFormat="1" applyFont="1" applyFill="1" applyBorder="1" applyAlignment="1" applyProtection="1">
      <alignment vertical="center" wrapText="1"/>
    </xf>
    <xf numFmtId="0" fontId="20" fillId="0" borderId="3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3" borderId="71" xfId="0" applyFont="1" applyFill="1" applyBorder="1" applyAlignment="1">
      <alignment horizontal="left" vertical="center"/>
    </xf>
    <xf numFmtId="10" fontId="7" fillId="0" borderId="77" xfId="0" applyNumberFormat="1" applyFont="1" applyBorder="1" applyAlignment="1">
      <alignment horizontal="left" vertical="center"/>
    </xf>
    <xf numFmtId="0" fontId="6" fillId="3" borderId="27" xfId="0" applyFont="1" applyFill="1" applyBorder="1" applyAlignment="1">
      <alignment horizontal="left" vertical="center"/>
    </xf>
    <xf numFmtId="0" fontId="18" fillId="0" borderId="0" xfId="0" applyFont="1"/>
    <xf numFmtId="0" fontId="6" fillId="0" borderId="6" xfId="0" applyFont="1" applyBorder="1" applyAlignment="1">
      <alignment vertical="center"/>
    </xf>
    <xf numFmtId="182" fontId="3" fillId="3" borderId="3" xfId="0" applyNumberFormat="1" applyFont="1" applyFill="1" applyBorder="1" applyAlignment="1">
      <alignment horizontal="center" vertical="center"/>
    </xf>
    <xf numFmtId="8" fontId="9" fillId="0" borderId="33" xfId="0" applyNumberFormat="1" applyFont="1" applyBorder="1"/>
    <xf numFmtId="8" fontId="9" fillId="0" borderId="0" xfId="0" applyNumberFormat="1" applyFont="1"/>
    <xf numFmtId="0" fontId="47" fillId="0" borderId="0" xfId="4"/>
    <xf numFmtId="0" fontId="7" fillId="0" borderId="20" xfId="0" applyFont="1" applyBorder="1" applyAlignment="1">
      <alignment vertical="center"/>
    </xf>
    <xf numFmtId="10" fontId="7" fillId="0" borderId="78" xfId="0" applyNumberFormat="1" applyFont="1" applyBorder="1" applyAlignment="1">
      <alignment horizontal="left" vertical="center"/>
    </xf>
    <xf numFmtId="0" fontId="6" fillId="3" borderId="47" xfId="0" applyFont="1" applyFill="1" applyBorder="1" applyAlignment="1">
      <alignment horizontal="left" vertical="center"/>
    </xf>
    <xf numFmtId="10" fontId="7" fillId="0" borderId="95" xfId="0" applyNumberFormat="1" applyFont="1" applyBorder="1" applyAlignment="1">
      <alignment horizontal="left" vertical="center"/>
    </xf>
    <xf numFmtId="171" fontId="16" fillId="14" borderId="76" xfId="0" applyNumberFormat="1" applyFont="1" applyFill="1" applyBorder="1" applyAlignment="1">
      <alignment vertical="center"/>
    </xf>
    <xf numFmtId="2" fontId="15" fillId="0" borderId="77" xfId="0" applyNumberFormat="1" applyFont="1" applyBorder="1" applyAlignment="1">
      <alignment vertical="center"/>
    </xf>
    <xf numFmtId="0" fontId="15" fillId="0" borderId="104" xfId="0" applyFont="1" applyBorder="1" applyAlignment="1">
      <alignment vertical="center"/>
    </xf>
    <xf numFmtId="0" fontId="15" fillId="0" borderId="157" xfId="0" applyFont="1" applyBorder="1" applyAlignment="1">
      <alignment vertical="center"/>
    </xf>
    <xf numFmtId="0" fontId="15" fillId="0" borderId="95" xfId="0" applyFont="1" applyBorder="1" applyAlignment="1">
      <alignment vertical="center"/>
    </xf>
    <xf numFmtId="0" fontId="16" fillId="0" borderId="158" xfId="0" applyFont="1" applyBorder="1" applyAlignment="1">
      <alignment vertical="center"/>
    </xf>
    <xf numFmtId="0" fontId="16" fillId="0" borderId="96" xfId="0" applyFont="1" applyBorder="1" applyAlignment="1">
      <alignment vertical="center"/>
    </xf>
    <xf numFmtId="171" fontId="16" fillId="10" borderId="147" xfId="0" applyNumberFormat="1" applyFont="1" applyFill="1" applyBorder="1" applyAlignment="1">
      <alignment vertical="center"/>
    </xf>
    <xf numFmtId="171" fontId="16" fillId="10" borderId="18" xfId="0" applyNumberFormat="1" applyFont="1" applyFill="1" applyBorder="1" applyAlignment="1">
      <alignment vertical="center"/>
    </xf>
    <xf numFmtId="0" fontId="18" fillId="9" borderId="0" xfId="0" applyFont="1" applyFill="1" applyAlignment="1">
      <alignment vertical="center"/>
    </xf>
    <xf numFmtId="0" fontId="17" fillId="15" borderId="159" xfId="0" applyFont="1" applyFill="1" applyBorder="1" applyAlignment="1">
      <alignment horizontal="center" vertical="center" wrapText="1"/>
    </xf>
    <xf numFmtId="0" fontId="17" fillId="15" borderId="122" xfId="0" applyFont="1" applyFill="1" applyBorder="1" applyAlignment="1">
      <alignment horizontal="center" vertical="center" wrapText="1"/>
    </xf>
    <xf numFmtId="0" fontId="17" fillId="12" borderId="159" xfId="0" applyFont="1" applyFill="1" applyBorder="1" applyAlignment="1">
      <alignment horizontal="center" vertical="center" wrapText="1"/>
    </xf>
    <xf numFmtId="0" fontId="17" fillId="12" borderId="122" xfId="0" applyFont="1" applyFill="1" applyBorder="1" applyAlignment="1">
      <alignment horizontal="center" vertical="center" wrapText="1"/>
    </xf>
    <xf numFmtId="165" fontId="16" fillId="13" borderId="160" xfId="0" applyNumberFormat="1" applyFont="1" applyFill="1" applyBorder="1" applyAlignment="1">
      <alignment vertical="center"/>
    </xf>
    <xf numFmtId="0" fontId="15" fillId="0" borderId="161" xfId="0" applyFont="1" applyBorder="1" applyAlignment="1">
      <alignment vertical="center"/>
    </xf>
    <xf numFmtId="165" fontId="15" fillId="0" borderId="162" xfId="0" applyNumberFormat="1" applyFont="1" applyBorder="1" applyAlignment="1">
      <alignment vertical="center"/>
    </xf>
    <xf numFmtId="0" fontId="15" fillId="0" borderId="90" xfId="0" applyFont="1" applyBorder="1" applyAlignment="1">
      <alignment vertical="center"/>
    </xf>
    <xf numFmtId="0" fontId="15" fillId="0" borderId="141" xfId="0" applyFont="1" applyBorder="1" applyAlignment="1">
      <alignment vertical="center"/>
    </xf>
    <xf numFmtId="0" fontId="15" fillId="0" borderId="138" xfId="0" applyFont="1" applyBorder="1" applyAlignment="1">
      <alignment vertical="center"/>
    </xf>
    <xf numFmtId="165" fontId="16" fillId="12" borderId="160" xfId="0" applyNumberFormat="1" applyFont="1" applyFill="1" applyBorder="1" applyAlignment="1">
      <alignment vertical="center"/>
    </xf>
    <xf numFmtId="165" fontId="16" fillId="12" borderId="165" xfId="0" applyNumberFormat="1" applyFont="1" applyFill="1" applyBorder="1" applyAlignment="1">
      <alignment vertical="center"/>
    </xf>
    <xf numFmtId="0" fontId="17" fillId="10" borderId="166" xfId="0" applyFont="1" applyFill="1" applyBorder="1" applyAlignment="1">
      <alignment horizontal="center" vertical="center" wrapText="1"/>
    </xf>
    <xf numFmtId="0" fontId="17" fillId="10" borderId="127" xfId="0" applyFont="1" applyFill="1" applyBorder="1" applyAlignment="1">
      <alignment horizontal="center" vertical="center" wrapText="1"/>
    </xf>
    <xf numFmtId="171" fontId="16" fillId="10" borderId="164" xfId="0" applyNumberFormat="1" applyFont="1" applyFill="1" applyBorder="1" applyAlignment="1">
      <alignment vertical="center"/>
    </xf>
    <xf numFmtId="0" fontId="17" fillId="15" borderId="168" xfId="0" applyFont="1" applyFill="1" applyBorder="1" applyAlignment="1">
      <alignment horizontal="center" vertical="center" wrapText="1"/>
    </xf>
    <xf numFmtId="0" fontId="17" fillId="15" borderId="169" xfId="0" applyFont="1" applyFill="1" applyBorder="1" applyAlignment="1">
      <alignment horizontal="center" vertical="center" wrapText="1"/>
    </xf>
    <xf numFmtId="0" fontId="17" fillId="15" borderId="170" xfId="0" applyFont="1" applyFill="1" applyBorder="1" applyAlignment="1">
      <alignment horizontal="center" vertical="center" wrapText="1"/>
    </xf>
    <xf numFmtId="0" fontId="17" fillId="15" borderId="75" xfId="0" applyFont="1" applyFill="1" applyBorder="1" applyAlignment="1">
      <alignment horizontal="center" vertical="center" wrapText="1"/>
    </xf>
    <xf numFmtId="0" fontId="17" fillId="15" borderId="76" xfId="0" applyFont="1" applyFill="1" applyBorder="1" applyAlignment="1">
      <alignment horizontal="center" vertical="center" wrapText="1"/>
    </xf>
    <xf numFmtId="8" fontId="15" fillId="0" borderId="73" xfId="0" applyNumberFormat="1" applyFont="1" applyBorder="1"/>
    <xf numFmtId="171" fontId="15" fillId="0" borderId="13" xfId="0" applyNumberFormat="1" applyFont="1" applyBorder="1" applyAlignment="1">
      <alignment vertical="center"/>
    </xf>
    <xf numFmtId="171" fontId="16" fillId="14" borderId="25" xfId="0" applyNumberFormat="1" applyFont="1" applyFill="1" applyBorder="1" applyAlignment="1">
      <alignment vertical="center"/>
    </xf>
    <xf numFmtId="0" fontId="53" fillId="61" borderId="110" xfId="0" applyFont="1" applyFill="1" applyBorder="1" applyAlignment="1">
      <alignment horizontal="center"/>
    </xf>
    <xf numFmtId="0" fontId="53" fillId="61" borderId="154" xfId="0" applyFont="1" applyFill="1" applyBorder="1" applyAlignment="1">
      <alignment horizontal="center"/>
    </xf>
    <xf numFmtId="4" fontId="54" fillId="61" borderId="99" xfId="0" applyNumberFormat="1" applyFont="1" applyFill="1" applyBorder="1" applyAlignment="1">
      <alignment horizontal="center"/>
    </xf>
    <xf numFmtId="4" fontId="54" fillId="61" borderId="156" xfId="0" applyNumberFormat="1" applyFont="1" applyFill="1" applyBorder="1" applyAlignment="1">
      <alignment horizontal="center"/>
    </xf>
    <xf numFmtId="14" fontId="54" fillId="61" borderId="99" xfId="0" applyNumberFormat="1" applyFont="1" applyFill="1" applyBorder="1" applyAlignment="1">
      <alignment horizontal="center"/>
    </xf>
    <xf numFmtId="14" fontId="54" fillId="61" borderId="156" xfId="0" applyNumberFormat="1" applyFont="1" applyFill="1" applyBorder="1" applyAlignment="1">
      <alignment horizontal="center"/>
    </xf>
    <xf numFmtId="0" fontId="54" fillId="61" borderId="99" xfId="0" applyFont="1" applyFill="1" applyBorder="1" applyAlignment="1">
      <alignment horizontal="center"/>
    </xf>
    <xf numFmtId="0" fontId="54" fillId="61" borderId="156" xfId="0" applyFont="1" applyFill="1" applyBorder="1" applyAlignment="1">
      <alignment horizontal="center"/>
    </xf>
    <xf numFmtId="0" fontId="54" fillId="61" borderId="148" xfId="0" applyFont="1" applyFill="1" applyBorder="1" applyAlignment="1">
      <alignment horizontal="center"/>
    </xf>
    <xf numFmtId="0" fontId="54" fillId="61" borderId="152" xfId="0" applyFont="1" applyFill="1" applyBorder="1" applyAlignment="1">
      <alignment horizontal="center"/>
    </xf>
    <xf numFmtId="0" fontId="54" fillId="61" borderId="85" xfId="0" applyFont="1" applyFill="1" applyBorder="1" applyAlignment="1">
      <alignment horizontal="center"/>
    </xf>
    <xf numFmtId="0" fontId="52" fillId="0" borderId="100" xfId="0" applyFont="1" applyBorder="1"/>
    <xf numFmtId="0" fontId="55" fillId="62" borderId="70" xfId="0" applyFont="1" applyFill="1" applyBorder="1"/>
    <xf numFmtId="0" fontId="16" fillId="7" borderId="105" xfId="0" applyFont="1" applyFill="1" applyBorder="1" applyAlignment="1">
      <alignment vertical="center"/>
    </xf>
    <xf numFmtId="0" fontId="16" fillId="7" borderId="153" xfId="0" applyFont="1" applyFill="1" applyBorder="1" applyAlignment="1">
      <alignment vertical="center"/>
    </xf>
    <xf numFmtId="165" fontId="16" fillId="7" borderId="153" xfId="0" applyNumberFormat="1" applyFont="1" applyFill="1" applyBorder="1" applyAlignment="1">
      <alignment vertical="center"/>
    </xf>
    <xf numFmtId="0" fontId="16" fillId="7" borderId="106" xfId="0" applyFont="1" applyFill="1" applyBorder="1" applyAlignment="1">
      <alignment vertical="center"/>
    </xf>
    <xf numFmtId="0" fontId="46" fillId="0" borderId="107" xfId="0" applyFont="1" applyBorder="1"/>
    <xf numFmtId="0" fontId="46" fillId="0" borderId="104" xfId="0" applyFont="1" applyBorder="1"/>
    <xf numFmtId="0" fontId="55" fillId="62" borderId="73" xfId="0" applyFont="1" applyFill="1" applyBorder="1"/>
    <xf numFmtId="8" fontId="46" fillId="0" borderId="104" xfId="0" applyNumberFormat="1" applyFont="1" applyBorder="1" applyAlignment="1">
      <alignment wrapText="1"/>
    </xf>
    <xf numFmtId="165" fontId="15" fillId="0" borderId="18" xfId="0" applyNumberFormat="1" applyFont="1" applyBorder="1" applyAlignment="1">
      <alignment vertical="center"/>
    </xf>
    <xf numFmtId="0" fontId="15" fillId="0" borderId="144" xfId="0" applyFont="1" applyBorder="1" applyAlignment="1">
      <alignment vertical="center"/>
    </xf>
    <xf numFmtId="171" fontId="16" fillId="3" borderId="105" xfId="0" applyNumberFormat="1" applyFont="1" applyFill="1" applyBorder="1" applyAlignment="1">
      <alignment horizontal="center" vertical="center"/>
    </xf>
    <xf numFmtId="171" fontId="16" fillId="3" borderId="106" xfId="0" applyNumberFormat="1" applyFont="1" applyFill="1" applyBorder="1" applyAlignment="1">
      <alignment horizontal="center" vertical="center"/>
    </xf>
    <xf numFmtId="171" fontId="16" fillId="3" borderId="80" xfId="0" applyNumberFormat="1" applyFont="1" applyFill="1" applyBorder="1" applyAlignment="1">
      <alignment horizontal="center" vertical="center"/>
    </xf>
    <xf numFmtId="171" fontId="16" fillId="3" borderId="82" xfId="0" applyNumberFormat="1" applyFont="1" applyFill="1" applyBorder="1" applyAlignment="1">
      <alignment horizontal="center" vertical="center"/>
    </xf>
    <xf numFmtId="0" fontId="4" fillId="62" borderId="0" xfId="0" applyFont="1" applyFill="1" applyAlignment="1">
      <alignment horizontal="left" vertical="center"/>
    </xf>
    <xf numFmtId="0" fontId="38" fillId="62" borderId="0" xfId="0" applyFont="1" applyFill="1" applyAlignment="1">
      <alignment horizontal="center" vertical="center"/>
    </xf>
    <xf numFmtId="0" fontId="38" fillId="62" borderId="0" xfId="0" applyFont="1" applyFill="1" applyAlignment="1">
      <alignment vertical="center"/>
    </xf>
    <xf numFmtId="0" fontId="56" fillId="62" borderId="0" xfId="0" applyFont="1" applyFill="1"/>
    <xf numFmtId="0" fontId="32" fillId="42" borderId="70" xfId="0" applyFont="1" applyFill="1" applyBorder="1" applyAlignment="1">
      <alignment horizontal="center" vertical="center" wrapText="1"/>
    </xf>
    <xf numFmtId="0" fontId="32" fillId="14" borderId="70" xfId="0" applyFont="1" applyFill="1" applyBorder="1" applyAlignment="1">
      <alignment horizontal="center" vertical="center" wrapText="1"/>
    </xf>
    <xf numFmtId="0" fontId="32" fillId="44" borderId="70" xfId="0" applyFont="1" applyFill="1" applyBorder="1" applyAlignment="1">
      <alignment horizontal="center" vertical="center" wrapText="1"/>
    </xf>
    <xf numFmtId="0" fontId="33" fillId="34" borderId="70" xfId="0" applyFont="1" applyFill="1" applyBorder="1" applyAlignment="1">
      <alignment horizontal="center" vertical="center" wrapText="1"/>
    </xf>
    <xf numFmtId="0" fontId="33" fillId="43" borderId="70" xfId="0" applyFont="1" applyFill="1" applyBorder="1" applyAlignment="1">
      <alignment horizontal="center" wrapText="1"/>
    </xf>
    <xf numFmtId="0" fontId="32" fillId="35" borderId="70" xfId="0" applyFont="1" applyFill="1" applyBorder="1" applyAlignment="1">
      <alignment horizontal="center" vertical="center" wrapText="1"/>
    </xf>
    <xf numFmtId="0" fontId="30" fillId="14" borderId="70" xfId="0" applyFont="1" applyFill="1" applyBorder="1" applyAlignment="1">
      <alignment horizontal="center" vertical="center" wrapText="1"/>
    </xf>
    <xf numFmtId="0" fontId="30" fillId="44" borderId="70" xfId="0" applyFont="1" applyFill="1" applyBorder="1" applyAlignment="1">
      <alignment horizontal="center" vertical="center" wrapText="1"/>
    </xf>
    <xf numFmtId="0" fontId="31" fillId="34" borderId="70" xfId="0" applyFont="1" applyFill="1" applyBorder="1" applyAlignment="1">
      <alignment horizontal="center" vertical="center" wrapText="1"/>
    </xf>
    <xf numFmtId="0" fontId="21" fillId="0" borderId="70" xfId="0" applyFont="1" applyBorder="1" applyAlignment="1">
      <alignment wrapText="1"/>
    </xf>
    <xf numFmtId="4" fontId="14" fillId="0" borderId="70" xfId="0" applyNumberFormat="1" applyFont="1" applyBorder="1"/>
    <xf numFmtId="0" fontId="14" fillId="0" borderId="70" xfId="0" applyFont="1" applyBorder="1"/>
    <xf numFmtId="4" fontId="14" fillId="51" borderId="70" xfId="0" applyNumberFormat="1" applyFont="1" applyFill="1" applyBorder="1"/>
    <xf numFmtId="0" fontId="14" fillId="64" borderId="70" xfId="0" applyFont="1" applyFill="1" applyBorder="1"/>
    <xf numFmtId="0" fontId="48" fillId="52" borderId="70" xfId="0" applyFont="1" applyFill="1" applyBorder="1"/>
    <xf numFmtId="0" fontId="21" fillId="0" borderId="70" xfId="0" applyFont="1" applyBorder="1"/>
    <xf numFmtId="0" fontId="14" fillId="52" borderId="70" xfId="0" applyFont="1" applyFill="1" applyBorder="1"/>
    <xf numFmtId="0" fontId="20" fillId="0" borderId="70" xfId="0" applyFont="1" applyBorder="1"/>
    <xf numFmtId="0" fontId="49" fillId="0" borderId="70" xfId="0" applyFont="1" applyBorder="1"/>
    <xf numFmtId="0" fontId="50" fillId="0" borderId="70" xfId="0" applyFont="1" applyBorder="1"/>
    <xf numFmtId="0" fontId="21" fillId="53" borderId="70" xfId="0" applyFont="1" applyFill="1" applyBorder="1"/>
    <xf numFmtId="0" fontId="14" fillId="53" borderId="70" xfId="0" applyFont="1" applyFill="1" applyBorder="1"/>
    <xf numFmtId="4" fontId="14" fillId="53" borderId="70" xfId="0" applyNumberFormat="1" applyFont="1" applyFill="1" applyBorder="1"/>
    <xf numFmtId="0" fontId="21" fillId="54" borderId="70" xfId="0" applyFont="1" applyFill="1" applyBorder="1"/>
    <xf numFmtId="4" fontId="14" fillId="54" borderId="70" xfId="0" applyNumberFormat="1" applyFont="1" applyFill="1" applyBorder="1"/>
    <xf numFmtId="0" fontId="14" fillId="54" borderId="70" xfId="0" applyFont="1" applyFill="1" applyBorder="1"/>
    <xf numFmtId="4" fontId="8" fillId="0" borderId="70" xfId="0" applyNumberFormat="1" applyFont="1" applyBorder="1"/>
    <xf numFmtId="0" fontId="8" fillId="0" borderId="70" xfId="0" applyFont="1" applyBorder="1"/>
    <xf numFmtId="0" fontId="44" fillId="55" borderId="70" xfId="0" applyFont="1" applyFill="1" applyBorder="1"/>
    <xf numFmtId="4" fontId="8" fillId="55" borderId="70" xfId="0" applyNumberFormat="1" applyFont="1" applyFill="1" applyBorder="1"/>
    <xf numFmtId="0" fontId="30" fillId="56" borderId="70" xfId="0" applyFont="1" applyFill="1" applyBorder="1"/>
    <xf numFmtId="4" fontId="30" fillId="57" borderId="70" xfId="0" applyNumberFormat="1" applyFont="1" applyFill="1" applyBorder="1"/>
    <xf numFmtId="4" fontId="30" fillId="63" borderId="70" xfId="0" applyNumberFormat="1" applyFont="1" applyFill="1" applyBorder="1"/>
    <xf numFmtId="4" fontId="30" fillId="65" borderId="70" xfId="0" applyNumberFormat="1" applyFont="1" applyFill="1" applyBorder="1"/>
    <xf numFmtId="4" fontId="30" fillId="66" borderId="70" xfId="0" applyNumberFormat="1" applyFont="1" applyFill="1" applyBorder="1"/>
    <xf numFmtId="2" fontId="14" fillId="63" borderId="70" xfId="0" applyNumberFormat="1" applyFont="1" applyFill="1" applyBorder="1"/>
    <xf numFmtId="0" fontId="15" fillId="0" borderId="173" xfId="0" applyFont="1" applyBorder="1"/>
    <xf numFmtId="8" fontId="15" fillId="0" borderId="78" xfId="0" applyNumberFormat="1" applyFont="1" applyBorder="1"/>
    <xf numFmtId="0" fontId="20" fillId="26" borderId="38" xfId="3" applyNumberFormat="1" applyFont="1" applyFill="1" applyBorder="1" applyAlignment="1" applyProtection="1">
      <alignment horizontal="center" vertical="center"/>
    </xf>
    <xf numFmtId="0" fontId="58" fillId="39" borderId="2" xfId="0" applyFont="1" applyFill="1" applyBorder="1" applyAlignment="1" applyProtection="1">
      <alignment horizontal="left" vertical="center" wrapText="1"/>
      <protection locked="0"/>
    </xf>
    <xf numFmtId="0" fontId="58" fillId="40" borderId="60" xfId="0" applyFont="1" applyFill="1" applyBorder="1" applyAlignment="1" applyProtection="1">
      <alignment horizontal="left" vertical="center"/>
      <protection locked="0"/>
    </xf>
    <xf numFmtId="167" fontId="6" fillId="18" borderId="101" xfId="0" applyNumberFormat="1" applyFont="1" applyFill="1" applyBorder="1" applyAlignment="1">
      <alignment horizontal="center" vertical="center"/>
    </xf>
    <xf numFmtId="173" fontId="3" fillId="18" borderId="102" xfId="1" applyNumberFormat="1" applyFont="1" applyFill="1" applyBorder="1" applyAlignment="1">
      <alignment horizontal="center" vertical="center"/>
    </xf>
    <xf numFmtId="167" fontId="3" fillId="18" borderId="102" xfId="0" applyNumberFormat="1" applyFont="1" applyFill="1" applyBorder="1" applyAlignment="1">
      <alignment horizontal="center" vertical="center"/>
    </xf>
    <xf numFmtId="167" fontId="3" fillId="18" borderId="174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 wrapText="1"/>
    </xf>
    <xf numFmtId="2" fontId="30" fillId="56" borderId="70" xfId="0" applyNumberFormat="1" applyFont="1" applyFill="1" applyBorder="1"/>
    <xf numFmtId="4" fontId="30" fillId="57" borderId="73" xfId="0" applyNumberFormat="1" applyFont="1" applyFill="1" applyBorder="1"/>
    <xf numFmtId="4" fontId="30" fillId="49" borderId="73" xfId="0" applyNumberFormat="1" applyFont="1" applyFill="1" applyBorder="1"/>
    <xf numFmtId="0" fontId="2" fillId="50" borderId="70" xfId="0" applyFont="1" applyFill="1" applyBorder="1" applyAlignment="1">
      <alignment horizontal="right"/>
    </xf>
    <xf numFmtId="2" fontId="20" fillId="50" borderId="70" xfId="0" applyNumberFormat="1" applyFont="1" applyFill="1" applyBorder="1" applyAlignment="1">
      <alignment horizontal="left"/>
    </xf>
    <xf numFmtId="2" fontId="21" fillId="50" borderId="70" xfId="0" applyNumberFormat="1" applyFont="1" applyFill="1" applyBorder="1" applyAlignment="1">
      <alignment horizontal="right"/>
    </xf>
    <xf numFmtId="0" fontId="2" fillId="50" borderId="70" xfId="0" applyFont="1" applyFill="1" applyBorder="1"/>
    <xf numFmtId="2" fontId="20" fillId="50" borderId="70" xfId="0" applyNumberFormat="1" applyFont="1" applyFill="1" applyBorder="1" applyAlignment="1">
      <alignment horizontal="center"/>
    </xf>
    <xf numFmtId="2" fontId="57" fillId="68" borderId="70" xfId="0" applyNumberFormat="1" applyFont="1" applyFill="1" applyBorder="1"/>
    <xf numFmtId="0" fontId="55" fillId="67" borderId="70" xfId="0" applyFont="1" applyFill="1" applyBorder="1"/>
    <xf numFmtId="0" fontId="21" fillId="0" borderId="73" xfId="0" applyFont="1" applyBorder="1" applyAlignment="1">
      <alignment horizontal="center" vertical="center"/>
    </xf>
    <xf numFmtId="0" fontId="30" fillId="56" borderId="71" xfId="0" applyFont="1" applyFill="1" applyBorder="1"/>
    <xf numFmtId="2" fontId="14" fillId="63" borderId="73" xfId="0" applyNumberFormat="1" applyFont="1" applyFill="1" applyBorder="1"/>
    <xf numFmtId="4" fontId="14" fillId="51" borderId="73" xfId="0" applyNumberFormat="1" applyFont="1" applyFill="1" applyBorder="1"/>
    <xf numFmtId="0" fontId="14" fillId="64" borderId="73" xfId="0" applyFont="1" applyFill="1" applyBorder="1"/>
    <xf numFmtId="0" fontId="14" fillId="52" borderId="73" xfId="0" applyFont="1" applyFill="1" applyBorder="1"/>
    <xf numFmtId="2" fontId="30" fillId="56" borderId="71" xfId="0" applyNumberFormat="1" applyFont="1" applyFill="1" applyBorder="1"/>
    <xf numFmtId="4" fontId="30" fillId="57" borderId="98" xfId="0" applyNumberFormat="1" applyFont="1" applyFill="1" applyBorder="1"/>
    <xf numFmtId="168" fontId="14" fillId="0" borderId="70" xfId="1" applyFont="1" applyBorder="1" applyAlignment="1">
      <alignment horizontal="center" vertical="center"/>
    </xf>
    <xf numFmtId="168" fontId="14" fillId="69" borderId="73" xfId="1" applyFont="1" applyFill="1" applyBorder="1" applyAlignment="1">
      <alignment horizontal="center" vertical="center"/>
    </xf>
    <xf numFmtId="168" fontId="14" fillId="0" borderId="73" xfId="1" applyFont="1" applyBorder="1" applyAlignment="1">
      <alignment horizontal="center" vertical="center"/>
    </xf>
    <xf numFmtId="168" fontId="14" fillId="70" borderId="77" xfId="1" applyFont="1" applyFill="1" applyBorder="1" applyAlignment="1">
      <alignment horizontal="center" vertical="center"/>
    </xf>
    <xf numFmtId="168" fontId="14" fillId="70" borderId="70" xfId="1" applyFont="1" applyFill="1" applyBorder="1" applyAlignment="1">
      <alignment horizontal="center" vertical="center"/>
    </xf>
    <xf numFmtId="9" fontId="24" fillId="9" borderId="3" xfId="2" applyFont="1" applyFill="1" applyBorder="1" applyAlignment="1" applyProtection="1">
      <alignment vertical="center"/>
    </xf>
    <xf numFmtId="168" fontId="8" fillId="0" borderId="175" xfId="1" applyFont="1" applyBorder="1" applyAlignment="1">
      <alignment horizontal="center" vertical="center"/>
    </xf>
    <xf numFmtId="168" fontId="8" fillId="0" borderId="145" xfId="1" applyFont="1" applyBorder="1" applyAlignment="1">
      <alignment horizontal="center" vertical="center"/>
    </xf>
    <xf numFmtId="168" fontId="8" fillId="0" borderId="176" xfId="1" applyFont="1" applyBorder="1" applyAlignment="1">
      <alignment horizontal="center" vertical="center"/>
    </xf>
    <xf numFmtId="0" fontId="59" fillId="73" borderId="80" xfId="0" applyFont="1" applyFill="1" applyBorder="1" applyAlignment="1">
      <alignment horizontal="center" vertical="center" wrapText="1"/>
    </xf>
    <xf numFmtId="0" fontId="59" fillId="73" borderId="179" xfId="0" applyFont="1" applyFill="1" applyBorder="1" applyAlignment="1">
      <alignment horizontal="center" vertical="center" wrapText="1"/>
    </xf>
    <xf numFmtId="0" fontId="59" fillId="74" borderId="81" xfId="0" applyFont="1" applyFill="1" applyBorder="1" applyAlignment="1">
      <alignment horizontal="center" vertical="center" wrapText="1"/>
    </xf>
    <xf numFmtId="0" fontId="59" fillId="74" borderId="80" xfId="0" applyFont="1" applyFill="1" applyBorder="1" applyAlignment="1">
      <alignment horizontal="center" vertical="center" wrapText="1"/>
    </xf>
    <xf numFmtId="0" fontId="21" fillId="0" borderId="156" xfId="0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155" xfId="0" applyFont="1" applyBorder="1" applyAlignment="1">
      <alignment horizontal="center" vertical="center"/>
    </xf>
    <xf numFmtId="2" fontId="30" fillId="56" borderId="91" xfId="0" applyNumberFormat="1" applyFont="1" applyFill="1" applyBorder="1" applyAlignment="1">
      <alignment horizontal="center"/>
    </xf>
    <xf numFmtId="2" fontId="30" fillId="56" borderId="180" xfId="0" applyNumberFormat="1" applyFont="1" applyFill="1" applyBorder="1" applyAlignment="1">
      <alignment horizontal="center"/>
    </xf>
    <xf numFmtId="2" fontId="30" fillId="56" borderId="90" xfId="0" applyNumberFormat="1" applyFont="1" applyFill="1" applyBorder="1" applyAlignment="1">
      <alignment horizontal="center"/>
    </xf>
    <xf numFmtId="2" fontId="30" fillId="56" borderId="3" xfId="0" applyNumberFormat="1" applyFont="1" applyFill="1" applyBorder="1" applyAlignment="1">
      <alignment horizontal="center"/>
    </xf>
    <xf numFmtId="2" fontId="30" fillId="56" borderId="131" xfId="0" applyNumberFormat="1" applyFont="1" applyFill="1" applyBorder="1" applyAlignment="1">
      <alignment horizontal="center"/>
    </xf>
    <xf numFmtId="2" fontId="30" fillId="56" borderId="181" xfId="0" applyNumberFormat="1" applyFont="1" applyFill="1" applyBorder="1" applyAlignment="1">
      <alignment horizontal="center"/>
    </xf>
    <xf numFmtId="2" fontId="30" fillId="56" borderId="92" xfId="0" applyNumberFormat="1" applyFont="1" applyFill="1" applyBorder="1" applyAlignment="1">
      <alignment horizontal="center"/>
    </xf>
    <xf numFmtId="2" fontId="30" fillId="56" borderId="182" xfId="0" applyNumberFormat="1" applyFont="1" applyFill="1" applyBorder="1" applyAlignment="1">
      <alignment horizontal="center"/>
    </xf>
    <xf numFmtId="2" fontId="30" fillId="56" borderId="183" xfId="0" applyNumberFormat="1" applyFont="1" applyFill="1" applyBorder="1" applyAlignment="1">
      <alignment horizontal="center"/>
    </xf>
    <xf numFmtId="2" fontId="30" fillId="56" borderId="93" xfId="0" applyNumberFormat="1" applyFont="1" applyFill="1" applyBorder="1" applyAlignment="1">
      <alignment horizontal="center"/>
    </xf>
    <xf numFmtId="165" fontId="14" fillId="0" borderId="70" xfId="1" applyNumberFormat="1" applyFont="1" applyBorder="1" applyAlignment="1">
      <alignment horizontal="center" vertical="center"/>
    </xf>
    <xf numFmtId="172" fontId="14" fillId="0" borderId="70" xfId="0" applyNumberFormat="1" applyFont="1" applyBorder="1" applyAlignment="1">
      <alignment horizontal="center" vertical="center"/>
    </xf>
    <xf numFmtId="168" fontId="35" fillId="29" borderId="10" xfId="1" applyFont="1" applyFill="1" applyBorder="1" applyAlignment="1">
      <alignment horizontal="center" vertical="center"/>
    </xf>
    <xf numFmtId="165" fontId="35" fillId="29" borderId="10" xfId="1" applyNumberFormat="1" applyFont="1" applyFill="1" applyBorder="1" applyAlignment="1">
      <alignment horizontal="center" vertical="center"/>
    </xf>
    <xf numFmtId="168" fontId="35" fillId="29" borderId="49" xfId="1" applyFont="1" applyFill="1" applyBorder="1" applyAlignment="1">
      <alignment horizontal="center" vertical="center"/>
    </xf>
    <xf numFmtId="172" fontId="35" fillId="29" borderId="184" xfId="1" applyNumberFormat="1" applyFont="1" applyFill="1" applyBorder="1" applyAlignment="1">
      <alignment horizontal="center" vertical="center"/>
    </xf>
    <xf numFmtId="168" fontId="35" fillId="29" borderId="15" xfId="1" applyFont="1" applyFill="1" applyBorder="1" applyAlignment="1">
      <alignment horizontal="center" vertical="center"/>
    </xf>
    <xf numFmtId="172" fontId="35" fillId="29" borderId="16" xfId="1" applyNumberFormat="1" applyFont="1" applyFill="1" applyBorder="1" applyAlignment="1">
      <alignment horizontal="center" vertical="center"/>
    </xf>
    <xf numFmtId="176" fontId="14" fillId="0" borderId="70" xfId="0" applyNumberFormat="1" applyFont="1" applyBorder="1" applyAlignment="1">
      <alignment horizontal="center" vertical="center"/>
    </xf>
    <xf numFmtId="172" fontId="14" fillId="0" borderId="71" xfId="0" applyNumberFormat="1" applyFont="1" applyBorder="1" applyAlignment="1">
      <alignment horizontal="center" vertical="center"/>
    </xf>
    <xf numFmtId="172" fontId="32" fillId="30" borderId="2" xfId="0" applyNumberFormat="1" applyFont="1" applyFill="1" applyBorder="1" applyAlignment="1">
      <alignment horizontal="center" vertical="center" wrapText="1"/>
    </xf>
    <xf numFmtId="172" fontId="32" fillId="30" borderId="60" xfId="0" applyNumberFormat="1" applyFont="1" applyFill="1" applyBorder="1" applyAlignment="1">
      <alignment horizontal="center" vertical="center" wrapText="1"/>
    </xf>
    <xf numFmtId="168" fontId="35" fillId="29" borderId="185" xfId="1" applyFont="1" applyFill="1" applyBorder="1" applyAlignment="1">
      <alignment horizontal="center" vertical="center"/>
    </xf>
    <xf numFmtId="4" fontId="35" fillId="29" borderId="15" xfId="1" applyNumberFormat="1" applyFont="1" applyFill="1" applyBorder="1" applyAlignment="1">
      <alignment horizontal="center" vertical="center"/>
    </xf>
    <xf numFmtId="4" fontId="35" fillId="29" borderId="16" xfId="1" applyNumberFormat="1" applyFont="1" applyFill="1" applyBorder="1" applyAlignment="1">
      <alignment horizontal="center" vertical="center"/>
    </xf>
    <xf numFmtId="168" fontId="35" fillId="29" borderId="112" xfId="1" applyFont="1" applyFill="1" applyBorder="1" applyAlignment="1">
      <alignment horizontal="center" vertical="center"/>
    </xf>
    <xf numFmtId="168" fontId="21" fillId="0" borderId="70" xfId="1" applyFont="1" applyBorder="1" applyAlignment="1">
      <alignment horizontal="center" vertical="center"/>
    </xf>
    <xf numFmtId="168" fontId="61" fillId="73" borderId="70" xfId="1" applyFont="1" applyFill="1" applyBorder="1" applyAlignment="1">
      <alignment horizontal="center" vertical="center"/>
    </xf>
    <xf numFmtId="168" fontId="61" fillId="74" borderId="70" xfId="1" applyFont="1" applyFill="1" applyBorder="1" applyAlignment="1">
      <alignment horizontal="center" vertical="center"/>
    </xf>
    <xf numFmtId="0" fontId="30" fillId="14" borderId="73" xfId="0" applyFont="1" applyFill="1" applyBorder="1" applyAlignment="1">
      <alignment horizontal="center" vertical="center" wrapText="1"/>
    </xf>
    <xf numFmtId="0" fontId="30" fillId="44" borderId="73" xfId="0" applyFont="1" applyFill="1" applyBorder="1" applyAlignment="1">
      <alignment horizontal="center" vertical="center" wrapText="1"/>
    </xf>
    <xf numFmtId="0" fontId="31" fillId="34" borderId="73" xfId="0" applyFont="1" applyFill="1" applyBorder="1" applyAlignment="1">
      <alignment horizontal="center" vertical="center" wrapText="1"/>
    </xf>
    <xf numFmtId="0" fontId="33" fillId="43" borderId="73" xfId="0" applyFont="1" applyFill="1" applyBorder="1" applyAlignment="1">
      <alignment horizontal="center" wrapText="1"/>
    </xf>
    <xf numFmtId="0" fontId="44" fillId="55" borderId="85" xfId="0" applyFont="1" applyFill="1" applyBorder="1" applyAlignment="1">
      <alignment horizontal="center" vertical="center"/>
    </xf>
    <xf numFmtId="168" fontId="8" fillId="55" borderId="186" xfId="1" applyFont="1" applyFill="1" applyBorder="1" applyAlignment="1">
      <alignment horizontal="center" vertical="center"/>
    </xf>
    <xf numFmtId="168" fontId="8" fillId="55" borderId="187" xfId="1" applyFont="1" applyFill="1" applyBorder="1" applyAlignment="1">
      <alignment horizontal="center" vertical="center"/>
    </xf>
    <xf numFmtId="168" fontId="8" fillId="55" borderId="188" xfId="1" applyFont="1" applyFill="1" applyBorder="1" applyAlignment="1">
      <alignment horizontal="center" vertical="center"/>
    </xf>
    <xf numFmtId="168" fontId="62" fillId="73" borderId="86" xfId="1" applyFont="1" applyFill="1" applyBorder="1" applyAlignment="1">
      <alignment horizontal="center" vertical="center"/>
    </xf>
    <xf numFmtId="168" fontId="62" fillId="73" borderId="85" xfId="1" applyFont="1" applyFill="1" applyBorder="1" applyAlignment="1">
      <alignment horizontal="center" vertical="center"/>
    </xf>
    <xf numFmtId="168" fontId="62" fillId="73" borderId="146" xfId="1" applyFont="1" applyFill="1" applyBorder="1" applyAlignment="1">
      <alignment horizontal="center" vertical="center"/>
    </xf>
    <xf numFmtId="168" fontId="62" fillId="49" borderId="146" xfId="1" applyFont="1" applyFill="1" applyBorder="1" applyAlignment="1">
      <alignment horizontal="center" vertical="center"/>
    </xf>
    <xf numFmtId="4" fontId="30" fillId="57" borderId="77" xfId="0" applyNumberFormat="1" applyFont="1" applyFill="1" applyBorder="1"/>
    <xf numFmtId="4" fontId="30" fillId="63" borderId="77" xfId="0" applyNumberFormat="1" applyFont="1" applyFill="1" applyBorder="1"/>
    <xf numFmtId="4" fontId="30" fillId="65" borderId="77" xfId="0" applyNumberFormat="1" applyFont="1" applyFill="1" applyBorder="1"/>
    <xf numFmtId="4" fontId="30" fillId="66" borderId="77" xfId="0" applyNumberFormat="1" applyFont="1" applyFill="1" applyBorder="1"/>
    <xf numFmtId="168" fontId="14" fillId="0" borderId="189" xfId="1" applyFont="1" applyBorder="1" applyAlignment="1">
      <alignment horizontal="center" vertical="center"/>
    </xf>
    <xf numFmtId="168" fontId="21" fillId="0" borderId="189" xfId="1" applyFont="1" applyBorder="1" applyAlignment="1">
      <alignment horizontal="center" vertical="center"/>
    </xf>
    <xf numFmtId="168" fontId="61" fillId="73" borderId="189" xfId="1" applyFont="1" applyFill="1" applyBorder="1" applyAlignment="1">
      <alignment horizontal="center" vertical="center"/>
    </xf>
    <xf numFmtId="168" fontId="61" fillId="74" borderId="189" xfId="1" applyFont="1" applyFill="1" applyBorder="1" applyAlignment="1">
      <alignment horizontal="center" vertical="center"/>
    </xf>
    <xf numFmtId="2" fontId="14" fillId="63" borderId="189" xfId="0" applyNumberFormat="1" applyFont="1" applyFill="1" applyBorder="1"/>
    <xf numFmtId="4" fontId="14" fillId="51" borderId="189" xfId="0" applyNumberFormat="1" applyFont="1" applyFill="1" applyBorder="1"/>
    <xf numFmtId="0" fontId="14" fillId="64" borderId="189" xfId="0" applyFont="1" applyFill="1" applyBorder="1"/>
    <xf numFmtId="0" fontId="48" fillId="52" borderId="113" xfId="0" applyFont="1" applyFill="1" applyBorder="1"/>
    <xf numFmtId="0" fontId="14" fillId="52" borderId="114" xfId="0" applyFont="1" applyFill="1" applyBorder="1"/>
    <xf numFmtId="168" fontId="14" fillId="0" borderId="74" xfId="1" applyFont="1" applyBorder="1" applyAlignment="1">
      <alignment horizontal="center" vertical="center"/>
    </xf>
    <xf numFmtId="168" fontId="21" fillId="0" borderId="74" xfId="1" applyFont="1" applyBorder="1" applyAlignment="1">
      <alignment horizontal="center" vertical="center"/>
    </xf>
    <xf numFmtId="168" fontId="61" fillId="73" borderId="74" xfId="1" applyFont="1" applyFill="1" applyBorder="1" applyAlignment="1">
      <alignment horizontal="center" vertical="center"/>
    </xf>
    <xf numFmtId="168" fontId="61" fillId="74" borderId="74" xfId="1" applyFont="1" applyFill="1" applyBorder="1" applyAlignment="1">
      <alignment horizontal="center" vertical="center"/>
    </xf>
    <xf numFmtId="2" fontId="14" fillId="63" borderId="74" xfId="0" applyNumberFormat="1" applyFont="1" applyFill="1" applyBorder="1"/>
    <xf numFmtId="4" fontId="14" fillId="51" borderId="74" xfId="0" applyNumberFormat="1" applyFont="1" applyFill="1" applyBorder="1"/>
    <xf numFmtId="0" fontId="14" fillId="64" borderId="74" xfId="0" applyFont="1" applyFill="1" applyBorder="1"/>
    <xf numFmtId="0" fontId="14" fillId="52" borderId="115" xfId="0" applyFont="1" applyFill="1" applyBorder="1"/>
    <xf numFmtId="10" fontId="24" fillId="46" borderId="61" xfId="2" applyNumberFormat="1" applyFont="1" applyFill="1" applyBorder="1" applyAlignment="1" applyProtection="1">
      <alignment horizontal="right" vertical="center" wrapText="1"/>
    </xf>
    <xf numFmtId="0" fontId="59" fillId="73" borderId="81" xfId="0" applyFont="1" applyFill="1" applyBorder="1" applyAlignment="1">
      <alignment horizontal="center" vertical="center" wrapText="1"/>
    </xf>
    <xf numFmtId="183" fontId="14" fillId="0" borderId="0" xfId="0" applyNumberFormat="1" applyFont="1" applyAlignment="1">
      <alignment horizontal="center" vertical="center"/>
    </xf>
    <xf numFmtId="169" fontId="63" fillId="9" borderId="62" xfId="0" applyNumberFormat="1" applyFont="1" applyFill="1" applyBorder="1" applyAlignment="1">
      <alignment vertical="center"/>
    </xf>
    <xf numFmtId="168" fontId="21" fillId="36" borderId="70" xfId="1" applyFont="1" applyFill="1" applyBorder="1" applyAlignment="1">
      <alignment horizontal="center" vertical="center"/>
    </xf>
    <xf numFmtId="172" fontId="21" fillId="35" borderId="71" xfId="1" applyNumberFormat="1" applyFont="1" applyFill="1" applyBorder="1" applyAlignment="1">
      <alignment horizontal="center" vertical="center"/>
    </xf>
    <xf numFmtId="172" fontId="35" fillId="29" borderId="185" xfId="1" applyNumberFormat="1" applyFont="1" applyFill="1" applyBorder="1" applyAlignment="1">
      <alignment horizontal="center" vertical="center"/>
    </xf>
    <xf numFmtId="0" fontId="58" fillId="39" borderId="190" xfId="0" applyFont="1" applyFill="1" applyBorder="1" applyAlignment="1" applyProtection="1">
      <alignment horizontal="left" vertical="center" wrapText="1"/>
      <protection locked="0"/>
    </xf>
    <xf numFmtId="0" fontId="58" fillId="39" borderId="191" xfId="0" applyFont="1" applyFill="1" applyBorder="1" applyAlignment="1" applyProtection="1">
      <alignment horizontal="left" vertical="center" wrapText="1"/>
      <protection locked="0"/>
    </xf>
    <xf numFmtId="10" fontId="21" fillId="39" borderId="191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189" xfId="1" applyNumberFormat="1" applyFont="1" applyBorder="1" applyAlignment="1">
      <alignment horizontal="center" vertical="center"/>
    </xf>
    <xf numFmtId="172" fontId="14" fillId="0" borderId="189" xfId="0" applyNumberFormat="1" applyFont="1" applyBorder="1" applyAlignment="1">
      <alignment horizontal="center" vertical="center"/>
    </xf>
    <xf numFmtId="172" fontId="14" fillId="0" borderId="192" xfId="0" applyNumberFormat="1" applyFont="1" applyBorder="1" applyAlignment="1">
      <alignment horizontal="center" vertical="center"/>
    </xf>
    <xf numFmtId="176" fontId="14" fillId="0" borderId="189" xfId="0" applyNumberFormat="1" applyFont="1" applyBorder="1" applyAlignment="1">
      <alignment horizontal="center" vertical="center"/>
    </xf>
    <xf numFmtId="172" fontId="32" fillId="30" borderId="191" xfId="0" applyNumberFormat="1" applyFont="1" applyFill="1" applyBorder="1" applyAlignment="1">
      <alignment horizontal="center" vertical="center" wrapText="1"/>
    </xf>
    <xf numFmtId="172" fontId="21" fillId="35" borderId="192" xfId="1" applyNumberFormat="1" applyFont="1" applyFill="1" applyBorder="1" applyAlignment="1">
      <alignment horizontal="center" vertical="center"/>
    </xf>
    <xf numFmtId="168" fontId="21" fillId="36" borderId="189" xfId="1" applyFont="1" applyFill="1" applyBorder="1" applyAlignment="1">
      <alignment horizontal="center" vertical="center"/>
    </xf>
    <xf numFmtId="172" fontId="21" fillId="38" borderId="89" xfId="1" applyNumberFormat="1" applyFont="1" applyFill="1" applyBorder="1" applyAlignment="1">
      <alignment horizontal="center" vertical="center"/>
    </xf>
    <xf numFmtId="0" fontId="58" fillId="40" borderId="180" xfId="0" applyFont="1" applyFill="1" applyBorder="1" applyAlignment="1" applyProtection="1">
      <alignment horizontal="left" vertical="center"/>
      <protection locked="0"/>
    </xf>
    <xf numFmtId="172" fontId="21" fillId="38" borderId="91" xfId="1" applyNumberFormat="1" applyFont="1" applyFill="1" applyBorder="1" applyAlignment="1">
      <alignment horizontal="center" vertical="center"/>
    </xf>
    <xf numFmtId="172" fontId="35" fillId="29" borderId="193" xfId="1" applyNumberFormat="1" applyFont="1" applyFill="1" applyBorder="1" applyAlignment="1">
      <alignment horizontal="center" vertical="center"/>
    </xf>
    <xf numFmtId="0" fontId="8" fillId="0" borderId="194" xfId="0" applyFont="1" applyBorder="1" applyAlignment="1" applyProtection="1">
      <alignment horizontal="left" vertical="center"/>
      <protection locked="0"/>
    </xf>
    <xf numFmtId="0" fontId="14" fillId="0" borderId="180" xfId="0" applyFont="1" applyBorder="1" applyAlignment="1" applyProtection="1">
      <alignment horizontal="left" vertical="center"/>
      <protection locked="0"/>
    </xf>
    <xf numFmtId="0" fontId="14" fillId="0" borderId="132" xfId="0" applyFont="1" applyBorder="1" applyAlignment="1" applyProtection="1">
      <alignment horizontal="left" vertical="center"/>
      <protection locked="0"/>
    </xf>
    <xf numFmtId="168" fontId="14" fillId="0" borderId="161" xfId="1" applyFont="1" applyBorder="1" applyAlignment="1">
      <alignment horizontal="center" vertical="center"/>
    </xf>
    <xf numFmtId="168" fontId="14" fillId="0" borderId="7" xfId="1" applyFont="1" applyBorder="1" applyAlignment="1">
      <alignment horizontal="center" vertical="center"/>
    </xf>
    <xf numFmtId="168" fontId="14" fillId="0" borderId="90" xfId="1" applyFont="1" applyBorder="1" applyAlignment="1">
      <alignment horizontal="center" vertical="center"/>
    </xf>
    <xf numFmtId="168" fontId="14" fillId="0" borderId="3" xfId="1" applyFont="1" applyBorder="1" applyAlignment="1">
      <alignment horizontal="center" vertical="center"/>
    </xf>
    <xf numFmtId="168" fontId="14" fillId="0" borderId="141" xfId="1" applyFont="1" applyBorder="1" applyAlignment="1">
      <alignment horizontal="center" vertical="center"/>
    </xf>
    <xf numFmtId="168" fontId="14" fillId="0" borderId="11" xfId="1" applyFont="1" applyBorder="1" applyAlignment="1">
      <alignment horizontal="center" vertical="center"/>
    </xf>
    <xf numFmtId="168" fontId="61" fillId="73" borderId="77" xfId="1" applyFont="1" applyFill="1" applyBorder="1" applyAlignment="1">
      <alignment horizontal="center" vertical="center"/>
    </xf>
    <xf numFmtId="0" fontId="14" fillId="0" borderId="70" xfId="0" applyFont="1" applyBorder="1" applyAlignment="1" applyProtection="1">
      <alignment horizontal="left" vertical="center"/>
      <protection locked="0"/>
    </xf>
    <xf numFmtId="169" fontId="51" fillId="0" borderId="70" xfId="1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/>
    </xf>
    <xf numFmtId="0" fontId="0" fillId="0" borderId="70" xfId="0" applyBorder="1"/>
    <xf numFmtId="184" fontId="3" fillId="0" borderId="70" xfId="1" applyNumberFormat="1" applyFont="1" applyBorder="1" applyAlignment="1">
      <alignment horizontal="center" vertical="center"/>
    </xf>
    <xf numFmtId="0" fontId="6" fillId="6" borderId="70" xfId="0" applyFont="1" applyFill="1" applyBorder="1" applyAlignment="1">
      <alignment horizontal="center"/>
    </xf>
    <xf numFmtId="0" fontId="0" fillId="6" borderId="70" xfId="0" applyFill="1" applyBorder="1"/>
    <xf numFmtId="185" fontId="3" fillId="6" borderId="70" xfId="1" applyNumberFormat="1" applyFont="1" applyFill="1" applyBorder="1" applyAlignment="1">
      <alignment horizontal="center" vertical="center"/>
    </xf>
    <xf numFmtId="0" fontId="8" fillId="5" borderId="70" xfId="0" applyFont="1" applyFill="1" applyBorder="1" applyAlignment="1" applyProtection="1">
      <alignment horizontal="center" vertical="center"/>
      <protection locked="0"/>
    </xf>
    <xf numFmtId="0" fontId="9" fillId="4" borderId="70" xfId="0" applyFont="1" applyFill="1" applyBorder="1" applyAlignment="1">
      <alignment horizontal="center" vertical="center" wrapText="1"/>
    </xf>
    <xf numFmtId="169" fontId="60" fillId="0" borderId="70" xfId="1" applyNumberFormat="1" applyFont="1" applyBorder="1" applyAlignment="1">
      <alignment horizontal="center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51" fillId="0" borderId="70" xfId="0" applyFont="1" applyBorder="1"/>
    <xf numFmtId="185" fontId="3" fillId="0" borderId="70" xfId="1" applyNumberFormat="1" applyFont="1" applyBorder="1" applyAlignment="1">
      <alignment horizontal="center" vertical="center"/>
    </xf>
    <xf numFmtId="170" fontId="3" fillId="6" borderId="70" xfId="1" applyNumberFormat="1" applyFont="1" applyFill="1" applyBorder="1" applyAlignment="1">
      <alignment horizontal="center" vertical="center"/>
    </xf>
    <xf numFmtId="168" fontId="35" fillId="29" borderId="198" xfId="1" applyFont="1" applyFill="1" applyBorder="1" applyAlignment="1">
      <alignment horizontal="center" vertical="center"/>
    </xf>
    <xf numFmtId="165" fontId="35" fillId="29" borderId="198" xfId="1" applyNumberFormat="1" applyFont="1" applyFill="1" applyBorder="1" applyAlignment="1">
      <alignment horizontal="center" vertical="center"/>
    </xf>
    <xf numFmtId="168" fontId="35" fillId="29" borderId="169" xfId="1" applyFont="1" applyFill="1" applyBorder="1" applyAlignment="1">
      <alignment horizontal="center" vertical="center"/>
    </xf>
    <xf numFmtId="172" fontId="35" fillId="29" borderId="170" xfId="1" applyNumberFormat="1" applyFont="1" applyFill="1" applyBorder="1" applyAlignment="1">
      <alignment horizontal="center" vertical="center"/>
    </xf>
    <xf numFmtId="4" fontId="35" fillId="29" borderId="169" xfId="1" applyNumberFormat="1" applyFont="1" applyFill="1" applyBorder="1" applyAlignment="1">
      <alignment horizontal="center" vertical="center"/>
    </xf>
    <xf numFmtId="4" fontId="35" fillId="29" borderId="170" xfId="1" applyNumberFormat="1" applyFont="1" applyFill="1" applyBorder="1" applyAlignment="1">
      <alignment horizontal="center" vertical="center"/>
    </xf>
    <xf numFmtId="168" fontId="35" fillId="29" borderId="199" xfId="1" applyFont="1" applyFill="1" applyBorder="1" applyAlignment="1">
      <alignment horizontal="center" vertical="center"/>
    </xf>
    <xf numFmtId="172" fontId="35" fillId="29" borderId="199" xfId="1" applyNumberFormat="1" applyFont="1" applyFill="1" applyBorder="1" applyAlignment="1">
      <alignment horizontal="center" vertical="center"/>
    </xf>
    <xf numFmtId="172" fontId="35" fillId="29" borderId="172" xfId="1" applyNumberFormat="1" applyFont="1" applyFill="1" applyBorder="1" applyAlignment="1">
      <alignment horizontal="center" vertical="center"/>
    </xf>
    <xf numFmtId="0" fontId="58" fillId="40" borderId="132" xfId="0" applyFont="1" applyFill="1" applyBorder="1" applyAlignment="1" applyProtection="1">
      <alignment horizontal="left" vertical="center"/>
      <protection locked="0"/>
    </xf>
    <xf numFmtId="0" fontId="58" fillId="40" borderId="4" xfId="0" applyFont="1" applyFill="1" applyBorder="1" applyAlignment="1" applyProtection="1">
      <alignment horizontal="left" vertical="center"/>
      <protection locked="0"/>
    </xf>
    <xf numFmtId="10" fontId="21" fillId="40" borderId="4" xfId="0" applyNumberFormat="1" applyFont="1" applyFill="1" applyBorder="1" applyAlignment="1" applyProtection="1">
      <alignment horizontal="center" vertical="center"/>
      <protection locked="0"/>
    </xf>
    <xf numFmtId="165" fontId="14" fillId="0" borderId="73" xfId="1" applyNumberFormat="1" applyFont="1" applyBorder="1" applyAlignment="1">
      <alignment horizontal="center" vertical="center"/>
    </xf>
    <xf numFmtId="172" fontId="14" fillId="0" borderId="73" xfId="0" applyNumberFormat="1" applyFont="1" applyBorder="1" applyAlignment="1">
      <alignment horizontal="center" vertical="center"/>
    </xf>
    <xf numFmtId="172" fontId="14" fillId="0" borderId="98" xfId="0" applyNumberFormat="1" applyFont="1" applyBorder="1" applyAlignment="1">
      <alignment horizontal="center" vertical="center"/>
    </xf>
    <xf numFmtId="176" fontId="14" fillId="0" borderId="73" xfId="0" applyNumberFormat="1" applyFont="1" applyBorder="1" applyAlignment="1">
      <alignment horizontal="center" vertical="center"/>
    </xf>
    <xf numFmtId="172" fontId="32" fillId="30" borderId="4" xfId="0" applyNumberFormat="1" applyFont="1" applyFill="1" applyBorder="1" applyAlignment="1">
      <alignment horizontal="center" vertical="center" wrapText="1"/>
    </xf>
    <xf numFmtId="172" fontId="21" fillId="35" borderId="98" xfId="1" applyNumberFormat="1" applyFont="1" applyFill="1" applyBorder="1" applyAlignment="1">
      <alignment horizontal="center" vertical="center"/>
    </xf>
    <xf numFmtId="168" fontId="21" fillId="36" borderId="73" xfId="1" applyFont="1" applyFill="1" applyBorder="1" applyAlignment="1">
      <alignment horizontal="center" vertical="center"/>
    </xf>
    <xf numFmtId="172" fontId="21" fillId="38" borderId="133" xfId="1" applyNumberFormat="1" applyFont="1" applyFill="1" applyBorder="1" applyAlignment="1">
      <alignment horizontal="center" vertical="center"/>
    </xf>
    <xf numFmtId="0" fontId="58" fillId="39" borderId="194" xfId="0" applyFont="1" applyFill="1" applyBorder="1" applyAlignment="1" applyProtection="1">
      <alignment horizontal="left" vertical="center" wrapText="1"/>
      <protection locked="0"/>
    </xf>
    <xf numFmtId="165" fontId="14" fillId="0" borderId="77" xfId="1" applyNumberFormat="1" applyFont="1" applyBorder="1" applyAlignment="1">
      <alignment horizontal="center" vertical="center"/>
    </xf>
    <xf numFmtId="172" fontId="14" fillId="0" borderId="77" xfId="0" applyNumberFormat="1" applyFont="1" applyBorder="1" applyAlignment="1">
      <alignment horizontal="center" vertical="center"/>
    </xf>
    <xf numFmtId="168" fontId="21" fillId="36" borderId="77" xfId="1" applyFont="1" applyFill="1" applyBorder="1" applyAlignment="1">
      <alignment horizontal="center" vertical="center"/>
    </xf>
    <xf numFmtId="4" fontId="14" fillId="51" borderId="77" xfId="0" applyNumberFormat="1" applyFont="1" applyFill="1" applyBorder="1"/>
    <xf numFmtId="172" fontId="21" fillId="38" borderId="200" xfId="1" applyNumberFormat="1" applyFont="1" applyFill="1" applyBorder="1" applyAlignment="1">
      <alignment horizontal="center" vertical="center"/>
    </xf>
    <xf numFmtId="0" fontId="15" fillId="9" borderId="147" xfId="0" applyFont="1" applyFill="1" applyBorder="1" applyAlignment="1">
      <alignment vertical="center"/>
    </xf>
    <xf numFmtId="171" fontId="16" fillId="3" borderId="39" xfId="0" applyNumberFormat="1" applyFont="1" applyFill="1" applyBorder="1" applyAlignment="1">
      <alignment horizontal="right" vertical="center"/>
    </xf>
    <xf numFmtId="0" fontId="15" fillId="0" borderId="48" xfId="0" applyFont="1" applyBorder="1" applyAlignment="1">
      <alignment vertical="center"/>
    </xf>
    <xf numFmtId="0" fontId="66" fillId="75" borderId="196" xfId="0" applyFont="1" applyFill="1" applyBorder="1"/>
    <xf numFmtId="14" fontId="66" fillId="75" borderId="196" xfId="0" applyNumberFormat="1" applyFont="1" applyFill="1" applyBorder="1"/>
    <xf numFmtId="0" fontId="65" fillId="78" borderId="70" xfId="0" applyFont="1" applyFill="1" applyBorder="1"/>
    <xf numFmtId="0" fontId="65" fillId="62" borderId="70" xfId="0" applyFont="1" applyFill="1" applyBorder="1"/>
    <xf numFmtId="4" fontId="65" fillId="62" borderId="70" xfId="0" applyNumberFormat="1" applyFont="1" applyFill="1" applyBorder="1"/>
    <xf numFmtId="4" fontId="65" fillId="62" borderId="71" xfId="0" applyNumberFormat="1" applyFont="1" applyFill="1" applyBorder="1"/>
    <xf numFmtId="10" fontId="67" fillId="62" borderId="70" xfId="0" applyNumberFormat="1" applyFont="1" applyFill="1" applyBorder="1"/>
    <xf numFmtId="0" fontId="65" fillId="62" borderId="70" xfId="0" quotePrefix="1" applyFont="1" applyFill="1" applyBorder="1"/>
    <xf numFmtId="0" fontId="55" fillId="62" borderId="71" xfId="0" applyFont="1" applyFill="1" applyBorder="1"/>
    <xf numFmtId="0" fontId="55" fillId="62" borderId="201" xfId="0" applyFont="1" applyFill="1" applyBorder="1"/>
    <xf numFmtId="0" fontId="55" fillId="79" borderId="70" xfId="0" applyFont="1" applyFill="1" applyBorder="1"/>
    <xf numFmtId="0" fontId="68" fillId="79" borderId="70" xfId="0" applyFont="1" applyFill="1" applyBorder="1"/>
    <xf numFmtId="0" fontId="65" fillId="80" borderId="70" xfId="0" applyFont="1" applyFill="1" applyBorder="1"/>
    <xf numFmtId="8" fontId="67" fillId="62" borderId="70" xfId="0" applyNumberFormat="1" applyFont="1" applyFill="1" applyBorder="1"/>
    <xf numFmtId="0" fontId="55" fillId="0" borderId="70" xfId="0" applyFont="1" applyBorder="1"/>
    <xf numFmtId="0" fontId="55" fillId="81" borderId="70" xfId="0" applyFont="1" applyFill="1" applyBorder="1"/>
    <xf numFmtId="0" fontId="55" fillId="77" borderId="96" xfId="0" applyFont="1" applyFill="1" applyBorder="1"/>
    <xf numFmtId="8" fontId="65" fillId="62" borderId="70" xfId="0" applyNumberFormat="1" applyFont="1" applyFill="1" applyBorder="1"/>
    <xf numFmtId="2" fontId="65" fillId="81" borderId="70" xfId="0" applyNumberFormat="1" applyFont="1" applyFill="1" applyBorder="1"/>
    <xf numFmtId="175" fontId="22" fillId="30" borderId="0" xfId="0" applyNumberFormat="1" applyFont="1" applyFill="1" applyAlignment="1">
      <alignment horizontal="right" vertical="center" wrapText="1"/>
    </xf>
    <xf numFmtId="0" fontId="22" fillId="30" borderId="80" xfId="0" applyFont="1" applyFill="1" applyBorder="1" applyAlignment="1">
      <alignment vertical="center" wrapText="1"/>
    </xf>
    <xf numFmtId="0" fontId="22" fillId="30" borderId="81" xfId="0" applyFont="1" applyFill="1" applyBorder="1" applyAlignment="1">
      <alignment vertical="center" wrapText="1"/>
    </xf>
    <xf numFmtId="175" fontId="30" fillId="30" borderId="81" xfId="0" applyNumberFormat="1" applyFont="1" applyFill="1" applyBorder="1" applyAlignment="1">
      <alignment horizontal="right" vertical="center" wrapText="1"/>
    </xf>
    <xf numFmtId="175" fontId="22" fillId="30" borderId="82" xfId="0" applyNumberFormat="1" applyFont="1" applyFill="1" applyBorder="1" applyAlignment="1">
      <alignment horizontal="right" vertical="center" wrapText="1"/>
    </xf>
    <xf numFmtId="175" fontId="22" fillId="30" borderId="84" xfId="0" applyNumberFormat="1" applyFont="1" applyFill="1" applyBorder="1" applyAlignment="1">
      <alignment horizontal="right" vertical="center" wrapText="1"/>
    </xf>
    <xf numFmtId="175" fontId="22" fillId="30" borderId="87" xfId="0" applyNumberFormat="1" applyFont="1" applyFill="1" applyBorder="1" applyAlignment="1">
      <alignment horizontal="right" vertical="center" wrapText="1"/>
    </xf>
    <xf numFmtId="4" fontId="68" fillId="79" borderId="70" xfId="0" applyNumberFormat="1" applyFont="1" applyFill="1" applyBorder="1"/>
    <xf numFmtId="0" fontId="22" fillId="26" borderId="80" xfId="0" applyFont="1" applyFill="1" applyBorder="1" applyAlignment="1">
      <alignment vertical="center" wrapText="1"/>
    </xf>
    <xf numFmtId="0" fontId="22" fillId="26" borderId="81" xfId="0" applyFont="1" applyFill="1" applyBorder="1" applyAlignment="1">
      <alignment vertical="center" wrapText="1"/>
    </xf>
    <xf numFmtId="175" fontId="22" fillId="26" borderId="81" xfId="0" applyNumberFormat="1" applyFont="1" applyFill="1" applyBorder="1" applyAlignment="1">
      <alignment horizontal="right" vertical="center" wrapText="1"/>
    </xf>
    <xf numFmtId="175" fontId="22" fillId="26" borderId="82" xfId="0" applyNumberFormat="1" applyFont="1" applyFill="1" applyBorder="1" applyAlignment="1">
      <alignment horizontal="right" vertical="center" wrapText="1"/>
    </xf>
    <xf numFmtId="0" fontId="22" fillId="26" borderId="85" xfId="0" applyFont="1" applyFill="1" applyBorder="1" applyAlignment="1">
      <alignment vertical="center" wrapText="1"/>
    </xf>
    <xf numFmtId="0" fontId="22" fillId="26" borderId="86" xfId="0" applyFont="1" applyFill="1" applyBorder="1" applyAlignment="1">
      <alignment vertical="center" wrapText="1"/>
    </xf>
    <xf numFmtId="175" fontId="22" fillId="26" borderId="86" xfId="0" applyNumberFormat="1" applyFont="1" applyFill="1" applyBorder="1" applyAlignment="1">
      <alignment horizontal="right" vertical="center" wrapText="1"/>
    </xf>
    <xf numFmtId="175" fontId="22" fillId="26" borderId="87" xfId="0" applyNumberFormat="1" applyFont="1" applyFill="1" applyBorder="1" applyAlignment="1">
      <alignment horizontal="right" vertical="center" wrapText="1"/>
    </xf>
    <xf numFmtId="175" fontId="22" fillId="30" borderId="81" xfId="0" applyNumberFormat="1" applyFont="1" applyFill="1" applyBorder="1" applyAlignment="1">
      <alignment horizontal="right" vertical="center" wrapText="1"/>
    </xf>
    <xf numFmtId="175" fontId="22" fillId="30" borderId="86" xfId="0" applyNumberFormat="1" applyFont="1" applyFill="1" applyBorder="1" applyAlignment="1">
      <alignment horizontal="right" vertical="center" wrapText="1"/>
    </xf>
    <xf numFmtId="10" fontId="21" fillId="0" borderId="70" xfId="0" applyNumberFormat="1" applyFont="1" applyBorder="1" applyAlignment="1">
      <alignment wrapText="1"/>
    </xf>
    <xf numFmtId="10" fontId="21" fillId="82" borderId="70" xfId="0" applyNumberFormat="1" applyFont="1" applyFill="1" applyBorder="1" applyAlignment="1">
      <alignment wrapText="1"/>
    </xf>
    <xf numFmtId="10" fontId="21" fillId="69" borderId="70" xfId="0" applyNumberFormat="1" applyFont="1" applyFill="1" applyBorder="1" applyAlignment="1">
      <alignment wrapText="1"/>
    </xf>
    <xf numFmtId="0" fontId="14" fillId="4" borderId="42" xfId="0" applyFont="1" applyFill="1" applyBorder="1" applyAlignment="1">
      <alignment wrapText="1"/>
    </xf>
    <xf numFmtId="0" fontId="14" fillId="4" borderId="202" xfId="0" applyFont="1" applyFill="1" applyBorder="1" applyAlignment="1">
      <alignment wrapText="1"/>
    </xf>
    <xf numFmtId="0" fontId="14" fillId="31" borderId="202" xfId="0" applyFont="1" applyFill="1" applyBorder="1" applyAlignment="1">
      <alignment wrapText="1"/>
    </xf>
    <xf numFmtId="3" fontId="14" fillId="31" borderId="202" xfId="0" applyNumberFormat="1" applyFont="1" applyFill="1" applyBorder="1" applyAlignment="1">
      <alignment wrapText="1"/>
    </xf>
    <xf numFmtId="0" fontId="21" fillId="17" borderId="202" xfId="0" applyFont="1" applyFill="1" applyBorder="1" applyAlignment="1">
      <alignment wrapText="1"/>
    </xf>
    <xf numFmtId="0" fontId="14" fillId="17" borderId="203" xfId="0" applyFont="1" applyFill="1" applyBorder="1" applyAlignment="1">
      <alignment wrapText="1"/>
    </xf>
    <xf numFmtId="0" fontId="14" fillId="4" borderId="42" xfId="0" applyFont="1" applyFill="1" applyBorder="1" applyAlignment="1">
      <alignment horizontal="center" wrapText="1"/>
    </xf>
    <xf numFmtId="0" fontId="14" fillId="4" borderId="202" xfId="0" applyFont="1" applyFill="1" applyBorder="1" applyAlignment="1">
      <alignment horizontal="center" wrapText="1"/>
    </xf>
    <xf numFmtId="0" fontId="14" fillId="31" borderId="202" xfId="0" applyFont="1" applyFill="1" applyBorder="1" applyAlignment="1">
      <alignment horizontal="center" wrapText="1"/>
    </xf>
    <xf numFmtId="3" fontId="14" fillId="31" borderId="202" xfId="0" applyNumberFormat="1" applyFont="1" applyFill="1" applyBorder="1" applyAlignment="1">
      <alignment horizontal="center" wrapText="1"/>
    </xf>
    <xf numFmtId="0" fontId="21" fillId="17" borderId="202" xfId="0" applyFont="1" applyFill="1" applyBorder="1" applyAlignment="1">
      <alignment horizontal="center" wrapText="1"/>
    </xf>
    <xf numFmtId="0" fontId="14" fillId="17" borderId="203" xfId="0" applyFont="1" applyFill="1" applyBorder="1" applyAlignment="1">
      <alignment horizontal="center" wrapText="1"/>
    </xf>
    <xf numFmtId="2" fontId="55" fillId="67" borderId="70" xfId="0" applyNumberFormat="1" applyFont="1" applyFill="1" applyBorder="1"/>
    <xf numFmtId="2" fontId="57" fillId="67" borderId="70" xfId="0" applyNumberFormat="1" applyFont="1" applyFill="1" applyBorder="1"/>
    <xf numFmtId="2" fontId="55" fillId="67" borderId="73" xfId="0" applyNumberFormat="1" applyFont="1" applyFill="1" applyBorder="1"/>
    <xf numFmtId="0" fontId="41" fillId="0" borderId="0" xfId="0" quotePrefix="1" applyFont="1"/>
    <xf numFmtId="8" fontId="15" fillId="0" borderId="74" xfId="0" applyNumberFormat="1" applyFont="1" applyBorder="1"/>
    <xf numFmtId="168" fontId="8" fillId="0" borderId="189" xfId="1" applyFont="1" applyBorder="1" applyAlignment="1">
      <alignment horizontal="center" vertical="center"/>
    </xf>
    <xf numFmtId="168" fontId="8" fillId="0" borderId="70" xfId="1" applyFont="1" applyBorder="1" applyAlignment="1">
      <alignment horizontal="center" vertical="center"/>
    </xf>
    <xf numFmtId="168" fontId="8" fillId="0" borderId="73" xfId="1" applyFont="1" applyBorder="1" applyAlignment="1">
      <alignment horizontal="center" vertical="center"/>
    </xf>
    <xf numFmtId="168" fontId="8" fillId="0" borderId="189" xfId="1" applyFont="1" applyBorder="1" applyAlignment="1">
      <alignment horizontal="right" vertical="center"/>
    </xf>
    <xf numFmtId="168" fontId="8" fillId="0" borderId="70" xfId="1" applyFont="1" applyBorder="1" applyAlignment="1">
      <alignment horizontal="right" vertical="center"/>
    </xf>
    <xf numFmtId="168" fontId="8" fillId="0" borderId="73" xfId="1" applyFont="1" applyBorder="1" applyAlignment="1">
      <alignment horizontal="right" vertical="center"/>
    </xf>
    <xf numFmtId="168" fontId="8" fillId="0" borderId="77" xfId="1" applyFont="1" applyBorder="1" applyAlignment="1">
      <alignment horizontal="center" vertical="center"/>
    </xf>
    <xf numFmtId="168" fontId="8" fillId="0" borderId="77" xfId="1" applyFont="1" applyBorder="1" applyAlignment="1">
      <alignment horizontal="right" vertical="center"/>
    </xf>
    <xf numFmtId="2" fontId="8" fillId="0" borderId="7" xfId="0" applyNumberFormat="1" applyFont="1" applyBorder="1"/>
    <xf numFmtId="2" fontId="8" fillId="0" borderId="8" xfId="0" applyNumberFormat="1" applyFont="1" applyBorder="1"/>
    <xf numFmtId="2" fontId="14" fillId="0" borderId="20" xfId="0" applyNumberFormat="1" applyFont="1" applyBorder="1"/>
    <xf numFmtId="2" fontId="14" fillId="0" borderId="6" xfId="0" applyNumberFormat="1" applyFont="1" applyBorder="1"/>
    <xf numFmtId="2" fontId="14" fillId="0" borderId="47" xfId="0" applyNumberFormat="1" applyFont="1" applyBorder="1"/>
    <xf numFmtId="2" fontId="14" fillId="0" borderId="7" xfId="0" applyNumberFormat="1" applyFont="1" applyBorder="1"/>
    <xf numFmtId="2" fontId="14" fillId="0" borderId="3" xfId="0" applyNumberFormat="1" applyFont="1" applyBorder="1"/>
    <xf numFmtId="2" fontId="14" fillId="0" borderId="3" xfId="0" quotePrefix="1" applyNumberFormat="1" applyFont="1" applyBorder="1"/>
    <xf numFmtId="2" fontId="14" fillId="0" borderId="11" xfId="0" quotePrefix="1" applyNumberFormat="1" applyFont="1" applyBorder="1"/>
    <xf numFmtId="2" fontId="14" fillId="0" borderId="11" xfId="0" applyNumberFormat="1" applyFont="1" applyBorder="1"/>
    <xf numFmtId="175" fontId="9" fillId="0" borderId="0" xfId="0" applyNumberFormat="1" applyFont="1"/>
    <xf numFmtId="43" fontId="2" fillId="0" borderId="0" xfId="0" applyNumberFormat="1" applyFont="1"/>
    <xf numFmtId="2" fontId="57" fillId="68" borderId="195" xfId="0" applyNumberFormat="1" applyFont="1" applyFill="1" applyBorder="1"/>
    <xf numFmtId="2" fontId="55" fillId="74" borderId="195" xfId="0" applyNumberFormat="1" applyFont="1" applyFill="1" applyBorder="1"/>
    <xf numFmtId="2" fontId="57" fillId="68" borderId="197" xfId="0" applyNumberFormat="1" applyFont="1" applyFill="1" applyBorder="1"/>
    <xf numFmtId="2" fontId="55" fillId="74" borderId="197" xfId="0" applyNumberFormat="1" applyFont="1" applyFill="1" applyBorder="1"/>
    <xf numFmtId="2" fontId="57" fillId="74" borderId="197" xfId="0" applyNumberFormat="1" applyFont="1" applyFill="1" applyBorder="1"/>
    <xf numFmtId="10" fontId="8" fillId="0" borderId="70" xfId="0" applyNumberFormat="1" applyFont="1" applyBorder="1" applyAlignment="1" applyProtection="1">
      <alignment horizontal="left" vertical="center"/>
      <protection locked="0"/>
    </xf>
    <xf numFmtId="0" fontId="8" fillId="0" borderId="154" xfId="0" applyFont="1" applyBorder="1" applyAlignment="1" applyProtection="1">
      <alignment horizontal="left" vertical="center"/>
      <protection locked="0"/>
    </xf>
    <xf numFmtId="0" fontId="14" fillId="0" borderId="213" xfId="0" applyFont="1" applyBorder="1" applyAlignment="1" applyProtection="1">
      <alignment horizontal="left" vertical="center"/>
      <protection locked="0"/>
    </xf>
    <xf numFmtId="168" fontId="14" fillId="0" borderId="211" xfId="1" applyFont="1" applyBorder="1" applyAlignment="1">
      <alignment horizontal="center" vertical="center"/>
    </xf>
    <xf numFmtId="168" fontId="14" fillId="0" borderId="72" xfId="1" applyFont="1" applyBorder="1" applyAlignment="1">
      <alignment horizontal="center" vertical="center"/>
    </xf>
    <xf numFmtId="168" fontId="14" fillId="0" borderId="212" xfId="1" applyFont="1" applyBorder="1" applyAlignment="1">
      <alignment horizontal="center" vertical="center"/>
    </xf>
    <xf numFmtId="0" fontId="44" fillId="55" borderId="105" xfId="0" applyFont="1" applyFill="1" applyBorder="1" applyAlignment="1">
      <alignment horizontal="center" vertical="center"/>
    </xf>
    <xf numFmtId="0" fontId="44" fillId="55" borderId="147" xfId="0" applyFont="1" applyFill="1" applyBorder="1" applyAlignment="1">
      <alignment horizontal="center" vertical="center"/>
    </xf>
    <xf numFmtId="168" fontId="8" fillId="55" borderId="214" xfId="1" applyFont="1" applyFill="1" applyBorder="1" applyAlignment="1">
      <alignment horizontal="center" vertical="center"/>
    </xf>
    <xf numFmtId="0" fontId="14" fillId="0" borderId="215" xfId="0" applyFont="1" applyBorder="1" applyAlignment="1" applyProtection="1">
      <alignment horizontal="left" vertical="center"/>
      <protection locked="0"/>
    </xf>
    <xf numFmtId="10" fontId="8" fillId="0" borderId="73" xfId="0" applyNumberFormat="1" applyFont="1" applyBorder="1" applyAlignment="1" applyProtection="1">
      <alignment horizontal="left" vertical="center"/>
      <protection locked="0"/>
    </xf>
    <xf numFmtId="10" fontId="8" fillId="0" borderId="194" xfId="0" applyNumberFormat="1" applyFont="1" applyBorder="1" applyAlignment="1" applyProtection="1">
      <alignment horizontal="left" vertical="center"/>
      <protection locked="0"/>
    </xf>
    <xf numFmtId="0" fontId="0" fillId="83" borderId="216" xfId="0" applyFill="1" applyBorder="1"/>
    <xf numFmtId="0" fontId="37" fillId="83" borderId="66" xfId="0" applyFont="1" applyFill="1" applyBorder="1"/>
    <xf numFmtId="4" fontId="37" fillId="83" borderId="66" xfId="0" applyNumberFormat="1" applyFont="1" applyFill="1" applyBorder="1"/>
    <xf numFmtId="0" fontId="36" fillId="83" borderId="66" xfId="0" applyFont="1" applyFill="1" applyBorder="1"/>
    <xf numFmtId="0" fontId="35" fillId="83" borderId="66" xfId="0" applyFont="1" applyFill="1" applyBorder="1"/>
    <xf numFmtId="0" fontId="38" fillId="83" borderId="67" xfId="0" applyFont="1" applyFill="1" applyBorder="1"/>
    <xf numFmtId="0" fontId="39" fillId="83" borderId="67" xfId="0" applyFont="1" applyFill="1" applyBorder="1"/>
    <xf numFmtId="0" fontId="0" fillId="83" borderId="0" xfId="0" applyFill="1"/>
    <xf numFmtId="0" fontId="37" fillId="83" borderId="0" xfId="0" applyFont="1" applyFill="1"/>
    <xf numFmtId="4" fontId="38" fillId="83" borderId="67" xfId="0" applyNumberFormat="1" applyFont="1" applyFill="1" applyBorder="1"/>
    <xf numFmtId="0" fontId="0" fillId="83" borderId="69" xfId="0" applyFill="1" applyBorder="1"/>
    <xf numFmtId="0" fontId="37" fillId="83" borderId="69" xfId="0" applyFont="1" applyFill="1" applyBorder="1"/>
    <xf numFmtId="4" fontId="38" fillId="83" borderId="69" xfId="0" applyNumberFormat="1" applyFont="1" applyFill="1" applyBorder="1"/>
    <xf numFmtId="172" fontId="19" fillId="0" borderId="0" xfId="0" applyNumberFormat="1" applyFont="1"/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0" fontId="20" fillId="4" borderId="116" xfId="0" applyFont="1" applyFill="1" applyBorder="1" applyAlignment="1">
      <alignment horizontal="center" vertical="center" wrapText="1"/>
    </xf>
    <xf numFmtId="0" fontId="20" fillId="17" borderId="71" xfId="0" applyFont="1" applyFill="1" applyBorder="1" applyAlignment="1">
      <alignment horizontal="center" vertical="center" wrapText="1"/>
    </xf>
    <xf numFmtId="0" fontId="20" fillId="31" borderId="71" xfId="0" applyFont="1" applyFill="1" applyBorder="1" applyAlignment="1">
      <alignment horizontal="center" vertical="center" wrapText="1"/>
    </xf>
    <xf numFmtId="0" fontId="55" fillId="62" borderId="83" xfId="0" applyFont="1" applyFill="1" applyBorder="1"/>
    <xf numFmtId="0" fontId="55" fillId="62" borderId="0" xfId="0" applyFont="1" applyFill="1"/>
    <xf numFmtId="0" fontId="65" fillId="62" borderId="0" xfId="0" applyFont="1" applyFill="1"/>
    <xf numFmtId="4" fontId="66" fillId="75" borderId="219" xfId="0" applyNumberFormat="1" applyFont="1" applyFill="1" applyBorder="1"/>
    <xf numFmtId="14" fontId="66" fillId="75" borderId="219" xfId="0" applyNumberFormat="1" applyFont="1" applyFill="1" applyBorder="1"/>
    <xf numFmtId="0" fontId="66" fillId="75" borderId="219" xfId="0" applyFont="1" applyFill="1" applyBorder="1"/>
    <xf numFmtId="0" fontId="65" fillId="78" borderId="100" xfId="0" applyFont="1" applyFill="1" applyBorder="1"/>
    <xf numFmtId="0" fontId="65" fillId="78" borderId="114" xfId="0" applyFont="1" applyFill="1" applyBorder="1"/>
    <xf numFmtId="0" fontId="66" fillId="62" borderId="100" xfId="0" applyFont="1" applyFill="1" applyBorder="1"/>
    <xf numFmtId="4" fontId="65" fillId="62" borderId="114" xfId="0" applyNumberFormat="1" applyFont="1" applyFill="1" applyBorder="1"/>
    <xf numFmtId="0" fontId="65" fillId="62" borderId="114" xfId="0" quotePrefix="1" applyFont="1" applyFill="1" applyBorder="1"/>
    <xf numFmtId="0" fontId="55" fillId="62" borderId="114" xfId="0" applyFont="1" applyFill="1" applyBorder="1"/>
    <xf numFmtId="0" fontId="68" fillId="79" borderId="100" xfId="0" applyFont="1" applyFill="1" applyBorder="1"/>
    <xf numFmtId="4" fontId="68" fillId="79" borderId="114" xfId="0" applyNumberFormat="1" applyFont="1" applyFill="1" applyBorder="1"/>
    <xf numFmtId="0" fontId="68" fillId="67" borderId="100" xfId="0" applyFont="1" applyFill="1" applyBorder="1"/>
    <xf numFmtId="0" fontId="65" fillId="80" borderId="114" xfId="0" applyFont="1" applyFill="1" applyBorder="1"/>
    <xf numFmtId="0" fontId="57" fillId="0" borderId="100" xfId="0" applyFont="1" applyBorder="1"/>
    <xf numFmtId="0" fontId="55" fillId="67" borderId="114" xfId="0" applyFont="1" applyFill="1" applyBorder="1"/>
    <xf numFmtId="0" fontId="65" fillId="62" borderId="114" xfId="0" applyFont="1" applyFill="1" applyBorder="1"/>
    <xf numFmtId="0" fontId="68" fillId="79" borderId="114" xfId="0" applyFont="1" applyFill="1" applyBorder="1"/>
    <xf numFmtId="0" fontId="55" fillId="0" borderId="114" xfId="0" applyFont="1" applyBorder="1"/>
    <xf numFmtId="0" fontId="55" fillId="62" borderId="100" xfId="0" applyFont="1" applyFill="1" applyBorder="1"/>
    <xf numFmtId="0" fontId="65" fillId="77" borderId="215" xfId="0" applyFont="1" applyFill="1" applyBorder="1"/>
    <xf numFmtId="0" fontId="55" fillId="77" borderId="221" xfId="0" applyFont="1" applyFill="1" applyBorder="1"/>
    <xf numFmtId="0" fontId="65" fillId="81" borderId="100" xfId="0" applyFont="1" applyFill="1" applyBorder="1"/>
    <xf numFmtId="2" fontId="65" fillId="81" borderId="114" xfId="0" applyNumberFormat="1" applyFont="1" applyFill="1" applyBorder="1"/>
    <xf numFmtId="0" fontId="55" fillId="62" borderId="222" xfId="0" applyFont="1" applyFill="1" applyBorder="1"/>
    <xf numFmtId="0" fontId="65" fillId="75" borderId="110" xfId="0" applyFont="1" applyFill="1" applyBorder="1"/>
    <xf numFmtId="0" fontId="65" fillId="75" borderId="223" xfId="0" applyFont="1" applyFill="1" applyBorder="1"/>
    <xf numFmtId="0" fontId="65" fillId="75" borderId="224" xfId="0" applyFont="1" applyFill="1" applyBorder="1"/>
    <xf numFmtId="4" fontId="66" fillId="75" borderId="100" xfId="0" applyNumberFormat="1" applyFont="1" applyFill="1" applyBorder="1"/>
    <xf numFmtId="14" fontId="66" fillId="75" borderId="100" xfId="0" applyNumberFormat="1" applyFont="1" applyFill="1" applyBorder="1"/>
    <xf numFmtId="0" fontId="66" fillId="75" borderId="100" xfId="0" applyFont="1" applyFill="1" applyBorder="1"/>
    <xf numFmtId="0" fontId="66" fillId="75" borderId="225" xfId="0" applyFont="1" applyFill="1" applyBorder="1"/>
    <xf numFmtId="0" fontId="66" fillId="75" borderId="226" xfId="0" applyFont="1" applyFill="1" applyBorder="1"/>
    <xf numFmtId="0" fontId="66" fillId="75" borderId="227" xfId="0" applyFont="1" applyFill="1" applyBorder="1"/>
    <xf numFmtId="0" fontId="65" fillId="77" borderId="228" xfId="0" applyFont="1" applyFill="1" applyBorder="1"/>
    <xf numFmtId="0" fontId="65" fillId="62" borderId="105" xfId="0" applyFont="1" applyFill="1" applyBorder="1"/>
    <xf numFmtId="0" fontId="55" fillId="77" borderId="229" xfId="0" applyFont="1" applyFill="1" applyBorder="1"/>
    <xf numFmtId="0" fontId="55" fillId="77" borderId="230" xfId="0" applyFont="1" applyFill="1" applyBorder="1"/>
    <xf numFmtId="0" fontId="55" fillId="78" borderId="114" xfId="0" applyFont="1" applyFill="1" applyBorder="1"/>
    <xf numFmtId="0" fontId="65" fillId="76" borderId="105" xfId="0" applyFont="1" applyFill="1" applyBorder="1" applyAlignment="1">
      <alignment horizontal="center" vertical="center" wrapText="1"/>
    </xf>
    <xf numFmtId="0" fontId="65" fillId="76" borderId="147" xfId="0" applyFont="1" applyFill="1" applyBorder="1" applyAlignment="1">
      <alignment horizontal="center" vertical="center" wrapText="1"/>
    </xf>
    <xf numFmtId="8" fontId="65" fillId="62" borderId="114" xfId="0" applyNumberFormat="1" applyFont="1" applyFill="1" applyBorder="1"/>
    <xf numFmtId="2" fontId="55" fillId="62" borderId="70" xfId="0" applyNumberFormat="1" applyFont="1" applyFill="1" applyBorder="1"/>
    <xf numFmtId="2" fontId="65" fillId="62" borderId="70" xfId="0" applyNumberFormat="1" applyFont="1" applyFill="1" applyBorder="1"/>
    <xf numFmtId="2" fontId="65" fillId="62" borderId="114" xfId="0" applyNumberFormat="1" applyFont="1" applyFill="1" applyBorder="1"/>
    <xf numFmtId="0" fontId="0" fillId="0" borderId="0" xfId="0" applyBorder="1"/>
    <xf numFmtId="0" fontId="15" fillId="9" borderId="0" xfId="0" applyFont="1" applyFill="1" applyBorder="1" applyAlignment="1">
      <alignment vertical="center"/>
    </xf>
    <xf numFmtId="165" fontId="16" fillId="9" borderId="0" xfId="0" applyNumberFormat="1" applyFont="1" applyFill="1" applyBorder="1" applyAlignment="1">
      <alignment vertical="center"/>
    </xf>
    <xf numFmtId="165" fontId="15" fillId="0" borderId="0" xfId="0" applyNumberFormat="1" applyFont="1" applyBorder="1" applyAlignment="1">
      <alignment vertical="center"/>
    </xf>
    <xf numFmtId="165" fontId="16" fillId="16" borderId="13" xfId="0" applyNumberFormat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49" xfId="0" applyFont="1" applyBorder="1" applyAlignment="1">
      <alignment horizontal="left" vertical="center"/>
    </xf>
    <xf numFmtId="0" fontId="6" fillId="0" borderId="150" xfId="0" applyFont="1" applyBorder="1" applyAlignment="1">
      <alignment horizontal="left" vertical="center"/>
    </xf>
    <xf numFmtId="0" fontId="6" fillId="0" borderId="15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4" fillId="2" borderId="88" xfId="0" applyFont="1" applyFill="1" applyBorder="1" applyAlignment="1">
      <alignment horizontal="left" vertical="center"/>
    </xf>
    <xf numFmtId="0" fontId="7" fillId="0" borderId="71" xfId="0" applyFont="1" applyBorder="1" applyAlignment="1">
      <alignment horizontal="left" vertical="center"/>
    </xf>
    <xf numFmtId="0" fontId="7" fillId="0" borderId="95" xfId="0" applyFont="1" applyBorder="1" applyAlignment="1">
      <alignment horizontal="left" vertical="center"/>
    </xf>
    <xf numFmtId="0" fontId="7" fillId="0" borderId="7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6" fillId="14" borderId="105" xfId="0" applyFont="1" applyFill="1" applyBorder="1" applyAlignment="1">
      <alignment horizontal="center" vertical="center"/>
    </xf>
    <xf numFmtId="0" fontId="16" fillId="14" borderId="153" xfId="0" applyFont="1" applyFill="1" applyBorder="1" applyAlignment="1">
      <alignment horizontal="center" vertical="center"/>
    </xf>
    <xf numFmtId="0" fontId="16" fillId="14" borderId="171" xfId="0" applyFont="1" applyFill="1" applyBorder="1" applyAlignment="1">
      <alignment horizontal="center" vertical="center"/>
    </xf>
    <xf numFmtId="0" fontId="17" fillId="9" borderId="23" xfId="0" applyFont="1" applyFill="1" applyBorder="1" applyAlignment="1">
      <alignment horizontal="left" vertical="top"/>
    </xf>
    <xf numFmtId="0" fontId="21" fillId="9" borderId="3" xfId="0" applyFont="1" applyFill="1" applyBorder="1" applyAlignment="1">
      <alignment horizontal="left" vertical="center" wrapText="1"/>
    </xf>
    <xf numFmtId="0" fontId="16" fillId="16" borderId="12" xfId="0" applyFont="1" applyFill="1" applyBorder="1" applyAlignment="1">
      <alignment horizontal="center" vertical="center"/>
    </xf>
    <xf numFmtId="0" fontId="16" fillId="14" borderId="53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71" fontId="15" fillId="0" borderId="37" xfId="0" applyNumberFormat="1" applyFont="1" applyBorder="1" applyAlignment="1">
      <alignment horizontal="center" vertical="center"/>
    </xf>
    <xf numFmtId="171" fontId="15" fillId="0" borderId="56" xfId="0" applyNumberFormat="1" applyFont="1" applyBorder="1" applyAlignment="1">
      <alignment horizontal="center" vertical="center"/>
    </xf>
    <xf numFmtId="171" fontId="15" fillId="0" borderId="36" xfId="0" applyNumberFormat="1" applyFont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56" xfId="0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0" fontId="16" fillId="7" borderId="56" xfId="0" applyFont="1" applyFill="1" applyBorder="1" applyAlignment="1">
      <alignment horizontal="center" vertical="center"/>
    </xf>
    <xf numFmtId="0" fontId="16" fillId="7" borderId="36" xfId="0" applyFont="1" applyFill="1" applyBorder="1" applyAlignment="1">
      <alignment horizontal="center" vertical="center"/>
    </xf>
    <xf numFmtId="0" fontId="16" fillId="38" borderId="39" xfId="0" applyFont="1" applyFill="1" applyBorder="1" applyAlignment="1">
      <alignment horizontal="center" vertical="center"/>
    </xf>
    <xf numFmtId="0" fontId="16" fillId="38" borderId="56" xfId="0" applyFont="1" applyFill="1" applyBorder="1" applyAlignment="1">
      <alignment horizontal="center" vertical="center"/>
    </xf>
    <xf numFmtId="0" fontId="16" fillId="38" borderId="36" xfId="0" applyFont="1" applyFill="1" applyBorder="1" applyAlignment="1">
      <alignment horizontal="center" vertical="center"/>
    </xf>
    <xf numFmtId="0" fontId="16" fillId="10" borderId="135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center" vertical="center"/>
    </xf>
    <xf numFmtId="0" fontId="16" fillId="10" borderId="39" xfId="0" applyFont="1" applyFill="1" applyBorder="1" applyAlignment="1">
      <alignment horizontal="center" vertical="center"/>
    </xf>
    <xf numFmtId="0" fontId="16" fillId="10" borderId="167" xfId="0" applyFont="1" applyFill="1" applyBorder="1" applyAlignment="1">
      <alignment horizontal="right" vertical="center"/>
    </xf>
    <xf numFmtId="0" fontId="16" fillId="10" borderId="39" xfId="0" applyFont="1" applyFill="1" applyBorder="1" applyAlignment="1">
      <alignment horizontal="right" vertical="center"/>
    </xf>
    <xf numFmtId="0" fontId="16" fillId="3" borderId="36" xfId="0" applyFont="1" applyFill="1" applyBorder="1" applyAlignment="1">
      <alignment horizontal="center" vertical="center"/>
    </xf>
    <xf numFmtId="0" fontId="16" fillId="10" borderId="163" xfId="0" applyFont="1" applyFill="1" applyBorder="1" applyAlignment="1">
      <alignment horizontal="center" vertical="center"/>
    </xf>
    <xf numFmtId="0" fontId="16" fillId="10" borderId="164" xfId="0" applyFont="1" applyFill="1" applyBorder="1" applyAlignment="1">
      <alignment horizontal="center" vertical="center"/>
    </xf>
    <xf numFmtId="0" fontId="16" fillId="14" borderId="80" xfId="0" applyFont="1" applyFill="1" applyBorder="1" applyAlignment="1">
      <alignment horizontal="center" vertical="center"/>
    </xf>
    <xf numFmtId="0" fontId="16" fillId="14" borderId="81" xfId="0" applyFont="1" applyFill="1" applyBorder="1" applyAlignment="1">
      <alignment horizontal="center" vertical="center"/>
    </xf>
    <xf numFmtId="0" fontId="16" fillId="14" borderId="82" xfId="0" applyFont="1" applyFill="1" applyBorder="1" applyAlignment="1">
      <alignment horizontal="center" vertical="center"/>
    </xf>
    <xf numFmtId="0" fontId="16" fillId="11" borderId="204" xfId="0" applyFont="1" applyFill="1" applyBorder="1" applyAlignment="1">
      <alignment horizontal="center" vertical="center"/>
    </xf>
    <xf numFmtId="0" fontId="16" fillId="11" borderId="205" xfId="0" applyFont="1" applyFill="1" applyBorder="1" applyAlignment="1">
      <alignment horizontal="center" vertical="center"/>
    </xf>
    <xf numFmtId="0" fontId="16" fillId="11" borderId="206" xfId="0" applyFont="1" applyFill="1" applyBorder="1" applyAlignment="1">
      <alignment horizontal="center" vertical="center"/>
    </xf>
    <xf numFmtId="0" fontId="16" fillId="13" borderId="167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36" xfId="0" applyFont="1" applyFill="1" applyBorder="1" applyAlignment="1">
      <alignment horizontal="center" vertical="center"/>
    </xf>
    <xf numFmtId="0" fontId="16" fillId="13" borderId="207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17" xfId="0" applyFont="1" applyFill="1" applyBorder="1" applyAlignment="1">
      <alignment horizontal="center" vertical="center"/>
    </xf>
    <xf numFmtId="0" fontId="16" fillId="12" borderId="167" xfId="0" applyFont="1" applyFill="1" applyBorder="1" applyAlignment="1">
      <alignment horizontal="center" vertical="center"/>
    </xf>
    <xf numFmtId="0" fontId="16" fillId="12" borderId="56" xfId="0" applyFont="1" applyFill="1" applyBorder="1" applyAlignment="1">
      <alignment horizontal="center" vertical="center"/>
    </xf>
    <xf numFmtId="0" fontId="16" fillId="12" borderId="36" xfId="0" applyFont="1" applyFill="1" applyBorder="1" applyAlignment="1">
      <alignment horizontal="center" vertical="center"/>
    </xf>
    <xf numFmtId="0" fontId="16" fillId="12" borderId="208" xfId="0" applyFont="1" applyFill="1" applyBorder="1" applyAlignment="1">
      <alignment horizontal="center" vertical="center"/>
    </xf>
    <xf numFmtId="0" fontId="16" fillId="12" borderId="209" xfId="0" applyFont="1" applyFill="1" applyBorder="1" applyAlignment="1">
      <alignment horizontal="center" vertical="center"/>
    </xf>
    <xf numFmtId="0" fontId="16" fillId="12" borderId="210" xfId="0" applyFont="1" applyFill="1" applyBorder="1" applyAlignment="1">
      <alignment horizontal="center" vertical="center"/>
    </xf>
    <xf numFmtId="4" fontId="35" fillId="2" borderId="68" xfId="0" applyNumberFormat="1" applyFont="1" applyFill="1" applyBorder="1" applyAlignment="1">
      <alignment horizontal="center" vertical="center"/>
    </xf>
    <xf numFmtId="0" fontId="36" fillId="2" borderId="65" xfId="0" applyFont="1" applyFill="1" applyBorder="1" applyAlignment="1">
      <alignment horizontal="center" vertical="center"/>
    </xf>
    <xf numFmtId="0" fontId="34" fillId="29" borderId="105" xfId="0" applyFont="1" applyFill="1" applyBorder="1" applyAlignment="1">
      <alignment horizontal="center" vertical="center"/>
    </xf>
    <xf numFmtId="0" fontId="34" fillId="29" borderId="153" xfId="0" applyFont="1" applyFill="1" applyBorder="1" applyAlignment="1">
      <alignment horizontal="center" vertical="center"/>
    </xf>
    <xf numFmtId="0" fontId="34" fillId="29" borderId="10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0" fillId="27" borderId="56" xfId="0" applyFont="1" applyFill="1" applyBorder="1" applyAlignment="1">
      <alignment horizontal="center" vertical="center"/>
    </xf>
    <xf numFmtId="0" fontId="20" fillId="28" borderId="56" xfId="0" applyFont="1" applyFill="1" applyBorder="1" applyAlignment="1">
      <alignment horizontal="center" vertical="center"/>
    </xf>
    <xf numFmtId="0" fontId="20" fillId="29" borderId="56" xfId="0" applyFont="1" applyFill="1" applyBorder="1" applyAlignment="1">
      <alignment horizontal="center" vertical="center"/>
    </xf>
    <xf numFmtId="0" fontId="31" fillId="34" borderId="13" xfId="0" applyFont="1" applyFill="1" applyBorder="1" applyAlignment="1">
      <alignment horizontal="center" vertical="center" wrapText="1"/>
    </xf>
    <xf numFmtId="0" fontId="31" fillId="34" borderId="25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20" fillId="30" borderId="82" xfId="0" applyFont="1" applyFill="1" applyBorder="1" applyAlignment="1" applyProtection="1">
      <alignment horizontal="center" vertical="center"/>
      <protection locked="0"/>
    </xf>
    <xf numFmtId="0" fontId="20" fillId="30" borderId="84" xfId="0" applyFont="1" applyFill="1" applyBorder="1" applyAlignment="1" applyProtection="1">
      <alignment horizontal="center" vertical="center"/>
      <protection locked="0"/>
    </xf>
    <xf numFmtId="0" fontId="20" fillId="30" borderId="87" xfId="0" applyFont="1" applyFill="1" applyBorder="1" applyAlignment="1" applyProtection="1">
      <alignment horizontal="center" vertical="center"/>
      <protection locked="0"/>
    </xf>
    <xf numFmtId="0" fontId="20" fillId="30" borderId="81" xfId="0" applyFont="1" applyFill="1" applyBorder="1" applyAlignment="1" applyProtection="1">
      <alignment horizontal="center" vertical="center"/>
      <protection locked="0"/>
    </xf>
    <xf numFmtId="0" fontId="20" fillId="30" borderId="0" xfId="0" applyFont="1" applyFill="1" applyAlignment="1" applyProtection="1">
      <alignment horizontal="center" vertical="center"/>
      <protection locked="0"/>
    </xf>
    <xf numFmtId="0" fontId="20" fillId="30" borderId="86" xfId="0" applyFont="1" applyFill="1" applyBorder="1" applyAlignment="1" applyProtection="1">
      <alignment horizontal="center" vertical="center"/>
      <protection locked="0"/>
    </xf>
    <xf numFmtId="0" fontId="30" fillId="33" borderId="13" xfId="0" applyFont="1" applyFill="1" applyBorder="1" applyAlignment="1">
      <alignment horizontal="center" vertical="center" wrapText="1"/>
    </xf>
    <xf numFmtId="0" fontId="30" fillId="33" borderId="218" xfId="0" applyFont="1" applyFill="1" applyBorder="1" applyAlignment="1">
      <alignment horizontal="center" vertical="center" wrapText="1"/>
    </xf>
    <xf numFmtId="0" fontId="36" fillId="83" borderId="65" xfId="0" applyFont="1" applyFill="1" applyBorder="1" applyAlignment="1"/>
    <xf numFmtId="0" fontId="35" fillId="83" borderId="0" xfId="0" applyFont="1" applyFill="1" applyAlignment="1"/>
    <xf numFmtId="0" fontId="35" fillId="83" borderId="69" xfId="0" applyFont="1" applyFill="1" applyBorder="1" applyAlignment="1"/>
    <xf numFmtId="0" fontId="34" fillId="29" borderId="217" xfId="0" applyFont="1" applyFill="1" applyBorder="1" applyAlignment="1">
      <alignment horizontal="center" vertical="center"/>
    </xf>
    <xf numFmtId="0" fontId="34" fillId="29" borderId="93" xfId="0" applyFont="1" applyFill="1" applyBorder="1" applyAlignment="1">
      <alignment horizontal="center" vertical="center"/>
    </xf>
    <xf numFmtId="0" fontId="30" fillId="44" borderId="13" xfId="0" applyFont="1" applyFill="1" applyBorder="1" applyAlignment="1">
      <alignment horizontal="center" vertical="center" wrapText="1"/>
    </xf>
    <xf numFmtId="0" fontId="30" fillId="44" borderId="25" xfId="0" applyFont="1" applyFill="1" applyBorder="1" applyAlignment="1">
      <alignment horizontal="center" vertical="center" wrapText="1"/>
    </xf>
    <xf numFmtId="0" fontId="30" fillId="14" borderId="13" xfId="0" applyFont="1" applyFill="1" applyBorder="1" applyAlignment="1">
      <alignment horizontal="center" vertical="center" wrapText="1"/>
    </xf>
    <xf numFmtId="0" fontId="30" fillId="14" borderId="25" xfId="0" applyFont="1" applyFill="1" applyBorder="1" applyAlignment="1">
      <alignment horizontal="center" vertical="center" wrapText="1"/>
    </xf>
    <xf numFmtId="0" fontId="30" fillId="32" borderId="13" xfId="0" applyFont="1" applyFill="1" applyBorder="1" applyAlignment="1">
      <alignment horizontal="center" vertical="center" wrapText="1"/>
    </xf>
    <xf numFmtId="0" fontId="30" fillId="32" borderId="25" xfId="0" applyFont="1" applyFill="1" applyBorder="1" applyAlignment="1">
      <alignment horizontal="center" vertical="center" wrapText="1"/>
    </xf>
    <xf numFmtId="0" fontId="8" fillId="17" borderId="38" xfId="0" applyFont="1" applyFill="1" applyBorder="1" applyAlignment="1">
      <alignment horizontal="center" vertical="center" wrapText="1"/>
    </xf>
    <xf numFmtId="0" fontId="8" fillId="17" borderId="54" xfId="0" applyFont="1" applyFill="1" applyBorder="1" applyAlignment="1">
      <alignment horizontal="center" vertical="center" wrapText="1"/>
    </xf>
    <xf numFmtId="0" fontId="8" fillId="17" borderId="53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20" fillId="17" borderId="38" xfId="0" applyFont="1" applyFill="1" applyBorder="1" applyAlignment="1">
      <alignment horizontal="center" vertical="center" wrapText="1"/>
    </xf>
    <xf numFmtId="0" fontId="20" fillId="17" borderId="54" xfId="0" applyFont="1" applyFill="1" applyBorder="1" applyAlignment="1">
      <alignment horizontal="center" vertical="center" wrapText="1"/>
    </xf>
    <xf numFmtId="0" fontId="20" fillId="17" borderId="53" xfId="0" applyFont="1" applyFill="1" applyBorder="1" applyAlignment="1">
      <alignment horizontal="center" vertical="center" wrapText="1"/>
    </xf>
    <xf numFmtId="0" fontId="20" fillId="17" borderId="17" xfId="0" applyFont="1" applyFill="1" applyBorder="1" applyAlignment="1">
      <alignment horizontal="center" vertical="center" wrapText="1"/>
    </xf>
    <xf numFmtId="0" fontId="8" fillId="4" borderId="142" xfId="0" applyFont="1" applyFill="1" applyBorder="1" applyAlignment="1">
      <alignment horizontal="center" vertical="center" wrapText="1"/>
    </xf>
    <xf numFmtId="0" fontId="8" fillId="4" borderId="207" xfId="0" applyFont="1" applyFill="1" applyBorder="1" applyAlignment="1">
      <alignment horizontal="center" vertical="center" wrapText="1"/>
    </xf>
    <xf numFmtId="0" fontId="8" fillId="31" borderId="38" xfId="0" applyFont="1" applyFill="1" applyBorder="1" applyAlignment="1">
      <alignment horizontal="center" vertical="center" wrapText="1"/>
    </xf>
    <xf numFmtId="0" fontId="8" fillId="31" borderId="54" xfId="0" applyFont="1" applyFill="1" applyBorder="1" applyAlignment="1">
      <alignment horizontal="center" vertical="center" wrapText="1"/>
    </xf>
    <xf numFmtId="0" fontId="8" fillId="31" borderId="53" xfId="0" applyFont="1" applyFill="1" applyBorder="1" applyAlignment="1">
      <alignment horizontal="center" vertical="center" wrapText="1"/>
    </xf>
    <xf numFmtId="0" fontId="8" fillId="31" borderId="17" xfId="0" applyFont="1" applyFill="1" applyBorder="1" applyAlignment="1">
      <alignment horizontal="center" vertical="center" wrapText="1"/>
    </xf>
    <xf numFmtId="0" fontId="14" fillId="31" borderId="38" xfId="0" applyFont="1" applyFill="1" applyBorder="1" applyAlignment="1">
      <alignment horizontal="center" vertical="center" wrapText="1"/>
    </xf>
    <xf numFmtId="0" fontId="14" fillId="31" borderId="54" xfId="0" applyFont="1" applyFill="1" applyBorder="1" applyAlignment="1">
      <alignment horizontal="center" vertical="center" wrapText="1"/>
    </xf>
    <xf numFmtId="0" fontId="14" fillId="31" borderId="53" xfId="0" applyFont="1" applyFill="1" applyBorder="1" applyAlignment="1">
      <alignment horizontal="center" vertical="center" wrapText="1"/>
    </xf>
    <xf numFmtId="0" fontId="14" fillId="31" borderId="17" xfId="0" applyFont="1" applyFill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/>
    </xf>
    <xf numFmtId="0" fontId="32" fillId="42" borderId="70" xfId="0" applyFont="1" applyFill="1" applyBorder="1" applyAlignment="1">
      <alignment horizontal="center" vertical="center" wrapText="1"/>
    </xf>
    <xf numFmtId="0" fontId="32" fillId="33" borderId="70" xfId="0" applyFont="1" applyFill="1" applyBorder="1" applyAlignment="1">
      <alignment horizontal="center" vertical="center" wrapText="1"/>
    </xf>
    <xf numFmtId="0" fontId="20" fillId="27" borderId="73" xfId="0" applyFont="1" applyFill="1" applyBorder="1" applyAlignment="1">
      <alignment horizontal="center" vertical="center"/>
    </xf>
    <xf numFmtId="0" fontId="20" fillId="28" borderId="73" xfId="0" applyFont="1" applyFill="1" applyBorder="1" applyAlignment="1">
      <alignment horizontal="center" vertical="center"/>
    </xf>
    <xf numFmtId="0" fontId="20" fillId="29" borderId="73" xfId="0" applyFont="1" applyFill="1" applyBorder="1" applyAlignment="1">
      <alignment horizontal="center" vertical="center"/>
    </xf>
    <xf numFmtId="0" fontId="8" fillId="31" borderId="70" xfId="0" applyFont="1" applyFill="1" applyBorder="1" applyAlignment="1">
      <alignment horizontal="center" vertical="center" wrapText="1"/>
    </xf>
    <xf numFmtId="0" fontId="14" fillId="31" borderId="70" xfId="0" applyFont="1" applyFill="1" applyBorder="1" applyAlignment="1">
      <alignment horizontal="center" wrapText="1"/>
    </xf>
    <xf numFmtId="0" fontId="20" fillId="17" borderId="70" xfId="0" applyFont="1" applyFill="1" applyBorder="1" applyAlignment="1">
      <alignment horizontal="center" vertical="center" wrapText="1"/>
    </xf>
    <xf numFmtId="0" fontId="8" fillId="17" borderId="70" xfId="0" applyFont="1" applyFill="1" applyBorder="1" applyAlignment="1">
      <alignment horizontal="center" vertical="center" wrapText="1"/>
    </xf>
    <xf numFmtId="0" fontId="20" fillId="41" borderId="70" xfId="0" applyFont="1" applyFill="1" applyBorder="1" applyAlignment="1" applyProtection="1">
      <alignment horizontal="center" vertical="center"/>
      <protection locked="0"/>
    </xf>
    <xf numFmtId="0" fontId="8" fillId="4" borderId="70" xfId="0" applyFont="1" applyFill="1" applyBorder="1" applyAlignment="1">
      <alignment horizontal="center" vertical="center" wrapText="1"/>
    </xf>
    <xf numFmtId="0" fontId="20" fillId="41" borderId="73" xfId="0" applyFont="1" applyFill="1" applyBorder="1" applyAlignment="1" applyProtection="1">
      <alignment horizontal="center" vertical="center"/>
      <protection locked="0"/>
    </xf>
    <xf numFmtId="0" fontId="20" fillId="41" borderId="77" xfId="0" applyFont="1" applyFill="1" applyBorder="1" applyAlignment="1" applyProtection="1">
      <alignment horizontal="center" vertical="center"/>
      <protection locked="0"/>
    </xf>
    <xf numFmtId="0" fontId="9" fillId="0" borderId="10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0" fillId="31" borderId="70" xfId="0" applyFont="1" applyFill="1" applyBorder="1" applyAlignment="1">
      <alignment horizontal="center" vertical="center" wrapText="1"/>
    </xf>
    <xf numFmtId="0" fontId="20" fillId="17" borderId="71" xfId="0" applyFont="1" applyFill="1" applyBorder="1" applyAlignment="1">
      <alignment horizontal="center" vertical="center" wrapText="1"/>
    </xf>
    <xf numFmtId="0" fontId="20" fillId="17" borderId="72" xfId="0" applyFont="1" applyFill="1" applyBorder="1" applyAlignment="1">
      <alignment horizontal="center" vertical="center" wrapText="1"/>
    </xf>
    <xf numFmtId="0" fontId="20" fillId="31" borderId="71" xfId="0" applyFont="1" applyFill="1" applyBorder="1" applyAlignment="1">
      <alignment horizontal="center" vertical="center" wrapText="1"/>
    </xf>
    <xf numFmtId="0" fontId="20" fillId="31" borderId="72" xfId="0" applyFont="1" applyFill="1" applyBorder="1" applyAlignment="1">
      <alignment horizontal="center" vertical="center" wrapText="1"/>
    </xf>
    <xf numFmtId="0" fontId="20" fillId="4" borderId="70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0" fillId="4" borderId="72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16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left" vertical="center" wrapText="1"/>
    </xf>
    <xf numFmtId="0" fontId="22" fillId="9" borderId="26" xfId="0" applyFont="1" applyFill="1" applyBorder="1" applyAlignment="1">
      <alignment horizontal="left" vertical="center" wrapText="1"/>
    </xf>
    <xf numFmtId="0" fontId="20" fillId="4" borderId="73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center" vertical="center" wrapText="1"/>
    </xf>
    <xf numFmtId="0" fontId="22" fillId="25" borderId="41" xfId="0" applyFont="1" applyFill="1" applyBorder="1" applyAlignment="1">
      <alignment horizontal="left" vertical="center" wrapText="1"/>
    </xf>
    <xf numFmtId="0" fontId="22" fillId="9" borderId="44" xfId="0" applyFont="1" applyFill="1" applyBorder="1" applyAlignment="1">
      <alignment horizontal="left" vertical="center" wrapText="1"/>
    </xf>
    <xf numFmtId="0" fontId="9" fillId="9" borderId="23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0" fontId="22" fillId="24" borderId="44" xfId="0" applyFont="1" applyFill="1" applyBorder="1" applyAlignment="1">
      <alignment horizontal="center" vertical="center" wrapText="1"/>
    </xf>
    <xf numFmtId="0" fontId="22" fillId="20" borderId="32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/>
    </xf>
    <xf numFmtId="0" fontId="23" fillId="9" borderId="18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22" fillId="9" borderId="90" xfId="0" applyFont="1" applyFill="1" applyBorder="1" applyAlignment="1">
      <alignment horizontal="left" vertical="center" wrapText="1"/>
    </xf>
    <xf numFmtId="0" fontId="22" fillId="9" borderId="141" xfId="0" applyFont="1" applyFill="1" applyBorder="1" applyAlignment="1">
      <alignment horizontal="left" vertical="center" wrapText="1"/>
    </xf>
    <xf numFmtId="0" fontId="22" fillId="9" borderId="90" xfId="0" applyFont="1" applyFill="1" applyBorder="1" applyAlignment="1">
      <alignment horizontal="center" vertical="center" wrapText="1"/>
    </xf>
    <xf numFmtId="0" fontId="9" fillId="9" borderId="90" xfId="0" applyFont="1" applyFill="1" applyBorder="1" applyAlignment="1">
      <alignment horizontal="center" vertical="center"/>
    </xf>
    <xf numFmtId="0" fontId="22" fillId="20" borderId="130" xfId="0" applyFont="1" applyFill="1" applyBorder="1" applyAlignment="1">
      <alignment horizontal="left" vertical="center" wrapText="1"/>
    </xf>
    <xf numFmtId="0" fontId="22" fillId="20" borderId="124" xfId="0" applyFont="1" applyFill="1" applyBorder="1" applyAlignment="1">
      <alignment horizontal="left" vertical="center" wrapText="1"/>
    </xf>
    <xf numFmtId="0" fontId="20" fillId="7" borderId="135" xfId="0" applyFont="1" applyFill="1" applyBorder="1" applyAlignment="1">
      <alignment horizontal="center" vertical="center"/>
    </xf>
    <xf numFmtId="0" fontId="9" fillId="9" borderId="139" xfId="0" applyFont="1" applyFill="1" applyBorder="1" applyAlignment="1">
      <alignment horizontal="center" vertical="center"/>
    </xf>
    <xf numFmtId="0" fontId="9" fillId="9" borderId="140" xfId="0" applyFont="1" applyFill="1" applyBorder="1" applyAlignment="1">
      <alignment horizontal="center" vertical="center"/>
    </xf>
    <xf numFmtId="0" fontId="9" fillId="9" borderId="121" xfId="0" applyFont="1" applyFill="1" applyBorder="1" applyAlignment="1">
      <alignment horizontal="center" vertical="center"/>
    </xf>
    <xf numFmtId="0" fontId="9" fillId="9" borderId="122" xfId="0" applyFont="1" applyFill="1" applyBorder="1" applyAlignment="1">
      <alignment horizontal="center" vertical="center"/>
    </xf>
    <xf numFmtId="0" fontId="22" fillId="24" borderId="128" xfId="0" applyFont="1" applyFill="1" applyBorder="1" applyAlignment="1">
      <alignment horizontal="center" vertical="center" wrapText="1"/>
    </xf>
    <xf numFmtId="0" fontId="22" fillId="25" borderId="138" xfId="0" applyFont="1" applyFill="1" applyBorder="1" applyAlignment="1">
      <alignment horizontal="left" vertical="center" wrapText="1"/>
    </xf>
    <xf numFmtId="0" fontId="22" fillId="9" borderId="128" xfId="0" applyFont="1" applyFill="1" applyBorder="1" applyAlignment="1">
      <alignment horizontal="left" vertical="center" wrapText="1"/>
    </xf>
    <xf numFmtId="0" fontId="23" fillId="0" borderId="118" xfId="0" applyFont="1" applyBorder="1" applyAlignment="1">
      <alignment horizontal="center" vertical="center"/>
    </xf>
    <xf numFmtId="0" fontId="23" fillId="0" borderId="119" xfId="0" applyFont="1" applyBorder="1" applyAlignment="1">
      <alignment horizontal="center" vertical="center"/>
    </xf>
    <xf numFmtId="0" fontId="23" fillId="0" borderId="120" xfId="0" applyFont="1" applyBorder="1" applyAlignment="1">
      <alignment horizontal="center" vertical="center"/>
    </xf>
    <xf numFmtId="0" fontId="23" fillId="9" borderId="121" xfId="0" applyFont="1" applyFill="1" applyBorder="1" applyAlignment="1">
      <alignment horizontal="center" vertical="center"/>
    </xf>
    <xf numFmtId="0" fontId="23" fillId="9" borderId="122" xfId="0" applyFont="1" applyFill="1" applyBorder="1" applyAlignment="1">
      <alignment horizontal="center" vertical="center"/>
    </xf>
    <xf numFmtId="0" fontId="9" fillId="9" borderId="126" xfId="0" applyFont="1" applyFill="1" applyBorder="1" applyAlignment="1">
      <alignment horizontal="center" vertical="center"/>
    </xf>
    <xf numFmtId="0" fontId="9" fillId="9" borderId="127" xfId="0" applyFont="1" applyFill="1" applyBorder="1" applyAlignment="1">
      <alignment horizontal="center" vertical="center"/>
    </xf>
    <xf numFmtId="0" fontId="8" fillId="71" borderId="177" xfId="0" applyFont="1" applyFill="1" applyBorder="1" applyAlignment="1">
      <alignment horizontal="center" vertical="center"/>
    </xf>
    <xf numFmtId="0" fontId="8" fillId="71" borderId="178" xfId="0" applyFont="1" applyFill="1" applyBorder="1" applyAlignment="1">
      <alignment horizontal="center" vertical="center"/>
    </xf>
    <xf numFmtId="0" fontId="20" fillId="60" borderId="179" xfId="0" applyFont="1" applyFill="1" applyBorder="1" applyAlignment="1">
      <alignment horizontal="center" vertical="center" wrapText="1"/>
    </xf>
    <xf numFmtId="0" fontId="20" fillId="60" borderId="103" xfId="0" applyFont="1" applyFill="1" applyBorder="1" applyAlignment="1">
      <alignment horizontal="center" vertical="center" wrapText="1"/>
    </xf>
    <xf numFmtId="0" fontId="59" fillId="73" borderId="80" xfId="0" applyFont="1" applyFill="1" applyBorder="1" applyAlignment="1">
      <alignment horizontal="center" vertical="center" wrapText="1"/>
    </xf>
    <xf numFmtId="0" fontId="59" fillId="73" borderId="82" xfId="0" applyFont="1" applyFill="1" applyBorder="1" applyAlignment="1">
      <alignment horizontal="center" vertical="center" wrapText="1"/>
    </xf>
    <xf numFmtId="0" fontId="20" fillId="41" borderId="80" xfId="0" applyFont="1" applyFill="1" applyBorder="1" applyAlignment="1" applyProtection="1">
      <alignment horizontal="center" vertical="center"/>
      <protection locked="0"/>
    </xf>
    <xf numFmtId="0" fontId="20" fillId="41" borderId="83" xfId="0" applyFont="1" applyFill="1" applyBorder="1" applyAlignment="1" applyProtection="1">
      <alignment horizontal="center" vertical="center"/>
      <protection locked="0"/>
    </xf>
    <xf numFmtId="0" fontId="8" fillId="58" borderId="80" xfId="0" applyFont="1" applyFill="1" applyBorder="1" applyAlignment="1">
      <alignment horizontal="center" vertical="center" wrapText="1"/>
    </xf>
    <xf numFmtId="0" fontId="8" fillId="58" borderId="83" xfId="0" applyFont="1" applyFill="1" applyBorder="1" applyAlignment="1">
      <alignment horizontal="center" vertical="center" wrapText="1"/>
    </xf>
    <xf numFmtId="0" fontId="8" fillId="58" borderId="179" xfId="0" applyFont="1" applyFill="1" applyBorder="1" applyAlignment="1">
      <alignment horizontal="center" vertical="center" wrapText="1"/>
    </xf>
    <xf numFmtId="0" fontId="8" fillId="58" borderId="103" xfId="0" applyFont="1" applyFill="1" applyBorder="1" applyAlignment="1">
      <alignment horizontal="center" vertical="center" wrapText="1"/>
    </xf>
    <xf numFmtId="0" fontId="8" fillId="58" borderId="82" xfId="0" applyFont="1" applyFill="1" applyBorder="1" applyAlignment="1">
      <alignment horizontal="center" vertical="center" wrapText="1"/>
    </xf>
    <xf numFmtId="0" fontId="8" fillId="58" borderId="84" xfId="0" applyFont="1" applyFill="1" applyBorder="1" applyAlignment="1">
      <alignment horizontal="center" vertical="center" wrapText="1"/>
    </xf>
    <xf numFmtId="0" fontId="8" fillId="58" borderId="81" xfId="0" applyFont="1" applyFill="1" applyBorder="1" applyAlignment="1">
      <alignment horizontal="center" vertical="center" wrapText="1"/>
    </xf>
    <xf numFmtId="0" fontId="8" fillId="58" borderId="0" xfId="0" applyFont="1" applyFill="1" applyAlignment="1">
      <alignment horizontal="center" vertical="center" wrapText="1"/>
    </xf>
    <xf numFmtId="0" fontId="8" fillId="72" borderId="178" xfId="0" applyFont="1" applyFill="1" applyBorder="1" applyAlignment="1">
      <alignment horizontal="center" vertical="center"/>
    </xf>
    <xf numFmtId="0" fontId="8" fillId="55" borderId="81" xfId="0" applyFont="1" applyFill="1" applyBorder="1" applyAlignment="1">
      <alignment horizontal="center" vertical="center"/>
    </xf>
    <xf numFmtId="0" fontId="8" fillId="55" borderId="82" xfId="0" applyFont="1" applyFill="1" applyBorder="1" applyAlignment="1">
      <alignment horizontal="center" vertical="center"/>
    </xf>
    <xf numFmtId="0" fontId="8" fillId="60" borderId="82" xfId="0" applyFont="1" applyFill="1" applyBorder="1" applyAlignment="1">
      <alignment horizontal="center" vertical="center" wrapText="1"/>
    </xf>
    <xf numFmtId="0" fontId="8" fillId="60" borderId="84" xfId="0" applyFont="1" applyFill="1" applyBorder="1" applyAlignment="1">
      <alignment horizontal="center" vertical="center" wrapText="1"/>
    </xf>
    <xf numFmtId="0" fontId="59" fillId="73" borderId="81" xfId="0" applyFont="1" applyFill="1" applyBorder="1" applyAlignment="1">
      <alignment horizontal="center" vertical="center" wrapText="1"/>
    </xf>
    <xf numFmtId="0" fontId="59" fillId="73" borderId="0" xfId="0" applyFont="1" applyFill="1" applyAlignment="1">
      <alignment horizontal="center" vertical="center" wrapText="1"/>
    </xf>
    <xf numFmtId="0" fontId="20" fillId="41" borderId="179" xfId="0" applyFont="1" applyFill="1" applyBorder="1" applyAlignment="1" applyProtection="1">
      <alignment horizontal="center" vertical="center"/>
      <protection locked="0"/>
    </xf>
    <xf numFmtId="0" fontId="20" fillId="41" borderId="103" xfId="0" applyFont="1" applyFill="1" applyBorder="1" applyAlignment="1" applyProtection="1">
      <alignment horizontal="center" vertical="center"/>
      <protection locked="0"/>
    </xf>
    <xf numFmtId="0" fontId="59" fillId="49" borderId="81" xfId="0" applyFont="1" applyFill="1" applyBorder="1" applyAlignment="1">
      <alignment horizontal="center" vertical="center" wrapText="1"/>
    </xf>
    <xf numFmtId="0" fontId="8" fillId="59" borderId="80" xfId="0" applyFont="1" applyFill="1" applyBorder="1" applyAlignment="1">
      <alignment horizontal="center" vertical="center" wrapText="1"/>
    </xf>
    <xf numFmtId="0" fontId="8" fillId="59" borderId="83" xfId="0" applyFont="1" applyFill="1" applyBorder="1" applyAlignment="1">
      <alignment horizontal="center" vertical="center" wrapText="1"/>
    </xf>
    <xf numFmtId="0" fontId="8" fillId="59" borderId="179" xfId="0" applyFont="1" applyFill="1" applyBorder="1" applyAlignment="1">
      <alignment horizontal="center" vertical="center" wrapText="1"/>
    </xf>
    <xf numFmtId="0" fontId="8" fillId="59" borderId="103" xfId="0" applyFont="1" applyFill="1" applyBorder="1" applyAlignment="1">
      <alignment horizontal="center" vertical="center" wrapText="1"/>
    </xf>
    <xf numFmtId="0" fontId="8" fillId="59" borderId="81" xfId="0" applyFont="1" applyFill="1" applyBorder="1" applyAlignment="1">
      <alignment horizontal="center" vertical="center" wrapText="1"/>
    </xf>
    <xf numFmtId="0" fontId="8" fillId="59" borderId="0" xfId="0" applyFont="1" applyFill="1" applyAlignment="1">
      <alignment horizontal="center" vertical="center" wrapText="1"/>
    </xf>
    <xf numFmtId="0" fontId="20" fillId="60" borderId="80" xfId="0" applyFont="1" applyFill="1" applyBorder="1" applyAlignment="1">
      <alignment horizontal="center" vertical="center" wrapText="1"/>
    </xf>
    <xf numFmtId="0" fontId="20" fillId="60" borderId="83" xfId="0" applyFont="1" applyFill="1" applyBorder="1" applyAlignment="1">
      <alignment horizontal="center" vertical="center" wrapText="1"/>
    </xf>
    <xf numFmtId="0" fontId="60" fillId="9" borderId="90" xfId="0" applyFont="1" applyFill="1" applyBorder="1" applyAlignment="1">
      <alignment horizontal="left" vertical="center" wrapText="1"/>
    </xf>
    <xf numFmtId="0" fontId="60" fillId="9" borderId="23" xfId="0" applyFont="1" applyFill="1" applyBorder="1" applyAlignment="1">
      <alignment horizontal="left" vertical="center" wrapText="1"/>
    </xf>
    <xf numFmtId="0" fontId="20" fillId="41" borderId="85" xfId="0" applyFont="1" applyFill="1" applyBorder="1" applyAlignment="1" applyProtection="1">
      <alignment horizontal="center" vertical="center"/>
      <protection locked="0"/>
    </xf>
    <xf numFmtId="0" fontId="8" fillId="58" borderId="85" xfId="0" applyFont="1" applyFill="1" applyBorder="1" applyAlignment="1">
      <alignment horizontal="center" vertical="center" wrapText="1"/>
    </xf>
    <xf numFmtId="0" fontId="8" fillId="58" borderId="146" xfId="0" applyFont="1" applyFill="1" applyBorder="1" applyAlignment="1">
      <alignment horizontal="center" vertical="center" wrapText="1"/>
    </xf>
    <xf numFmtId="0" fontId="8" fillId="58" borderId="87" xfId="0" applyFont="1" applyFill="1" applyBorder="1" applyAlignment="1">
      <alignment horizontal="center" vertical="center" wrapText="1"/>
    </xf>
    <xf numFmtId="0" fontId="8" fillId="58" borderId="86" xfId="0" applyFont="1" applyFill="1" applyBorder="1" applyAlignment="1">
      <alignment horizontal="center" vertical="center" wrapText="1"/>
    </xf>
    <xf numFmtId="0" fontId="8" fillId="59" borderId="85" xfId="0" applyFont="1" applyFill="1" applyBorder="1" applyAlignment="1">
      <alignment horizontal="center" vertical="center" wrapText="1"/>
    </xf>
    <xf numFmtId="0" fontId="8" fillId="59" borderId="146" xfId="0" applyFont="1" applyFill="1" applyBorder="1" applyAlignment="1">
      <alignment horizontal="center" vertical="center" wrapText="1"/>
    </xf>
    <xf numFmtId="0" fontId="20" fillId="41" borderId="146" xfId="0" applyFont="1" applyFill="1" applyBorder="1" applyAlignment="1" applyProtection="1">
      <alignment horizontal="center" vertical="center"/>
      <protection locked="0"/>
    </xf>
    <xf numFmtId="0" fontId="8" fillId="59" borderId="86" xfId="0" applyFont="1" applyFill="1" applyBorder="1" applyAlignment="1">
      <alignment horizontal="center" vertical="center" wrapText="1"/>
    </xf>
    <xf numFmtId="0" fontId="20" fillId="60" borderId="146" xfId="0" applyFont="1" applyFill="1" applyBorder="1" applyAlignment="1">
      <alignment horizontal="center" vertical="center" wrapText="1"/>
    </xf>
    <xf numFmtId="0" fontId="8" fillId="60" borderId="81" xfId="0" applyFont="1" applyFill="1" applyBorder="1" applyAlignment="1">
      <alignment horizontal="center" vertical="center" wrapText="1"/>
    </xf>
    <xf numFmtId="0" fontId="8" fillId="60" borderId="86" xfId="0" applyFont="1" applyFill="1" applyBorder="1" applyAlignment="1">
      <alignment horizontal="center" vertical="center" wrapText="1"/>
    </xf>
    <xf numFmtId="0" fontId="59" fillId="73" borderId="179" xfId="0" applyFont="1" applyFill="1" applyBorder="1" applyAlignment="1">
      <alignment horizontal="center" vertical="center" wrapText="1"/>
    </xf>
    <xf numFmtId="0" fontId="59" fillId="73" borderId="146" xfId="0" applyFont="1" applyFill="1" applyBorder="1" applyAlignment="1">
      <alignment horizontal="center" vertical="center" wrapText="1"/>
    </xf>
    <xf numFmtId="0" fontId="22" fillId="9" borderId="181" xfId="0" applyFont="1" applyFill="1" applyBorder="1" applyAlignment="1">
      <alignment horizontal="left" vertical="center" wrapText="1"/>
    </xf>
    <xf numFmtId="0" fontId="22" fillId="9" borderId="231" xfId="0" applyFont="1" applyFill="1" applyBorder="1" applyAlignment="1">
      <alignment horizontal="left" vertical="center" wrapText="1"/>
    </xf>
    <xf numFmtId="0" fontId="22" fillId="9" borderId="180" xfId="0" applyFont="1" applyFill="1" applyBorder="1" applyAlignment="1">
      <alignment horizontal="left" vertical="center" wrapText="1"/>
    </xf>
    <xf numFmtId="0" fontId="22" fillId="9" borderId="5" xfId="0" applyFont="1" applyFill="1" applyBorder="1" applyAlignment="1">
      <alignment horizontal="left" vertical="center" wrapText="1"/>
    </xf>
    <xf numFmtId="0" fontId="22" fillId="9" borderId="180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64" fillId="0" borderId="80" xfId="0" applyFont="1" applyBorder="1" applyAlignment="1">
      <alignment horizontal="center"/>
    </xf>
    <xf numFmtId="0" fontId="64" fillId="0" borderId="81" xfId="0" applyFont="1" applyBorder="1" applyAlignment="1">
      <alignment horizontal="center"/>
    </xf>
    <xf numFmtId="0" fontId="64" fillId="0" borderId="82" xfId="0" applyFont="1" applyBorder="1" applyAlignment="1">
      <alignment horizontal="center"/>
    </xf>
    <xf numFmtId="0" fontId="64" fillId="62" borderId="83" xfId="0" applyFont="1" applyFill="1" applyBorder="1" applyAlignment="1">
      <alignment horizontal="center"/>
    </xf>
    <xf numFmtId="0" fontId="64" fillId="62" borderId="0" xfId="0" applyFont="1" applyFill="1" applyAlignment="1">
      <alignment horizontal="center"/>
    </xf>
    <xf numFmtId="0" fontId="64" fillId="62" borderId="84" xfId="0" applyFont="1" applyFill="1" applyBorder="1" applyAlignment="1">
      <alignment horizontal="center"/>
    </xf>
    <xf numFmtId="0" fontId="55" fillId="62" borderId="85" xfId="0" applyFont="1" applyFill="1" applyBorder="1" applyAlignment="1"/>
    <xf numFmtId="0" fontId="55" fillId="62" borderId="86" xfId="0" applyFont="1" applyFill="1" applyBorder="1" applyAlignment="1"/>
    <xf numFmtId="0" fontId="55" fillId="62" borderId="87" xfId="0" applyFont="1" applyFill="1" applyBorder="1" applyAlignment="1"/>
    <xf numFmtId="0" fontId="55" fillId="62" borderId="213" xfId="0" applyFont="1" applyFill="1" applyBorder="1" applyAlignment="1"/>
    <xf numFmtId="0" fontId="55" fillId="62" borderId="72" xfId="0" applyFont="1" applyFill="1" applyBorder="1" applyAlignment="1"/>
    <xf numFmtId="0" fontId="65" fillId="77" borderId="213" xfId="0" applyFont="1" applyFill="1" applyBorder="1" applyAlignment="1"/>
    <xf numFmtId="0" fontId="65" fillId="77" borderId="94" xfId="0" applyFont="1" applyFill="1" applyBorder="1" applyAlignment="1"/>
    <xf numFmtId="0" fontId="65" fillId="77" borderId="220" xfId="0" applyFont="1" applyFill="1" applyBorder="1" applyAlignment="1"/>
    <xf numFmtId="0" fontId="55" fillId="62" borderId="240" xfId="0" applyFont="1" applyFill="1" applyBorder="1" applyAlignment="1"/>
    <xf numFmtId="0" fontId="55" fillId="62" borderId="241" xfId="0" applyFont="1" applyFill="1" applyBorder="1" applyAlignment="1"/>
    <xf numFmtId="0" fontId="22" fillId="20" borderId="236" xfId="0" applyFont="1" applyFill="1" applyBorder="1" applyAlignment="1">
      <alignment horizontal="left" vertical="center" wrapText="1"/>
    </xf>
    <xf numFmtId="0" fontId="22" fillId="20" borderId="238" xfId="0" applyFont="1" applyFill="1" applyBorder="1" applyAlignment="1">
      <alignment horizontal="left" vertical="center" wrapText="1"/>
    </xf>
    <xf numFmtId="0" fontId="22" fillId="20" borderId="239" xfId="0" applyFont="1" applyFill="1" applyBorder="1" applyAlignment="1">
      <alignment horizontal="left" vertical="center" wrapText="1"/>
    </xf>
    <xf numFmtId="0" fontId="55" fillId="62" borderId="236" xfId="0" applyFont="1" applyFill="1" applyBorder="1" applyAlignment="1"/>
    <xf numFmtId="0" fontId="55" fillId="62" borderId="237" xfId="0" applyFont="1" applyFill="1" applyBorder="1" applyAlignment="1"/>
    <xf numFmtId="0" fontId="20" fillId="7" borderId="139" xfId="0" applyFont="1" applyFill="1" applyBorder="1" applyAlignment="1">
      <alignment horizontal="center" vertical="center"/>
    </xf>
    <xf numFmtId="0" fontId="20" fillId="7" borderId="121" xfId="0" applyFont="1" applyFill="1" applyBorder="1" applyAlignment="1">
      <alignment horizontal="center" vertical="center"/>
    </xf>
    <xf numFmtId="0" fontId="20" fillId="7" borderId="126" xfId="0" applyFont="1" applyFill="1" applyBorder="1" applyAlignment="1">
      <alignment horizontal="center" vertical="center"/>
    </xf>
    <xf numFmtId="0" fontId="9" fillId="9" borderId="142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 vertical="center"/>
    </xf>
    <xf numFmtId="0" fontId="9" fillId="9" borderId="143" xfId="0" applyFont="1" applyFill="1" applyBorder="1" applyAlignment="1">
      <alignment horizontal="center" vertical="center"/>
    </xf>
    <xf numFmtId="0" fontId="9" fillId="9" borderId="207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235" xfId="0" applyFont="1" applyFill="1" applyBorder="1" applyAlignment="1">
      <alignment horizontal="center" vertical="center"/>
    </xf>
    <xf numFmtId="0" fontId="22" fillId="24" borderId="232" xfId="0" applyFont="1" applyFill="1" applyBorder="1" applyAlignment="1">
      <alignment horizontal="center" vertical="center" wrapText="1"/>
    </xf>
    <xf numFmtId="0" fontId="22" fillId="24" borderId="233" xfId="0" applyFont="1" applyFill="1" applyBorder="1" applyAlignment="1">
      <alignment horizontal="center" vertical="center" wrapText="1"/>
    </xf>
    <xf numFmtId="0" fontId="22" fillId="25" borderId="234" xfId="0" applyFont="1" applyFill="1" applyBorder="1" applyAlignment="1">
      <alignment horizontal="left" vertical="center" wrapText="1"/>
    </xf>
    <xf numFmtId="0" fontId="22" fillId="25" borderId="202" xfId="0" applyFont="1" applyFill="1" applyBorder="1" applyAlignment="1">
      <alignment horizontal="left" vertical="center" wrapText="1"/>
    </xf>
    <xf numFmtId="0" fontId="22" fillId="9" borderId="232" xfId="0" applyFont="1" applyFill="1" applyBorder="1" applyAlignment="1">
      <alignment horizontal="left" vertical="center" wrapText="1"/>
    </xf>
    <xf numFmtId="0" fontId="22" fillId="9" borderId="233" xfId="0" applyFont="1" applyFill="1" applyBorder="1" applyAlignment="1">
      <alignment horizontal="left" vertical="center" wrapText="1"/>
    </xf>
  </cellXfs>
  <cellStyles count="5">
    <cellStyle name="Hyperlink" xfId="4"/>
    <cellStyle name="Normal" xfId="0" builtinId="0"/>
    <cellStyle name="Porcentagem" xfId="2" builtinId="5"/>
    <cellStyle name="TableStyleLight1" xfId="3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DDDDDD"/>
      <rgbColor rgb="FFFFFF00"/>
      <rgbColor rgb="FFF4B183"/>
      <rgbColor rgb="FFA9D18E"/>
      <rgbColor rgb="FFD9D9D9"/>
      <rgbColor rgb="FF5EB91E"/>
      <rgbColor rgb="FFFFE699"/>
      <rgbColor rgb="FF70AD47"/>
      <rgbColor rgb="FFCCCCCC"/>
      <rgbColor rgb="FF8FAADC"/>
      <rgbColor rgb="FFC0C0C0"/>
      <rgbColor rgb="FF808080"/>
      <rgbColor rgb="FF8EA9DB"/>
      <rgbColor rgb="FFA1467E"/>
      <rgbColor rgb="FFFFFFCC"/>
      <rgbColor rgb="FFDEEBF7"/>
      <rgbColor rgb="FFFFCCCC"/>
      <rgbColor rgb="FFBF819E"/>
      <rgbColor rgb="FFB4C6E7"/>
      <rgbColor rgb="FFCCCCFF"/>
      <rgbColor rgb="FFFFF2CC"/>
      <rgbColor rgb="FFC1C1C1"/>
      <rgbColor rgb="FFFFD966"/>
      <rgbColor rgb="FFA9D08E"/>
      <rgbColor rgb="FFD0CECE"/>
      <rgbColor rgb="FFDBDBDB"/>
      <rgbColor rgb="FFADB9CA"/>
      <rgbColor rgb="FFFCE4D6"/>
      <rgbColor rgb="FF00CCFF"/>
      <rgbColor rgb="FFD9E1F2"/>
      <rgbColor rgb="FFC6E0B4"/>
      <rgbColor rgb="FFFFFF99"/>
      <rgbColor rgb="FF9BC2E6"/>
      <rgbColor rgb="FFFF9999"/>
      <rgbColor rgb="FFCC99FF"/>
      <rgbColor rgb="FFF8CBAD"/>
      <rgbColor rgb="FF729FCF"/>
      <rgbColor rgb="FF5B9BD5"/>
      <rgbColor rgb="FFBBE33D"/>
      <rgbColor rgb="FFFFCC00"/>
      <rgbColor rgb="FFFFC000"/>
      <rgbColor rgb="FFFD6802"/>
      <rgbColor rgb="FF5983B0"/>
      <rgbColor rgb="FF8497B0"/>
      <rgbColor rgb="FFB4C7DC"/>
      <rgbColor rgb="FF49873A"/>
      <rgbColor rgb="FFD6DCE4"/>
      <rgbColor rgb="FF3D4C2F"/>
      <rgbColor rgb="FF824802"/>
      <rgbColor rgb="FFA6A6A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7070"/>
      <color rgb="FFF7C8DA"/>
      <color rgb="FFFAC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3C0B"/>
  </sheetPr>
  <dimension ref="A1:AMK1048516"/>
  <sheetViews>
    <sheetView zoomScale="80" zoomScaleNormal="80" workbookViewId="0">
      <selection activeCell="C7" sqref="C7"/>
    </sheetView>
  </sheetViews>
  <sheetFormatPr defaultRowHeight="14.25" x14ac:dyDescent="0.2"/>
  <cols>
    <col min="1" max="1" width="4.375" style="4"/>
    <col min="2" max="2" width="39.75" style="4"/>
    <col min="3" max="3" width="11" style="4"/>
    <col min="4" max="4" width="15.625" style="4"/>
    <col min="5" max="5" width="10" style="5"/>
    <col min="6" max="6" width="10.75" style="5"/>
    <col min="7" max="7" width="20.375" style="5" customWidth="1"/>
    <col min="8" max="8" width="26.625" style="5"/>
    <col min="9" max="9" width="12.75" style="5"/>
    <col min="10" max="10" width="10.75" style="5"/>
    <col min="11" max="11" width="8.875" style="5"/>
    <col min="12" max="12" width="10.75" style="5"/>
    <col min="13" max="13" width="8.875" style="5" customWidth="1"/>
    <col min="14" max="14" width="36" style="5" bestFit="1" customWidth="1"/>
    <col min="15" max="15" width="8.875" style="4"/>
    <col min="16" max="16" width="10.375" style="4"/>
    <col min="17" max="17" width="8.25" style="4" customWidth="1"/>
    <col min="18" max="18" width="6.25" style="4"/>
    <col min="19" max="20" width="11.125" style="4"/>
    <col min="21" max="21" width="12.5" style="4"/>
    <col min="22" max="22" width="3.75" style="4"/>
    <col min="23" max="23" width="8.125" style="4"/>
    <col min="24" max="24" width="8" style="4"/>
    <col min="25" max="1025" width="10.5" style="4"/>
  </cols>
  <sheetData>
    <row r="1" spans="1:17" ht="23.25" x14ac:dyDescent="0.2">
      <c r="A1" s="2"/>
      <c r="B1" s="902" t="s">
        <v>0</v>
      </c>
      <c r="C1" s="902"/>
      <c r="D1" s="902"/>
      <c r="E1" s="902"/>
      <c r="F1" s="902"/>
      <c r="G1" s="902"/>
      <c r="H1" s="902"/>
      <c r="I1" s="902"/>
      <c r="J1" s="902"/>
      <c r="K1" s="902"/>
      <c r="L1" s="902"/>
      <c r="M1"/>
      <c r="N1"/>
      <c r="O1"/>
      <c r="P1"/>
      <c r="Q1"/>
    </row>
    <row r="2" spans="1:17" x14ac:dyDescent="0.2">
      <c r="B2" s="6"/>
      <c r="C2" s="6"/>
      <c r="D2" s="6"/>
      <c r="E2" s="6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B3" s="7" t="s">
        <v>1</v>
      </c>
      <c r="C3" s="903" t="s">
        <v>2</v>
      </c>
      <c r="D3" s="903"/>
      <c r="E3" s="3">
        <v>22</v>
      </c>
      <c r="F3"/>
      <c r="G3"/>
      <c r="H3"/>
      <c r="I3"/>
      <c r="J3"/>
      <c r="K3"/>
      <c r="L3"/>
      <c r="M3"/>
      <c r="N3"/>
      <c r="O3"/>
      <c r="P3"/>
      <c r="Q3"/>
    </row>
    <row r="4" spans="1:17" x14ac:dyDescent="0.2">
      <c r="B4"/>
      <c r="C4" s="904" t="s">
        <v>3</v>
      </c>
      <c r="D4" s="904"/>
      <c r="E4" s="8">
        <v>30</v>
      </c>
      <c r="F4"/>
      <c r="G4"/>
      <c r="H4"/>
      <c r="I4"/>
      <c r="J4"/>
      <c r="K4"/>
      <c r="L4"/>
      <c r="M4"/>
      <c r="N4"/>
      <c r="O4"/>
      <c r="P4"/>
      <c r="Q4"/>
    </row>
    <row r="5" spans="1:17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ht="17.100000000000001" customHeight="1" x14ac:dyDescent="0.2">
      <c r="A6" s="2"/>
      <c r="B6" s="888" t="s">
        <v>4</v>
      </c>
      <c r="C6" s="888"/>
      <c r="D6" s="888"/>
      <c r="E6" s="888"/>
      <c r="F6" s="888"/>
      <c r="G6" s="888"/>
      <c r="H6" s="888"/>
      <c r="I6" s="888"/>
      <c r="J6" s="888"/>
      <c r="K6" s="888"/>
      <c r="L6" s="888"/>
      <c r="M6"/>
      <c r="N6"/>
      <c r="O6"/>
      <c r="P6"/>
      <c r="Q6"/>
    </row>
    <row r="7" spans="1:17" x14ac:dyDescent="0.2">
      <c r="B7" s="9" t="s">
        <v>5</v>
      </c>
      <c r="C7" s="10" t="s">
        <v>6</v>
      </c>
      <c r="D7" s="10" t="s">
        <v>7</v>
      </c>
      <c r="E7" s="11" t="s">
        <v>8</v>
      </c>
      <c r="F7"/>
      <c r="G7" s="10" t="s">
        <v>6</v>
      </c>
      <c r="H7" s="10" t="s">
        <v>7</v>
      </c>
      <c r="I7" s="11" t="s">
        <v>8</v>
      </c>
      <c r="J7"/>
      <c r="K7"/>
      <c r="L7"/>
      <c r="M7"/>
      <c r="N7"/>
      <c r="O7"/>
      <c r="P7"/>
      <c r="Q7"/>
    </row>
    <row r="8" spans="1:17" x14ac:dyDescent="0.2">
      <c r="B8"/>
      <c r="C8" s="7" t="s">
        <v>9</v>
      </c>
      <c r="D8" s="12">
        <v>44593</v>
      </c>
      <c r="E8" s="13" t="s">
        <v>10</v>
      </c>
      <c r="F8"/>
      <c r="G8" s="7" t="s">
        <v>11</v>
      </c>
      <c r="H8" s="12">
        <v>44593</v>
      </c>
      <c r="I8" s="13" t="s">
        <v>10</v>
      </c>
      <c r="J8"/>
      <c r="K8"/>
      <c r="L8"/>
      <c r="M8"/>
      <c r="N8"/>
      <c r="O8"/>
      <c r="P8"/>
      <c r="Q8"/>
    </row>
    <row r="9" spans="1:17" x14ac:dyDescent="0.2">
      <c r="B9"/>
      <c r="C9" s="905" t="s">
        <v>12</v>
      </c>
      <c r="D9" s="905"/>
      <c r="E9" s="905"/>
      <c r="F9"/>
      <c r="G9" s="905" t="s">
        <v>12</v>
      </c>
      <c r="H9" s="905"/>
      <c r="I9" s="905"/>
      <c r="J9"/>
      <c r="K9"/>
      <c r="L9"/>
      <c r="M9"/>
      <c r="N9"/>
      <c r="O9"/>
      <c r="P9"/>
      <c r="Q9"/>
    </row>
    <row r="10" spans="1:17" x14ac:dyDescent="0.2">
      <c r="B10" s="9" t="s">
        <v>13</v>
      </c>
      <c r="C10" s="3">
        <v>44</v>
      </c>
      <c r="D10" s="3">
        <v>40</v>
      </c>
      <c r="E10" s="3">
        <v>30</v>
      </c>
      <c r="F10"/>
      <c r="G10" s="3">
        <v>44</v>
      </c>
      <c r="H10" s="3">
        <v>40</v>
      </c>
      <c r="I10" s="3">
        <v>30</v>
      </c>
      <c r="J10"/>
      <c r="K10"/>
      <c r="L10"/>
      <c r="M10"/>
      <c r="N10"/>
      <c r="O10"/>
      <c r="P10"/>
      <c r="Q10"/>
    </row>
    <row r="11" spans="1:17" x14ac:dyDescent="0.2">
      <c r="C11" s="14">
        <v>1322.72</v>
      </c>
      <c r="D11" s="15">
        <f>C11/C10*D10</f>
        <v>1202.4727272727273</v>
      </c>
      <c r="E11" s="15">
        <f>C11/220*180</f>
        <v>1082.2254545454546</v>
      </c>
      <c r="F11"/>
      <c r="G11" s="14">
        <v>1446.9</v>
      </c>
      <c r="H11" s="15">
        <f>G11/G10*H10</f>
        <v>1315.3636363636363</v>
      </c>
      <c r="I11" s="15">
        <f>G11/G10*I10</f>
        <v>986.52272727272725</v>
      </c>
      <c r="J11"/>
      <c r="K11"/>
      <c r="L11"/>
      <c r="M11"/>
      <c r="N11"/>
      <c r="O11"/>
      <c r="P11"/>
      <c r="Q11"/>
    </row>
    <row r="12" spans="1:17" x14ac:dyDescent="0.2">
      <c r="B12" s="9" t="s">
        <v>14</v>
      </c>
      <c r="C12" s="16">
        <v>1809.07</v>
      </c>
      <c r="D12" s="15" t="s">
        <v>15</v>
      </c>
      <c r="E12" s="15"/>
      <c r="F12"/>
      <c r="G12" s="16">
        <v>1883.44</v>
      </c>
      <c r="H12" s="15">
        <f>G12/G10*H10</f>
        <v>1712.2181818181818</v>
      </c>
      <c r="I12" s="15"/>
      <c r="J12"/>
      <c r="K12"/>
      <c r="L12"/>
      <c r="M12"/>
      <c r="N12"/>
      <c r="O12"/>
      <c r="P12"/>
      <c r="Q12"/>
    </row>
    <row r="13" spans="1:17" x14ac:dyDescent="0.2">
      <c r="B13" s="9" t="s">
        <v>16</v>
      </c>
      <c r="C13" s="16">
        <v>2261.17</v>
      </c>
      <c r="D13" s="15" t="s">
        <v>15</v>
      </c>
      <c r="E13" s="15"/>
      <c r="F13"/>
      <c r="G13" s="16">
        <v>33.9</v>
      </c>
      <c r="H13" s="15"/>
      <c r="I13" s="15">
        <f>G13</f>
        <v>33.9</v>
      </c>
      <c r="J13"/>
      <c r="K13"/>
      <c r="L13"/>
      <c r="M13"/>
      <c r="N13"/>
      <c r="O13"/>
      <c r="P13"/>
      <c r="Q13"/>
    </row>
    <row r="14" spans="1:17" x14ac:dyDescent="0.2">
      <c r="B14" s="9" t="s">
        <v>17</v>
      </c>
      <c r="C14" s="16">
        <f>C11</f>
        <v>1322.72</v>
      </c>
      <c r="D14" s="15" t="s">
        <v>18</v>
      </c>
      <c r="E14" s="15"/>
      <c r="F14"/>
      <c r="G14" s="16">
        <f>G11</f>
        <v>1446.9</v>
      </c>
      <c r="H14" s="15" t="s">
        <v>18</v>
      </c>
      <c r="I14" s="15"/>
      <c r="J14"/>
      <c r="K14"/>
      <c r="L14"/>
      <c r="M14"/>
      <c r="N14"/>
      <c r="O14"/>
      <c r="P14"/>
      <c r="Q14"/>
    </row>
    <row r="15" spans="1:17" x14ac:dyDescent="0.2">
      <c r="C15" s="824"/>
      <c r="D15" s="825"/>
      <c r="E15" s="82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">
      <c r="B16" s="425" t="s">
        <v>19</v>
      </c>
      <c r="C16" s="426">
        <v>183.8</v>
      </c>
      <c r="D16" s="825"/>
      <c r="E16" s="825"/>
      <c r="F16"/>
      <c r="G16"/>
      <c r="H16"/>
      <c r="I16"/>
      <c r="J16"/>
      <c r="K16"/>
      <c r="L16"/>
      <c r="M16"/>
      <c r="N16"/>
      <c r="O16"/>
      <c r="P16"/>
      <c r="Q16"/>
    </row>
    <row r="17" spans="1:17" x14ac:dyDescent="0.2">
      <c r="B17" s="424" t="s">
        <v>20</v>
      </c>
      <c r="C17"/>
      <c r="D17" s="825"/>
      <c r="E17" s="825"/>
      <c r="F17"/>
      <c r="G17"/>
      <c r="H17"/>
      <c r="I17"/>
      <c r="J17"/>
      <c r="K17"/>
      <c r="L17"/>
      <c r="M17"/>
      <c r="N17"/>
      <c r="O17"/>
      <c r="P17"/>
      <c r="Q17"/>
    </row>
    <row r="18" spans="1:17" x14ac:dyDescent="0.2">
      <c r="C18" s="824"/>
      <c r="D18" s="825"/>
      <c r="E18" s="825"/>
      <c r="F18"/>
      <c r="G18"/>
      <c r="H18"/>
      <c r="I18"/>
      <c r="J18"/>
      <c r="K18"/>
      <c r="L18"/>
      <c r="M18"/>
      <c r="N18"/>
      <c r="O18"/>
      <c r="P18"/>
      <c r="Q18"/>
    </row>
    <row r="19" spans="1:17" ht="15.75" x14ac:dyDescent="0.2">
      <c r="A19" s="2"/>
      <c r="B19" s="888" t="s">
        <v>21</v>
      </c>
      <c r="C19" s="888"/>
      <c r="D19" s="888"/>
      <c r="E19" s="888"/>
      <c r="F19" s="888"/>
      <c r="G19" s="888"/>
      <c r="H19" s="888"/>
      <c r="I19" s="888"/>
      <c r="J19" s="888"/>
      <c r="K19" s="888"/>
      <c r="L19" s="888"/>
      <c r="M19"/>
      <c r="N19"/>
      <c r="O19"/>
      <c r="P19"/>
      <c r="Q19"/>
    </row>
    <row r="20" spans="1:17" ht="24" x14ac:dyDescent="0.2">
      <c r="B20" s="263" t="s">
        <v>22</v>
      </c>
      <c r="C20" s="264"/>
      <c r="D20" s="264" t="s">
        <v>23</v>
      </c>
      <c r="E20" s="265" t="s">
        <v>24</v>
      </c>
      <c r="F20"/>
      <c r="G20" s="263" t="s">
        <v>22</v>
      </c>
      <c r="H20" s="264"/>
      <c r="I20" s="264" t="s">
        <v>23</v>
      </c>
      <c r="J20" s="265" t="s">
        <v>24</v>
      </c>
      <c r="K20"/>
      <c r="L20"/>
      <c r="M20"/>
      <c r="N20"/>
      <c r="O20"/>
      <c r="P20"/>
      <c r="Q20"/>
    </row>
    <row r="21" spans="1:17" x14ac:dyDescent="0.2">
      <c r="B21" s="262" t="s">
        <v>25</v>
      </c>
      <c r="C21" s="316">
        <f>20.08*E3</f>
        <v>441.76</v>
      </c>
      <c r="D21" s="317">
        <v>0.01</v>
      </c>
      <c r="E21" s="17">
        <f>ROUND(C21*(1-D21),2)</f>
        <v>437.34</v>
      </c>
      <c r="F21"/>
      <c r="G21" s="262" t="s">
        <v>26</v>
      </c>
      <c r="H21" s="316">
        <v>500.85</v>
      </c>
      <c r="I21" s="317">
        <v>0.2</v>
      </c>
      <c r="J21" s="17">
        <f>ROUND(H21*0.8,2)</f>
        <v>400.68</v>
      </c>
      <c r="K21"/>
      <c r="L21"/>
      <c r="M21"/>
      <c r="N21"/>
      <c r="O21"/>
      <c r="P21"/>
      <c r="Q21"/>
    </row>
    <row r="22" spans="1:17" ht="17.100000000000001" customHeight="1" x14ac:dyDescent="0.2">
      <c r="B22" s="7" t="s">
        <v>27</v>
      </c>
      <c r="C22" s="318">
        <f>16.51*E3</f>
        <v>363.22</v>
      </c>
      <c r="D22" s="319">
        <f>D21</f>
        <v>0.01</v>
      </c>
      <c r="E22" s="17">
        <f>ROUND(C22*(1-D22),2)</f>
        <v>359.59</v>
      </c>
      <c r="F22"/>
      <c r="G22" s="7" t="s">
        <v>28</v>
      </c>
      <c r="H22" s="318">
        <f>H21</f>
        <v>500.85</v>
      </c>
      <c r="I22" s="319">
        <f>I21</f>
        <v>0.2</v>
      </c>
      <c r="J22" s="318">
        <f>ROUND(H22*0.8,2)</f>
        <v>400.68</v>
      </c>
      <c r="K22"/>
      <c r="L22"/>
      <c r="M22"/>
      <c r="N22"/>
      <c r="O22"/>
      <c r="P22"/>
      <c r="Q22"/>
    </row>
    <row r="23" spans="1:17" x14ac:dyDescent="0.2">
      <c r="B23" s="7" t="s">
        <v>29</v>
      </c>
      <c r="C23" s="318"/>
      <c r="D23" s="319">
        <v>0.06</v>
      </c>
      <c r="E23" s="318"/>
      <c r="F23"/>
      <c r="G23" s="7" t="s">
        <v>29</v>
      </c>
      <c r="H23" s="318"/>
      <c r="I23" s="319">
        <v>0.06</v>
      </c>
      <c r="J23" s="318"/>
      <c r="K23"/>
      <c r="L23"/>
      <c r="M23"/>
      <c r="N23"/>
      <c r="O23"/>
      <c r="P23"/>
      <c r="Q23"/>
    </row>
    <row r="24" spans="1:17" ht="12.95" customHeight="1" x14ac:dyDescent="0.2">
      <c r="B24" s="7" t="s">
        <v>30</v>
      </c>
      <c r="C24" s="319">
        <v>7.0000000000000007E-2</v>
      </c>
      <c r="D24" s="319"/>
      <c r="E24" s="318"/>
      <c r="F24"/>
      <c r="G24" s="7" t="s">
        <v>31</v>
      </c>
      <c r="H24" s="318"/>
      <c r="I24" s="319"/>
      <c r="J24" s="318"/>
      <c r="K24"/>
      <c r="L24"/>
      <c r="M24"/>
      <c r="N24"/>
      <c r="O24"/>
      <c r="P24"/>
      <c r="Q24"/>
    </row>
    <row r="25" spans="1:17" x14ac:dyDescent="0.2">
      <c r="B25" s="7" t="s">
        <v>32</v>
      </c>
      <c r="C25" s="15">
        <v>11</v>
      </c>
      <c r="D25" s="318"/>
      <c r="E25" s="15">
        <f>C25</f>
        <v>11</v>
      </c>
      <c r="F25"/>
      <c r="G25" s="7" t="s">
        <v>33</v>
      </c>
      <c r="H25" s="15"/>
      <c r="I25" s="318"/>
      <c r="J25" s="15"/>
      <c r="K25"/>
      <c r="L25"/>
      <c r="M25"/>
      <c r="N25"/>
      <c r="O25"/>
      <c r="P25"/>
      <c r="Q25"/>
    </row>
    <row r="26" spans="1:17" x14ac:dyDescent="0.2">
      <c r="B26" s="18"/>
      <c r="C26" s="270"/>
      <c r="D26" s="15"/>
      <c r="E26" s="15"/>
      <c r="F26"/>
      <c r="G26" s="18" t="s">
        <v>34</v>
      </c>
      <c r="H26" s="270">
        <v>1.4999999999999999E-2</v>
      </c>
      <c r="I26" s="15"/>
      <c r="J26" s="15">
        <f>(H26*H16)*22</f>
        <v>0</v>
      </c>
      <c r="K26"/>
      <c r="L26"/>
      <c r="M26"/>
      <c r="N26"/>
      <c r="O26"/>
      <c r="P26"/>
      <c r="Q26"/>
    </row>
    <row r="27" spans="1:17" x14ac:dyDescent="0.2">
      <c r="B27" s="18"/>
      <c r="C27" s="320"/>
      <c r="D27" s="318"/>
      <c r="E27" s="15"/>
      <c r="F27"/>
      <c r="G27" s="18"/>
      <c r="H27" s="320"/>
      <c r="I27" s="318"/>
      <c r="J27" s="15"/>
      <c r="K27"/>
      <c r="L27"/>
      <c r="M27"/>
      <c r="N27"/>
      <c r="O27"/>
      <c r="P27"/>
      <c r="Q27"/>
    </row>
    <row r="28" spans="1:17" ht="12.95" customHeight="1" x14ac:dyDescent="0.2">
      <c r="B28" s="302"/>
      <c r="C28" s="19"/>
      <c r="D28" s="319"/>
      <c r="E28" s="19"/>
      <c r="F28"/>
      <c r="G28" s="302" t="s">
        <v>35</v>
      </c>
      <c r="H28" s="19">
        <v>71.5</v>
      </c>
      <c r="I28" s="319"/>
      <c r="J28" s="19">
        <f>H28</f>
        <v>71.5</v>
      </c>
      <c r="K28"/>
      <c r="L28"/>
      <c r="M28"/>
      <c r="N28"/>
      <c r="O28"/>
      <c r="P28"/>
      <c r="Q28"/>
    </row>
    <row r="29" spans="1:17" ht="12.95" customHeight="1" x14ac:dyDescent="0.2">
      <c r="B29" s="303"/>
      <c r="C29" s="304"/>
      <c r="D29" s="319"/>
      <c r="E29" s="19"/>
      <c r="F29"/>
      <c r="G29" s="303" t="s">
        <v>36</v>
      </c>
      <c r="H29" s="304">
        <v>23.5</v>
      </c>
      <c r="I29" s="319"/>
      <c r="J29" s="19">
        <f>H29</f>
        <v>23.5</v>
      </c>
      <c r="K29"/>
      <c r="L29"/>
      <c r="M29"/>
      <c r="N29"/>
      <c r="O29"/>
      <c r="P29"/>
      <c r="Q29"/>
    </row>
    <row r="30" spans="1:17" x14ac:dyDescent="0.2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x14ac:dyDescent="0.2">
      <c r="B31"/>
      <c r="C31"/>
      <c r="D31" s="5"/>
      <c r="E31"/>
      <c r="F31"/>
      <c r="G31"/>
      <c r="H31"/>
      <c r="I31"/>
      <c r="J31" s="20"/>
      <c r="K31"/>
      <c r="L31"/>
      <c r="M31"/>
      <c r="N31"/>
    </row>
    <row r="32" spans="1:17" s="4" customFormat="1" ht="15.75" x14ac:dyDescent="0.2">
      <c r="A32" s="2"/>
      <c r="B32" s="888" t="s">
        <v>37</v>
      </c>
      <c r="C32" s="888"/>
      <c r="D32" s="888"/>
      <c r="E32" s="888"/>
      <c r="F32" s="888"/>
      <c r="G32" s="888"/>
      <c r="H32" s="888"/>
      <c r="I32" s="888"/>
      <c r="J32" s="888"/>
      <c r="K32" s="888"/>
      <c r="L32" s="888"/>
    </row>
    <row r="33" spans="1:14" s="4" customFormat="1" ht="12" x14ac:dyDescent="0.2">
      <c r="B33" s="897" t="s">
        <v>38</v>
      </c>
      <c r="C33" s="897"/>
      <c r="D33" s="897"/>
      <c r="E33" s="897"/>
      <c r="F33" s="897"/>
      <c r="G33" s="897"/>
      <c r="H33" s="897"/>
      <c r="I33" s="897"/>
      <c r="J33" s="897"/>
      <c r="K33" s="897"/>
      <c r="L33" s="897"/>
    </row>
    <row r="34" spans="1:14" s="4" customFormat="1" ht="12" x14ac:dyDescent="0.2">
      <c r="B34" s="901" t="s">
        <v>39</v>
      </c>
      <c r="C34" s="901"/>
      <c r="D34" s="901"/>
      <c r="E34" s="901"/>
      <c r="F34" s="901"/>
      <c r="G34" s="901"/>
      <c r="H34" s="901"/>
      <c r="I34" s="901"/>
      <c r="J34" s="901"/>
      <c r="K34" s="901"/>
      <c r="L34" s="901"/>
    </row>
    <row r="35" spans="1:14" s="4" customFormat="1" ht="12" x14ac:dyDescent="0.2">
      <c r="B35" s="897" t="s">
        <v>40</v>
      </c>
      <c r="C35" s="897"/>
      <c r="D35" s="897"/>
      <c r="E35" s="897"/>
      <c r="F35" s="897"/>
      <c r="G35" s="897"/>
      <c r="H35" s="897"/>
      <c r="I35" s="897"/>
      <c r="J35" s="897"/>
      <c r="K35" s="897"/>
      <c r="L35" s="897"/>
    </row>
    <row r="36" spans="1:14" s="4" customFormat="1" ht="12" x14ac:dyDescent="0.2">
      <c r="B36" s="898" t="s">
        <v>41</v>
      </c>
      <c r="C36" s="898"/>
      <c r="D36" s="898"/>
      <c r="E36" s="898"/>
      <c r="F36" s="898"/>
      <c r="G36" s="898"/>
      <c r="H36" s="898"/>
      <c r="I36" s="898"/>
      <c r="J36" s="898"/>
      <c r="K36" s="898"/>
      <c r="L36" s="898"/>
    </row>
    <row r="37" spans="1:14" s="4" customFormat="1" ht="12" x14ac:dyDescent="0.2">
      <c r="B37" s="897" t="s">
        <v>42</v>
      </c>
      <c r="C37" s="897"/>
      <c r="D37" s="897"/>
      <c r="E37" s="897"/>
      <c r="F37" s="897"/>
      <c r="G37" s="897"/>
      <c r="H37" s="897"/>
      <c r="I37" s="897"/>
      <c r="J37" s="897"/>
      <c r="K37" s="897"/>
      <c r="L37" s="897"/>
    </row>
    <row r="38" spans="1:14" s="4" customFormat="1" ht="12" x14ac:dyDescent="0.2">
      <c r="B38" s="900" t="s">
        <v>43</v>
      </c>
      <c r="C38" s="900"/>
      <c r="D38" s="900"/>
      <c r="E38" s="900"/>
      <c r="F38" s="900"/>
      <c r="G38" s="900"/>
      <c r="H38" s="900"/>
      <c r="I38" s="900"/>
      <c r="J38" s="900"/>
      <c r="K38" s="900"/>
      <c r="L38" s="900"/>
    </row>
    <row r="39" spans="1:14" s="4" customFormat="1" ht="12" x14ac:dyDescent="0.2">
      <c r="B39" s="898" t="s">
        <v>44</v>
      </c>
      <c r="C39" s="898"/>
      <c r="D39" s="898"/>
      <c r="E39" s="898"/>
      <c r="F39" s="898"/>
      <c r="G39" s="898"/>
      <c r="H39" s="898"/>
      <c r="I39" s="898"/>
      <c r="J39" s="898"/>
      <c r="K39" s="898"/>
      <c r="L39" s="898"/>
    </row>
    <row r="40" spans="1:14" s="4" customFormat="1" ht="12" x14ac:dyDescent="0.2">
      <c r="B40" s="898" t="s">
        <v>45</v>
      </c>
      <c r="C40" s="898"/>
      <c r="D40" s="898"/>
      <c r="E40" s="898"/>
      <c r="F40" s="898"/>
      <c r="G40" s="898"/>
      <c r="H40" s="898"/>
      <c r="I40" s="898"/>
      <c r="J40" s="898"/>
      <c r="K40" s="898"/>
      <c r="L40" s="898"/>
    </row>
    <row r="41" spans="1:14" s="4" customFormat="1" ht="12" x14ac:dyDescent="0.2">
      <c r="B41" s="897" t="s">
        <v>46</v>
      </c>
      <c r="C41" s="897"/>
      <c r="D41" s="897"/>
      <c r="E41" s="897"/>
      <c r="F41" s="897"/>
      <c r="G41" s="897"/>
      <c r="H41" s="897"/>
      <c r="I41" s="897"/>
      <c r="J41" s="897"/>
      <c r="K41" s="897"/>
      <c r="L41" s="897"/>
    </row>
    <row r="42" spans="1:14" s="4" customFormat="1" ht="12" x14ac:dyDescent="0.2">
      <c r="B42" s="898" t="s">
        <v>47</v>
      </c>
      <c r="C42" s="898"/>
      <c r="D42" s="898"/>
      <c r="E42" s="898"/>
      <c r="F42" s="898"/>
      <c r="G42" s="898"/>
      <c r="H42" s="898"/>
      <c r="I42" s="898"/>
      <c r="J42" s="898"/>
      <c r="K42" s="898"/>
      <c r="L42" s="898"/>
      <c r="N42" s="20"/>
    </row>
    <row r="43" spans="1:14" s="4" customFormat="1" x14ac:dyDescent="0.2">
      <c r="B43"/>
      <c r="C43"/>
      <c r="D43" s="5"/>
      <c r="E43"/>
      <c r="F43"/>
      <c r="G43"/>
      <c r="H43"/>
      <c r="I43"/>
      <c r="J43"/>
      <c r="N43" s="20"/>
    </row>
    <row r="44" spans="1:14" ht="15.75" x14ac:dyDescent="0.2">
      <c r="A44" s="2"/>
      <c r="B44" s="888" t="s">
        <v>48</v>
      </c>
      <c r="C44" s="888"/>
      <c r="D44" s="888"/>
      <c r="E44" s="888"/>
      <c r="F44" s="888"/>
      <c r="G44" s="888"/>
      <c r="H44" s="888"/>
      <c r="I44" s="888"/>
      <c r="J44" s="888"/>
      <c r="K44" s="888"/>
      <c r="L44" s="888"/>
      <c r="M44" s="20"/>
      <c r="N44" s="20"/>
    </row>
    <row r="45" spans="1:14" x14ac:dyDescent="0.2">
      <c r="B45" s="897" t="s">
        <v>49</v>
      </c>
      <c r="C45" s="897"/>
      <c r="D45" s="897"/>
      <c r="E45" s="897"/>
      <c r="F45" s="897"/>
      <c r="G45" s="897"/>
      <c r="H45" s="897"/>
      <c r="I45" s="897"/>
      <c r="J45" s="897"/>
      <c r="K45" s="897"/>
      <c r="L45" s="897"/>
      <c r="M45" s="20"/>
      <c r="N45" s="20"/>
    </row>
    <row r="46" spans="1:14" ht="26.1" customHeight="1" x14ac:dyDescent="0.2">
      <c r="B46" s="1" t="s">
        <v>50</v>
      </c>
      <c r="C46" s="899" t="s">
        <v>51</v>
      </c>
      <c r="D46" s="899"/>
      <c r="E46" s="899"/>
      <c r="F46" s="899"/>
      <c r="G46" s="899"/>
      <c r="H46" s="899"/>
      <c r="I46" s="899"/>
      <c r="J46" s="899"/>
      <c r="K46" s="899"/>
      <c r="L46" s="899"/>
      <c r="M46" s="20"/>
      <c r="N46" s="20"/>
    </row>
    <row r="47" spans="1:14" ht="26.1" customHeight="1" x14ac:dyDescent="0.2">
      <c r="B47" s="255" t="s">
        <v>52</v>
      </c>
      <c r="C47" s="896" t="s">
        <v>53</v>
      </c>
      <c r="D47" s="896"/>
      <c r="E47" s="896"/>
      <c r="F47" s="896"/>
      <c r="G47" s="896"/>
      <c r="H47" s="896"/>
      <c r="I47" s="896"/>
      <c r="J47" s="896"/>
      <c r="K47" s="896"/>
      <c r="L47" s="896"/>
      <c r="M47" s="20"/>
      <c r="N47" s="20"/>
    </row>
    <row r="48" spans="1:14" x14ac:dyDescent="0.2">
      <c r="B48" s="21"/>
      <c r="C48" s="895" t="s">
        <v>54</v>
      </c>
      <c r="D48" s="895"/>
      <c r="E48" s="22">
        <v>1</v>
      </c>
      <c r="F48" s="20"/>
      <c r="G48" s="20"/>
      <c r="H48" s="20"/>
      <c r="I48" s="20"/>
      <c r="J48" s="20"/>
      <c r="K48" s="20"/>
      <c r="L48" s="20"/>
      <c r="M48" s="20"/>
      <c r="N48" s="20"/>
    </row>
    <row r="49" spans="2:14" x14ac:dyDescent="0.2">
      <c r="B49"/>
      <c r="C49" s="895" t="s">
        <v>55</v>
      </c>
      <c r="D49" s="895"/>
      <c r="E49" s="22">
        <v>3.4931999999999999</v>
      </c>
      <c r="F49" s="20"/>
      <c r="G49" s="20" t="s">
        <v>56</v>
      </c>
      <c r="H49" s="20"/>
      <c r="I49" s="20"/>
      <c r="J49" s="20"/>
      <c r="K49" s="20"/>
      <c r="L49" s="20"/>
      <c r="M49" s="20"/>
      <c r="N49" s="20"/>
    </row>
    <row r="50" spans="2:14" x14ac:dyDescent="0.2">
      <c r="B50"/>
      <c r="C50" s="895" t="s">
        <v>57</v>
      </c>
      <c r="D50" s="895"/>
      <c r="E50" s="22">
        <v>0.26879999999999998</v>
      </c>
      <c r="F50" s="20"/>
      <c r="G50" s="20"/>
      <c r="H50" s="20"/>
      <c r="I50" s="20"/>
      <c r="J50" s="20"/>
      <c r="K50" s="20"/>
      <c r="L50" s="20"/>
      <c r="M50" s="20"/>
      <c r="N50" s="20"/>
    </row>
    <row r="51" spans="2:14" x14ac:dyDescent="0.2">
      <c r="B51"/>
      <c r="C51" s="895" t="s">
        <v>58</v>
      </c>
      <c r="D51" s="895"/>
      <c r="E51" s="22">
        <v>4.2700000000000002E-2</v>
      </c>
      <c r="F51" s="20"/>
      <c r="G51" s="20"/>
      <c r="H51" s="20"/>
      <c r="I51" s="20"/>
      <c r="J51" s="20"/>
      <c r="K51" s="20"/>
      <c r="L51" s="20"/>
      <c r="M51" s="20"/>
      <c r="N51" s="20"/>
    </row>
    <row r="52" spans="2:14" x14ac:dyDescent="0.2">
      <c r="B52"/>
      <c r="C52" s="895" t="s">
        <v>59</v>
      </c>
      <c r="D52" s="895"/>
      <c r="E52" s="22">
        <v>3.5499999999999997E-2</v>
      </c>
      <c r="F52" s="20"/>
      <c r="G52" s="20"/>
      <c r="H52" s="20"/>
      <c r="I52" s="20"/>
      <c r="J52" s="20"/>
      <c r="K52" s="20"/>
      <c r="L52" s="20"/>
      <c r="M52" s="20"/>
      <c r="N52" s="20"/>
    </row>
    <row r="53" spans="2:14" x14ac:dyDescent="0.2">
      <c r="B53"/>
      <c r="C53" s="895" t="s">
        <v>60</v>
      </c>
      <c r="D53" s="895"/>
      <c r="E53" s="266">
        <v>0.02</v>
      </c>
      <c r="F53" s="20"/>
      <c r="G53" s="20"/>
      <c r="H53" s="20"/>
      <c r="I53" s="20"/>
      <c r="J53" s="20"/>
      <c r="K53" s="20"/>
      <c r="L53" s="20"/>
      <c r="M53" s="20"/>
      <c r="N53" s="20"/>
    </row>
    <row r="54" spans="2:14" x14ac:dyDescent="0.2">
      <c r="B54"/>
      <c r="C54" s="895" t="s">
        <v>61</v>
      </c>
      <c r="D54" s="895"/>
      <c r="E54" s="266">
        <v>4.0000000000000001E-3</v>
      </c>
      <c r="F54" s="20"/>
      <c r="G54" s="20"/>
      <c r="H54" s="20"/>
      <c r="I54" s="20"/>
      <c r="J54" s="20"/>
      <c r="K54" s="20"/>
      <c r="L54" s="20"/>
      <c r="M54" s="20"/>
      <c r="N54" s="20"/>
    </row>
    <row r="55" spans="2:14" x14ac:dyDescent="0.2">
      <c r="B55"/>
      <c r="C55" s="895" t="s">
        <v>62</v>
      </c>
      <c r="D55" s="895"/>
      <c r="E55" s="22">
        <v>9.7999999999999997E-3</v>
      </c>
      <c r="F55" s="20"/>
      <c r="G55" s="20"/>
      <c r="H55" s="20"/>
      <c r="I55" s="20"/>
      <c r="J55" s="20"/>
      <c r="K55" s="20"/>
      <c r="L55" s="20"/>
      <c r="M55" s="20"/>
      <c r="N55" s="20"/>
    </row>
    <row r="56" spans="2:14" s="4" customFormat="1" x14ac:dyDescent="0.2">
      <c r="B56"/>
      <c r="C56" s="882" t="s">
        <v>63</v>
      </c>
      <c r="D56" s="882"/>
      <c r="E56" s="23">
        <f>SUM(E48:E55)</f>
        <v>4.8739999999999988</v>
      </c>
      <c r="F56"/>
      <c r="G56"/>
      <c r="H56"/>
      <c r="I56"/>
      <c r="J56"/>
      <c r="M56" s="20"/>
      <c r="N56" s="20"/>
    </row>
    <row r="57" spans="2:14" x14ac:dyDescent="0.2">
      <c r="B57" s="432" t="s">
        <v>64</v>
      </c>
      <c r="C57" s="883" t="s">
        <v>65</v>
      </c>
      <c r="D57" s="884"/>
      <c r="E57" s="884"/>
      <c r="F57" s="884"/>
      <c r="G57" s="884"/>
      <c r="H57" s="884"/>
      <c r="I57" s="884"/>
      <c r="J57" s="884"/>
      <c r="K57" s="884"/>
      <c r="L57" s="885"/>
      <c r="M57" s="20"/>
      <c r="N57" s="20"/>
    </row>
    <row r="58" spans="2:14" x14ac:dyDescent="0.2">
      <c r="B58" s="892" t="s">
        <v>66</v>
      </c>
      <c r="C58" s="893"/>
      <c r="D58" s="893"/>
      <c r="E58" s="894"/>
      <c r="F58" s="433">
        <v>1.4999999999999999E-2</v>
      </c>
      <c r="G58" s="311"/>
      <c r="H58" s="311"/>
      <c r="I58" s="311"/>
      <c r="J58" s="311"/>
      <c r="K58" s="311"/>
      <c r="L58" s="312"/>
      <c r="M58" s="20"/>
      <c r="N58" s="20"/>
    </row>
    <row r="59" spans="2:14" ht="12.75" customHeight="1" x14ac:dyDescent="0.2">
      <c r="B59" s="430" t="s">
        <v>67</v>
      </c>
      <c r="C59" s="431">
        <v>0.51670000000000005</v>
      </c>
      <c r="D59" s="311"/>
      <c r="E59" s="311"/>
      <c r="F59" s="311"/>
      <c r="G59" s="311"/>
      <c r="H59" s="311"/>
      <c r="I59" s="311"/>
      <c r="J59" s="311"/>
      <c r="K59" s="311"/>
      <c r="L59" s="312"/>
      <c r="M59" s="20"/>
      <c r="N59" s="20"/>
    </row>
    <row r="60" spans="2:14" ht="26.1" customHeight="1" x14ac:dyDescent="0.2">
      <c r="B60" s="25" t="s">
        <v>68</v>
      </c>
      <c r="C60" s="886" t="s">
        <v>69</v>
      </c>
      <c r="D60" s="886"/>
      <c r="E60" s="886"/>
      <c r="F60" s="886"/>
      <c r="G60" s="886"/>
      <c r="H60" s="886"/>
      <c r="I60" s="886"/>
      <c r="J60" s="886"/>
      <c r="K60" s="886"/>
      <c r="L60" s="886"/>
      <c r="M60" s="20"/>
      <c r="N60" s="20"/>
    </row>
    <row r="61" spans="2:14" ht="12.75" customHeight="1" x14ac:dyDescent="0.2">
      <c r="B61" s="305" t="s">
        <v>70</v>
      </c>
      <c r="C61" s="308">
        <v>0.96589999999999998</v>
      </c>
      <c r="D61" s="306"/>
      <c r="E61" s="306"/>
      <c r="F61" s="306"/>
      <c r="G61" s="306"/>
      <c r="H61" s="306"/>
      <c r="I61" s="306"/>
      <c r="J61" s="306"/>
      <c r="K61" s="306"/>
      <c r="L61" s="307"/>
      <c r="M61" s="20"/>
      <c r="N61" s="20"/>
    </row>
    <row r="62" spans="2:14" x14ac:dyDescent="0.2">
      <c r="B62" s="889" t="s">
        <v>71</v>
      </c>
      <c r="C62" s="889"/>
      <c r="D62" s="889"/>
      <c r="E62" s="889"/>
      <c r="F62" s="889"/>
      <c r="G62" s="889"/>
      <c r="H62" s="889"/>
      <c r="I62" s="889"/>
      <c r="J62" s="889"/>
      <c r="K62" s="889"/>
      <c r="L62" s="889"/>
      <c r="M62" s="20"/>
      <c r="N62" s="20"/>
    </row>
    <row r="63" spans="2:14" ht="33" customHeight="1" x14ac:dyDescent="0.2">
      <c r="B63" s="24" t="s">
        <v>72</v>
      </c>
      <c r="C63" s="890" t="s">
        <v>73</v>
      </c>
      <c r="D63" s="890"/>
      <c r="E63" s="890"/>
      <c r="F63" s="890"/>
      <c r="G63" s="890"/>
      <c r="H63" s="890"/>
      <c r="I63" s="890"/>
      <c r="J63" s="890"/>
      <c r="K63" s="890"/>
      <c r="L63" s="890"/>
      <c r="M63" s="20"/>
      <c r="N63" s="20"/>
    </row>
    <row r="64" spans="2:14" ht="12.75" customHeight="1" x14ac:dyDescent="0.2">
      <c r="B64" s="310" t="s">
        <v>74</v>
      </c>
      <c r="C64" s="315">
        <v>0.48330000000000001</v>
      </c>
      <c r="D64" s="313"/>
      <c r="E64" s="313"/>
      <c r="F64" s="313"/>
      <c r="G64" s="313"/>
      <c r="H64" s="313"/>
      <c r="I64" s="313"/>
      <c r="J64" s="313"/>
      <c r="K64" s="313"/>
      <c r="L64" s="314"/>
      <c r="M64" s="20"/>
      <c r="N64" s="20"/>
    </row>
    <row r="65" spans="1:1025" ht="12.75" customHeight="1" x14ac:dyDescent="0.2">
      <c r="B65" s="305" t="s">
        <v>75</v>
      </c>
      <c r="C65" s="308">
        <v>3.2000000000000002E-3</v>
      </c>
      <c r="D65" s="309"/>
      <c r="E65" s="306"/>
      <c r="F65" s="306"/>
      <c r="G65" s="306"/>
      <c r="H65" s="306"/>
      <c r="I65" s="306"/>
      <c r="J65" s="306"/>
      <c r="K65" s="306"/>
      <c r="L65" s="307"/>
      <c r="M65" s="20"/>
      <c r="N65" s="20"/>
    </row>
    <row r="66" spans="1:1025" ht="12.75" customHeight="1" x14ac:dyDescent="0.2">
      <c r="B66" s="419"/>
      <c r="C66" s="420"/>
      <c r="D66" s="420"/>
      <c r="E66" s="419"/>
      <c r="F66" s="419"/>
      <c r="G66" s="419"/>
      <c r="H66" s="419"/>
      <c r="I66" s="419"/>
      <c r="J66" s="419"/>
      <c r="K66" s="419"/>
      <c r="L66" s="419"/>
      <c r="M66" s="20"/>
      <c r="N66" s="20"/>
    </row>
    <row r="67" spans="1:1025" ht="12.75" customHeight="1" x14ac:dyDescent="0.2">
      <c r="A67" s="2"/>
      <c r="B67" s="891" t="s">
        <v>76</v>
      </c>
      <c r="C67" s="891"/>
      <c r="D67" s="891"/>
      <c r="E67" s="891"/>
      <c r="F67" s="891"/>
      <c r="G67" s="891"/>
      <c r="H67" s="891"/>
      <c r="I67" s="891"/>
      <c r="J67" s="891"/>
      <c r="K67" s="891"/>
      <c r="L67" s="891"/>
      <c r="M67" s="20"/>
      <c r="N67" s="20"/>
    </row>
    <row r="68" spans="1:1025" ht="12.75" customHeight="1" x14ac:dyDescent="0.2">
      <c r="B68" s="423" t="s">
        <v>77</v>
      </c>
      <c r="C68" s="422">
        <v>0.03</v>
      </c>
      <c r="D68" s="420"/>
      <c r="E68" s="419"/>
      <c r="F68" s="419"/>
      <c r="G68" s="419"/>
      <c r="H68" s="419"/>
      <c r="I68" s="419"/>
      <c r="J68" s="419"/>
      <c r="K68" s="419"/>
      <c r="L68" s="419"/>
      <c r="M68" s="20"/>
      <c r="N68" s="20"/>
    </row>
    <row r="69" spans="1:1025" ht="12.75" customHeight="1" x14ac:dyDescent="0.2">
      <c r="B69" s="421" t="s">
        <v>78</v>
      </c>
      <c r="C69" s="422">
        <v>6.7900000000000002E-2</v>
      </c>
      <c r="D69" s="420"/>
      <c r="E69" s="419"/>
      <c r="F69" s="419"/>
      <c r="G69" s="419"/>
      <c r="H69" s="419"/>
      <c r="I69" s="419"/>
      <c r="J69" s="419"/>
      <c r="K69" s="419"/>
      <c r="L69" s="419"/>
      <c r="M69" s="20"/>
      <c r="N69" s="20"/>
    </row>
    <row r="70" spans="1:1025" x14ac:dyDescent="0.2">
      <c r="M70" s="20"/>
      <c r="N70" s="20"/>
    </row>
    <row r="71" spans="1:1025" ht="15.75" x14ac:dyDescent="0.2">
      <c r="A71" s="2"/>
      <c r="B71" s="887" t="s">
        <v>79</v>
      </c>
      <c r="C71" s="887"/>
      <c r="D71" s="887"/>
      <c r="E71" s="888"/>
      <c r="F71" s="888"/>
      <c r="G71" s="888"/>
      <c r="H71" s="887"/>
      <c r="I71" s="887"/>
      <c r="J71" s="887"/>
      <c r="K71" s="888"/>
      <c r="L71" s="888"/>
    </row>
    <row r="72" spans="1:1025" s="497" customFormat="1" ht="15.75" x14ac:dyDescent="0.2">
      <c r="A72" s="494"/>
      <c r="B72" s="680" t="s">
        <v>80</v>
      </c>
      <c r="C72" s="681" t="s">
        <v>81</v>
      </c>
      <c r="D72" s="681" t="s">
        <v>82</v>
      </c>
      <c r="E72" s="26" t="s">
        <v>83</v>
      </c>
      <c r="F72" s="27" t="s">
        <v>84</v>
      </c>
      <c r="G72" s="494"/>
      <c r="H72" s="680" t="s">
        <v>85</v>
      </c>
      <c r="I72" s="681" t="s">
        <v>81</v>
      </c>
      <c r="J72" s="681" t="s">
        <v>82</v>
      </c>
      <c r="K72" s="26" t="s">
        <v>83</v>
      </c>
      <c r="L72" s="27" t="s">
        <v>84</v>
      </c>
      <c r="M72" s="495"/>
      <c r="N72" s="680" t="s">
        <v>86</v>
      </c>
      <c r="O72" s="681"/>
      <c r="P72" s="681"/>
      <c r="Q72" s="26" t="s">
        <v>83</v>
      </c>
      <c r="R72" s="27" t="s">
        <v>84</v>
      </c>
      <c r="S72" s="496"/>
      <c r="T72" s="496"/>
      <c r="U72" s="496"/>
      <c r="V72" s="496"/>
      <c r="W72" s="496"/>
      <c r="X72" s="496"/>
      <c r="Y72" s="496"/>
      <c r="Z72" s="496"/>
      <c r="AA72" s="496"/>
      <c r="AB72" s="496"/>
      <c r="AC72" s="496"/>
      <c r="AD72" s="496"/>
      <c r="AE72" s="496"/>
      <c r="AF72" s="496"/>
      <c r="AG72" s="496"/>
      <c r="AH72" s="496"/>
      <c r="AI72" s="496"/>
      <c r="AJ72" s="496"/>
      <c r="AK72" s="496"/>
      <c r="AL72" s="496"/>
      <c r="AM72" s="496"/>
      <c r="AN72" s="496"/>
      <c r="AO72" s="496"/>
      <c r="AP72" s="496"/>
      <c r="AQ72" s="496"/>
      <c r="AR72" s="496"/>
      <c r="AS72" s="496"/>
      <c r="AT72" s="496"/>
      <c r="AU72" s="496"/>
      <c r="AV72" s="496"/>
      <c r="AW72" s="496"/>
      <c r="AX72" s="496"/>
      <c r="AY72" s="496"/>
      <c r="AZ72" s="496"/>
      <c r="BA72" s="496"/>
      <c r="BB72" s="496"/>
      <c r="BC72" s="496"/>
      <c r="BD72" s="496"/>
      <c r="BE72" s="496"/>
      <c r="BF72" s="496"/>
      <c r="BG72" s="496"/>
      <c r="BH72" s="496"/>
      <c r="BI72" s="496"/>
      <c r="BJ72" s="496"/>
      <c r="BK72" s="496"/>
      <c r="BL72" s="496"/>
      <c r="BM72" s="496"/>
      <c r="BN72" s="496"/>
      <c r="BO72" s="496"/>
      <c r="BP72" s="496"/>
      <c r="BQ72" s="496"/>
      <c r="BR72" s="496"/>
      <c r="BS72" s="496"/>
      <c r="BT72" s="496"/>
      <c r="BU72" s="496"/>
      <c r="BV72" s="496"/>
      <c r="BW72" s="496"/>
      <c r="BX72" s="496"/>
      <c r="BY72" s="496"/>
      <c r="BZ72" s="496"/>
      <c r="CA72" s="496"/>
      <c r="CB72" s="496"/>
      <c r="CC72" s="496"/>
      <c r="CD72" s="496"/>
      <c r="CE72" s="496"/>
      <c r="CF72" s="496"/>
      <c r="CG72" s="496"/>
      <c r="CH72" s="496"/>
      <c r="CI72" s="496"/>
      <c r="CJ72" s="496"/>
      <c r="CK72" s="496"/>
      <c r="CL72" s="496"/>
      <c r="CM72" s="496"/>
      <c r="CN72" s="496"/>
      <c r="CO72" s="496"/>
      <c r="CP72" s="496"/>
      <c r="CQ72" s="496"/>
      <c r="CR72" s="496"/>
      <c r="CS72" s="496"/>
      <c r="CT72" s="496"/>
      <c r="CU72" s="496"/>
      <c r="CV72" s="496"/>
      <c r="CW72" s="496"/>
      <c r="CX72" s="496"/>
      <c r="CY72" s="496"/>
      <c r="CZ72" s="496"/>
      <c r="DA72" s="496"/>
      <c r="DB72" s="496"/>
      <c r="DC72" s="496"/>
      <c r="DD72" s="496"/>
      <c r="DE72" s="496"/>
      <c r="DF72" s="496"/>
      <c r="DG72" s="496"/>
      <c r="DH72" s="496"/>
      <c r="DI72" s="496"/>
      <c r="DJ72" s="496"/>
      <c r="DK72" s="496"/>
      <c r="DL72" s="496"/>
      <c r="DM72" s="496"/>
      <c r="DN72" s="496"/>
      <c r="DO72" s="496"/>
      <c r="DP72" s="496"/>
      <c r="DQ72" s="496"/>
      <c r="DR72" s="496"/>
      <c r="DS72" s="496"/>
      <c r="DT72" s="496"/>
      <c r="DU72" s="496"/>
      <c r="DV72" s="496"/>
      <c r="DW72" s="496"/>
      <c r="DX72" s="496"/>
      <c r="DY72" s="496"/>
      <c r="DZ72" s="496"/>
      <c r="EA72" s="496"/>
      <c r="EB72" s="496"/>
      <c r="EC72" s="496"/>
      <c r="ED72" s="496"/>
      <c r="EE72" s="496"/>
      <c r="EF72" s="496"/>
      <c r="EG72" s="496"/>
      <c r="EH72" s="496"/>
      <c r="EI72" s="496"/>
      <c r="EJ72" s="496"/>
      <c r="EK72" s="496"/>
      <c r="EL72" s="496"/>
      <c r="EM72" s="496"/>
      <c r="EN72" s="496"/>
      <c r="EO72" s="496"/>
      <c r="EP72" s="496"/>
      <c r="EQ72" s="496"/>
      <c r="ER72" s="496"/>
      <c r="ES72" s="496"/>
      <c r="ET72" s="496"/>
      <c r="EU72" s="496"/>
      <c r="EV72" s="496"/>
      <c r="EW72" s="496"/>
      <c r="EX72" s="496"/>
      <c r="EY72" s="496"/>
      <c r="EZ72" s="496"/>
      <c r="FA72" s="496"/>
      <c r="FB72" s="496"/>
      <c r="FC72" s="496"/>
      <c r="FD72" s="496"/>
      <c r="FE72" s="496"/>
      <c r="FF72" s="496"/>
      <c r="FG72" s="496"/>
      <c r="FH72" s="496"/>
      <c r="FI72" s="496"/>
      <c r="FJ72" s="496"/>
      <c r="FK72" s="496"/>
      <c r="FL72" s="496"/>
      <c r="FM72" s="496"/>
      <c r="FN72" s="496"/>
      <c r="FO72" s="496"/>
      <c r="FP72" s="496"/>
      <c r="FQ72" s="496"/>
      <c r="FR72" s="496"/>
      <c r="FS72" s="496"/>
      <c r="FT72" s="496"/>
      <c r="FU72" s="496"/>
      <c r="FV72" s="496"/>
      <c r="FW72" s="496"/>
      <c r="FX72" s="496"/>
      <c r="FY72" s="496"/>
      <c r="FZ72" s="496"/>
      <c r="GA72" s="496"/>
      <c r="GB72" s="496"/>
      <c r="GC72" s="496"/>
      <c r="GD72" s="496"/>
      <c r="GE72" s="496"/>
      <c r="GF72" s="496"/>
      <c r="GG72" s="496"/>
      <c r="GH72" s="496"/>
      <c r="GI72" s="496"/>
      <c r="GJ72" s="496"/>
      <c r="GK72" s="496"/>
      <c r="GL72" s="496"/>
      <c r="GM72" s="496"/>
      <c r="GN72" s="496"/>
      <c r="GO72" s="496"/>
      <c r="GP72" s="496"/>
      <c r="GQ72" s="496"/>
      <c r="GR72" s="496"/>
      <c r="GS72" s="496"/>
      <c r="GT72" s="496"/>
      <c r="GU72" s="496"/>
      <c r="GV72" s="496"/>
      <c r="GW72" s="496"/>
      <c r="GX72" s="496"/>
      <c r="GY72" s="496"/>
      <c r="GZ72" s="496"/>
      <c r="HA72" s="496"/>
      <c r="HB72" s="496"/>
      <c r="HC72" s="496"/>
      <c r="HD72" s="496"/>
      <c r="HE72" s="496"/>
      <c r="HF72" s="496"/>
      <c r="HG72" s="496"/>
      <c r="HH72" s="496"/>
      <c r="HI72" s="496"/>
      <c r="HJ72" s="496"/>
      <c r="HK72" s="496"/>
      <c r="HL72" s="496"/>
      <c r="HM72" s="496"/>
      <c r="HN72" s="496"/>
      <c r="HO72" s="496"/>
      <c r="HP72" s="496"/>
      <c r="HQ72" s="496"/>
      <c r="HR72" s="496"/>
      <c r="HS72" s="496"/>
      <c r="HT72" s="496"/>
      <c r="HU72" s="496"/>
      <c r="HV72" s="496"/>
      <c r="HW72" s="496"/>
      <c r="HX72" s="496"/>
      <c r="HY72" s="496"/>
      <c r="HZ72" s="496"/>
      <c r="IA72" s="496"/>
      <c r="IB72" s="496"/>
      <c r="IC72" s="496"/>
      <c r="ID72" s="496"/>
      <c r="IE72" s="496"/>
      <c r="IF72" s="496"/>
      <c r="IG72" s="496"/>
      <c r="IH72" s="496"/>
      <c r="II72" s="496"/>
      <c r="IJ72" s="496"/>
      <c r="IK72" s="496"/>
      <c r="IL72" s="496"/>
      <c r="IM72" s="496"/>
      <c r="IN72" s="496"/>
      <c r="IO72" s="496"/>
      <c r="IP72" s="496"/>
      <c r="IQ72" s="496"/>
      <c r="IR72" s="496"/>
      <c r="IS72" s="496"/>
      <c r="IT72" s="496"/>
      <c r="IU72" s="496"/>
      <c r="IV72" s="496"/>
      <c r="IW72" s="496"/>
      <c r="IX72" s="496"/>
      <c r="IY72" s="496"/>
      <c r="IZ72" s="496"/>
      <c r="JA72" s="496"/>
      <c r="JB72" s="496"/>
      <c r="JC72" s="496"/>
      <c r="JD72" s="496"/>
      <c r="JE72" s="496"/>
      <c r="JF72" s="496"/>
      <c r="JG72" s="496"/>
      <c r="JH72" s="496"/>
      <c r="JI72" s="496"/>
      <c r="JJ72" s="496"/>
      <c r="JK72" s="496"/>
      <c r="JL72" s="496"/>
      <c r="JM72" s="496"/>
      <c r="JN72" s="496"/>
      <c r="JO72" s="496"/>
      <c r="JP72" s="496"/>
      <c r="JQ72" s="496"/>
      <c r="JR72" s="496"/>
      <c r="JS72" s="496"/>
      <c r="JT72" s="496"/>
      <c r="JU72" s="496"/>
      <c r="JV72" s="496"/>
      <c r="JW72" s="496"/>
      <c r="JX72" s="496"/>
      <c r="JY72" s="496"/>
      <c r="JZ72" s="496"/>
      <c r="KA72" s="496"/>
      <c r="KB72" s="496"/>
      <c r="KC72" s="496"/>
      <c r="KD72" s="496"/>
      <c r="KE72" s="496"/>
      <c r="KF72" s="496"/>
      <c r="KG72" s="496"/>
      <c r="KH72" s="496"/>
      <c r="KI72" s="496"/>
      <c r="KJ72" s="496"/>
      <c r="KK72" s="496"/>
      <c r="KL72" s="496"/>
      <c r="KM72" s="496"/>
      <c r="KN72" s="496"/>
      <c r="KO72" s="496"/>
      <c r="KP72" s="496"/>
      <c r="KQ72" s="496"/>
      <c r="KR72" s="496"/>
      <c r="KS72" s="496"/>
      <c r="KT72" s="496"/>
      <c r="KU72" s="496"/>
      <c r="KV72" s="496"/>
      <c r="KW72" s="496"/>
      <c r="KX72" s="496"/>
      <c r="KY72" s="496"/>
      <c r="KZ72" s="496"/>
      <c r="LA72" s="496"/>
      <c r="LB72" s="496"/>
      <c r="LC72" s="496"/>
      <c r="LD72" s="496"/>
      <c r="LE72" s="496"/>
      <c r="LF72" s="496"/>
      <c r="LG72" s="496"/>
      <c r="LH72" s="496"/>
      <c r="LI72" s="496"/>
      <c r="LJ72" s="496"/>
      <c r="LK72" s="496"/>
      <c r="LL72" s="496"/>
      <c r="LM72" s="496"/>
      <c r="LN72" s="496"/>
      <c r="LO72" s="496"/>
      <c r="LP72" s="496"/>
      <c r="LQ72" s="496"/>
      <c r="LR72" s="496"/>
      <c r="LS72" s="496"/>
      <c r="LT72" s="496"/>
      <c r="LU72" s="496"/>
      <c r="LV72" s="496"/>
      <c r="LW72" s="496"/>
      <c r="LX72" s="496"/>
      <c r="LY72" s="496"/>
      <c r="LZ72" s="496"/>
      <c r="MA72" s="496"/>
      <c r="MB72" s="496"/>
      <c r="MC72" s="496"/>
      <c r="MD72" s="496"/>
      <c r="ME72" s="496"/>
      <c r="MF72" s="496"/>
      <c r="MG72" s="496"/>
      <c r="MH72" s="496"/>
      <c r="MI72" s="496"/>
      <c r="MJ72" s="496"/>
      <c r="MK72" s="496"/>
      <c r="ML72" s="496"/>
      <c r="MM72" s="496"/>
      <c r="MN72" s="496"/>
      <c r="MO72" s="496"/>
      <c r="MP72" s="496"/>
      <c r="MQ72" s="496"/>
      <c r="MR72" s="496"/>
      <c r="MS72" s="496"/>
      <c r="MT72" s="496"/>
      <c r="MU72" s="496"/>
      <c r="MV72" s="496"/>
      <c r="MW72" s="496"/>
      <c r="MX72" s="496"/>
      <c r="MY72" s="496"/>
      <c r="MZ72" s="496"/>
      <c r="NA72" s="496"/>
      <c r="NB72" s="496"/>
      <c r="NC72" s="496"/>
      <c r="ND72" s="496"/>
      <c r="NE72" s="496"/>
      <c r="NF72" s="496"/>
      <c r="NG72" s="496"/>
      <c r="NH72" s="496"/>
      <c r="NI72" s="496"/>
      <c r="NJ72" s="496"/>
      <c r="NK72" s="496"/>
      <c r="NL72" s="496"/>
      <c r="NM72" s="496"/>
      <c r="NN72" s="496"/>
      <c r="NO72" s="496"/>
      <c r="NP72" s="496"/>
      <c r="NQ72" s="496"/>
      <c r="NR72" s="496"/>
      <c r="NS72" s="496"/>
      <c r="NT72" s="496"/>
      <c r="NU72" s="496"/>
      <c r="NV72" s="496"/>
      <c r="NW72" s="496"/>
      <c r="NX72" s="496"/>
      <c r="NY72" s="496"/>
      <c r="NZ72" s="496"/>
      <c r="OA72" s="496"/>
      <c r="OB72" s="496"/>
      <c r="OC72" s="496"/>
      <c r="OD72" s="496"/>
      <c r="OE72" s="496"/>
      <c r="OF72" s="496"/>
      <c r="OG72" s="496"/>
      <c r="OH72" s="496"/>
      <c r="OI72" s="496"/>
      <c r="OJ72" s="496"/>
      <c r="OK72" s="496"/>
      <c r="OL72" s="496"/>
      <c r="OM72" s="496"/>
      <c r="ON72" s="496"/>
      <c r="OO72" s="496"/>
      <c r="OP72" s="496"/>
      <c r="OQ72" s="496"/>
      <c r="OR72" s="496"/>
      <c r="OS72" s="496"/>
      <c r="OT72" s="496"/>
      <c r="OU72" s="496"/>
      <c r="OV72" s="496"/>
      <c r="OW72" s="496"/>
      <c r="OX72" s="496"/>
      <c r="OY72" s="496"/>
      <c r="OZ72" s="496"/>
      <c r="PA72" s="496"/>
      <c r="PB72" s="496"/>
      <c r="PC72" s="496"/>
      <c r="PD72" s="496"/>
      <c r="PE72" s="496"/>
      <c r="PF72" s="496"/>
      <c r="PG72" s="496"/>
      <c r="PH72" s="496"/>
      <c r="PI72" s="496"/>
      <c r="PJ72" s="496"/>
      <c r="PK72" s="496"/>
      <c r="PL72" s="496"/>
      <c r="PM72" s="496"/>
      <c r="PN72" s="496"/>
      <c r="PO72" s="496"/>
      <c r="PP72" s="496"/>
      <c r="PQ72" s="496"/>
      <c r="PR72" s="496"/>
      <c r="PS72" s="496"/>
      <c r="PT72" s="496"/>
      <c r="PU72" s="496"/>
      <c r="PV72" s="496"/>
      <c r="PW72" s="496"/>
      <c r="PX72" s="496"/>
      <c r="PY72" s="496"/>
      <c r="PZ72" s="496"/>
      <c r="QA72" s="496"/>
      <c r="QB72" s="496"/>
      <c r="QC72" s="496"/>
      <c r="QD72" s="496"/>
      <c r="QE72" s="496"/>
      <c r="QF72" s="496"/>
      <c r="QG72" s="496"/>
      <c r="QH72" s="496"/>
      <c r="QI72" s="496"/>
      <c r="QJ72" s="496"/>
      <c r="QK72" s="496"/>
      <c r="QL72" s="496"/>
      <c r="QM72" s="496"/>
      <c r="QN72" s="496"/>
      <c r="QO72" s="496"/>
      <c r="QP72" s="496"/>
      <c r="QQ72" s="496"/>
      <c r="QR72" s="496"/>
      <c r="QS72" s="496"/>
      <c r="QT72" s="496"/>
      <c r="QU72" s="496"/>
      <c r="QV72" s="496"/>
      <c r="QW72" s="496"/>
      <c r="QX72" s="496"/>
      <c r="QY72" s="496"/>
      <c r="QZ72" s="496"/>
      <c r="RA72" s="496"/>
      <c r="RB72" s="496"/>
      <c r="RC72" s="496"/>
      <c r="RD72" s="496"/>
      <c r="RE72" s="496"/>
      <c r="RF72" s="496"/>
      <c r="RG72" s="496"/>
      <c r="RH72" s="496"/>
      <c r="RI72" s="496"/>
      <c r="RJ72" s="496"/>
      <c r="RK72" s="496"/>
      <c r="RL72" s="496"/>
      <c r="RM72" s="496"/>
      <c r="RN72" s="496"/>
      <c r="RO72" s="496"/>
      <c r="RP72" s="496"/>
      <c r="RQ72" s="496"/>
      <c r="RR72" s="496"/>
      <c r="RS72" s="496"/>
      <c r="RT72" s="496"/>
      <c r="RU72" s="496"/>
      <c r="RV72" s="496"/>
      <c r="RW72" s="496"/>
      <c r="RX72" s="496"/>
      <c r="RY72" s="496"/>
      <c r="RZ72" s="496"/>
      <c r="SA72" s="496"/>
      <c r="SB72" s="496"/>
      <c r="SC72" s="496"/>
      <c r="SD72" s="496"/>
      <c r="SE72" s="496"/>
      <c r="SF72" s="496"/>
      <c r="SG72" s="496"/>
      <c r="SH72" s="496"/>
      <c r="SI72" s="496"/>
      <c r="SJ72" s="496"/>
      <c r="SK72" s="496"/>
      <c r="SL72" s="496"/>
      <c r="SM72" s="496"/>
      <c r="SN72" s="496"/>
      <c r="SO72" s="496"/>
      <c r="SP72" s="496"/>
      <c r="SQ72" s="496"/>
      <c r="SR72" s="496"/>
      <c r="SS72" s="496"/>
      <c r="ST72" s="496"/>
      <c r="SU72" s="496"/>
      <c r="SV72" s="496"/>
      <c r="SW72" s="496"/>
      <c r="SX72" s="496"/>
      <c r="SY72" s="496"/>
      <c r="SZ72" s="496"/>
      <c r="TA72" s="496"/>
      <c r="TB72" s="496"/>
      <c r="TC72" s="496"/>
      <c r="TD72" s="496"/>
      <c r="TE72" s="496"/>
      <c r="TF72" s="496"/>
      <c r="TG72" s="496"/>
      <c r="TH72" s="496"/>
      <c r="TI72" s="496"/>
      <c r="TJ72" s="496"/>
      <c r="TK72" s="496"/>
      <c r="TL72" s="496"/>
      <c r="TM72" s="496"/>
      <c r="TN72" s="496"/>
      <c r="TO72" s="496"/>
      <c r="TP72" s="496"/>
      <c r="TQ72" s="496"/>
      <c r="TR72" s="496"/>
      <c r="TS72" s="496"/>
      <c r="TT72" s="496"/>
      <c r="TU72" s="496"/>
      <c r="TV72" s="496"/>
      <c r="TW72" s="496"/>
      <c r="TX72" s="496"/>
      <c r="TY72" s="496"/>
      <c r="TZ72" s="496"/>
      <c r="UA72" s="496"/>
      <c r="UB72" s="496"/>
      <c r="UC72" s="496"/>
      <c r="UD72" s="496"/>
      <c r="UE72" s="496"/>
      <c r="UF72" s="496"/>
      <c r="UG72" s="496"/>
      <c r="UH72" s="496"/>
      <c r="UI72" s="496"/>
      <c r="UJ72" s="496"/>
      <c r="UK72" s="496"/>
      <c r="UL72" s="496"/>
      <c r="UM72" s="496"/>
      <c r="UN72" s="496"/>
      <c r="UO72" s="496"/>
      <c r="UP72" s="496"/>
      <c r="UQ72" s="496"/>
      <c r="UR72" s="496"/>
      <c r="US72" s="496"/>
      <c r="UT72" s="496"/>
      <c r="UU72" s="496"/>
      <c r="UV72" s="496"/>
      <c r="UW72" s="496"/>
      <c r="UX72" s="496"/>
      <c r="UY72" s="496"/>
      <c r="UZ72" s="496"/>
      <c r="VA72" s="496"/>
      <c r="VB72" s="496"/>
      <c r="VC72" s="496"/>
      <c r="VD72" s="496"/>
      <c r="VE72" s="496"/>
      <c r="VF72" s="496"/>
      <c r="VG72" s="496"/>
      <c r="VH72" s="496"/>
      <c r="VI72" s="496"/>
      <c r="VJ72" s="496"/>
      <c r="VK72" s="496"/>
      <c r="VL72" s="496"/>
      <c r="VM72" s="496"/>
      <c r="VN72" s="496"/>
      <c r="VO72" s="496"/>
      <c r="VP72" s="496"/>
      <c r="VQ72" s="496"/>
      <c r="VR72" s="496"/>
      <c r="VS72" s="496"/>
      <c r="VT72" s="496"/>
      <c r="VU72" s="496"/>
      <c r="VV72" s="496"/>
      <c r="VW72" s="496"/>
      <c r="VX72" s="496"/>
      <c r="VY72" s="496"/>
      <c r="VZ72" s="496"/>
      <c r="WA72" s="496"/>
      <c r="WB72" s="496"/>
      <c r="WC72" s="496"/>
      <c r="WD72" s="496"/>
      <c r="WE72" s="496"/>
      <c r="WF72" s="496"/>
      <c r="WG72" s="496"/>
      <c r="WH72" s="496"/>
      <c r="WI72" s="496"/>
      <c r="WJ72" s="496"/>
      <c r="WK72" s="496"/>
      <c r="WL72" s="496"/>
      <c r="WM72" s="496"/>
      <c r="WN72" s="496"/>
      <c r="WO72" s="496"/>
      <c r="WP72" s="496"/>
      <c r="WQ72" s="496"/>
      <c r="WR72" s="496"/>
      <c r="WS72" s="496"/>
      <c r="WT72" s="496"/>
      <c r="WU72" s="496"/>
      <c r="WV72" s="496"/>
      <c r="WW72" s="496"/>
      <c r="WX72" s="496"/>
      <c r="WY72" s="496"/>
      <c r="WZ72" s="496"/>
      <c r="XA72" s="496"/>
      <c r="XB72" s="496"/>
      <c r="XC72" s="496"/>
      <c r="XD72" s="496"/>
      <c r="XE72" s="496"/>
      <c r="XF72" s="496"/>
      <c r="XG72" s="496"/>
      <c r="XH72" s="496"/>
      <c r="XI72" s="496"/>
      <c r="XJ72" s="496"/>
      <c r="XK72" s="496"/>
      <c r="XL72" s="496"/>
      <c r="XM72" s="496"/>
      <c r="XN72" s="496"/>
      <c r="XO72" s="496"/>
      <c r="XP72" s="496"/>
      <c r="XQ72" s="496"/>
      <c r="XR72" s="496"/>
      <c r="XS72" s="496"/>
      <c r="XT72" s="496"/>
      <c r="XU72" s="496"/>
      <c r="XV72" s="496"/>
      <c r="XW72" s="496"/>
      <c r="XX72" s="496"/>
      <c r="XY72" s="496"/>
      <c r="XZ72" s="496"/>
      <c r="YA72" s="496"/>
      <c r="YB72" s="496"/>
      <c r="YC72" s="496"/>
      <c r="YD72" s="496"/>
      <c r="YE72" s="496"/>
      <c r="YF72" s="496"/>
      <c r="YG72" s="496"/>
      <c r="YH72" s="496"/>
      <c r="YI72" s="496"/>
      <c r="YJ72" s="496"/>
      <c r="YK72" s="496"/>
      <c r="YL72" s="496"/>
      <c r="YM72" s="496"/>
      <c r="YN72" s="496"/>
      <c r="YO72" s="496"/>
      <c r="YP72" s="496"/>
      <c r="YQ72" s="496"/>
      <c r="YR72" s="496"/>
      <c r="YS72" s="496"/>
      <c r="YT72" s="496"/>
      <c r="YU72" s="496"/>
      <c r="YV72" s="496"/>
      <c r="YW72" s="496"/>
      <c r="YX72" s="496"/>
      <c r="YY72" s="496"/>
      <c r="YZ72" s="496"/>
      <c r="ZA72" s="496"/>
      <c r="ZB72" s="496"/>
      <c r="ZC72" s="496"/>
      <c r="ZD72" s="496"/>
      <c r="ZE72" s="496"/>
      <c r="ZF72" s="496"/>
      <c r="ZG72" s="496"/>
      <c r="ZH72" s="496"/>
      <c r="ZI72" s="496"/>
      <c r="ZJ72" s="496"/>
      <c r="ZK72" s="496"/>
      <c r="ZL72" s="496"/>
      <c r="ZM72" s="496"/>
      <c r="ZN72" s="496"/>
      <c r="ZO72" s="496"/>
      <c r="ZP72" s="496"/>
      <c r="ZQ72" s="496"/>
      <c r="ZR72" s="496"/>
      <c r="ZS72" s="496"/>
      <c r="ZT72" s="496"/>
      <c r="ZU72" s="496"/>
      <c r="ZV72" s="496"/>
      <c r="ZW72" s="496"/>
      <c r="ZX72" s="496"/>
      <c r="ZY72" s="496"/>
      <c r="ZZ72" s="496"/>
      <c r="AAA72" s="496"/>
      <c r="AAB72" s="496"/>
      <c r="AAC72" s="496"/>
      <c r="AAD72" s="496"/>
      <c r="AAE72" s="496"/>
      <c r="AAF72" s="496"/>
      <c r="AAG72" s="496"/>
      <c r="AAH72" s="496"/>
      <c r="AAI72" s="496"/>
      <c r="AAJ72" s="496"/>
      <c r="AAK72" s="496"/>
      <c r="AAL72" s="496"/>
      <c r="AAM72" s="496"/>
      <c r="AAN72" s="496"/>
      <c r="AAO72" s="496"/>
      <c r="AAP72" s="496"/>
      <c r="AAQ72" s="496"/>
      <c r="AAR72" s="496"/>
      <c r="AAS72" s="496"/>
      <c r="AAT72" s="496"/>
      <c r="AAU72" s="496"/>
      <c r="AAV72" s="496"/>
      <c r="AAW72" s="496"/>
      <c r="AAX72" s="496"/>
      <c r="AAY72" s="496"/>
      <c r="AAZ72" s="496"/>
      <c r="ABA72" s="496"/>
      <c r="ABB72" s="496"/>
      <c r="ABC72" s="496"/>
      <c r="ABD72" s="496"/>
      <c r="ABE72" s="496"/>
      <c r="ABF72" s="496"/>
      <c r="ABG72" s="496"/>
      <c r="ABH72" s="496"/>
      <c r="ABI72" s="496"/>
      <c r="ABJ72" s="496"/>
      <c r="ABK72" s="496"/>
      <c r="ABL72" s="496"/>
      <c r="ABM72" s="496"/>
      <c r="ABN72" s="496"/>
      <c r="ABO72" s="496"/>
      <c r="ABP72" s="496"/>
      <c r="ABQ72" s="496"/>
      <c r="ABR72" s="496"/>
      <c r="ABS72" s="496"/>
      <c r="ABT72" s="496"/>
      <c r="ABU72" s="496"/>
      <c r="ABV72" s="496"/>
      <c r="ABW72" s="496"/>
      <c r="ABX72" s="496"/>
      <c r="ABY72" s="496"/>
      <c r="ABZ72" s="496"/>
      <c r="ACA72" s="496"/>
      <c r="ACB72" s="496"/>
      <c r="ACC72" s="496"/>
      <c r="ACD72" s="496"/>
      <c r="ACE72" s="496"/>
      <c r="ACF72" s="496"/>
      <c r="ACG72" s="496"/>
      <c r="ACH72" s="496"/>
      <c r="ACI72" s="496"/>
      <c r="ACJ72" s="496"/>
      <c r="ACK72" s="496"/>
      <c r="ACL72" s="496"/>
      <c r="ACM72" s="496"/>
      <c r="ACN72" s="496"/>
      <c r="ACO72" s="496"/>
      <c r="ACP72" s="496"/>
      <c r="ACQ72" s="496"/>
      <c r="ACR72" s="496"/>
      <c r="ACS72" s="496"/>
      <c r="ACT72" s="496"/>
      <c r="ACU72" s="496"/>
      <c r="ACV72" s="496"/>
      <c r="ACW72" s="496"/>
      <c r="ACX72" s="496"/>
      <c r="ACY72" s="496"/>
      <c r="ACZ72" s="496"/>
      <c r="ADA72" s="496"/>
      <c r="ADB72" s="496"/>
      <c r="ADC72" s="496"/>
      <c r="ADD72" s="496"/>
      <c r="ADE72" s="496"/>
      <c r="ADF72" s="496"/>
      <c r="ADG72" s="496"/>
      <c r="ADH72" s="496"/>
      <c r="ADI72" s="496"/>
      <c r="ADJ72" s="496"/>
      <c r="ADK72" s="496"/>
      <c r="ADL72" s="496"/>
      <c r="ADM72" s="496"/>
      <c r="ADN72" s="496"/>
      <c r="ADO72" s="496"/>
      <c r="ADP72" s="496"/>
      <c r="ADQ72" s="496"/>
      <c r="ADR72" s="496"/>
      <c r="ADS72" s="496"/>
      <c r="ADT72" s="496"/>
      <c r="ADU72" s="496"/>
      <c r="ADV72" s="496"/>
      <c r="ADW72" s="496"/>
      <c r="ADX72" s="496"/>
      <c r="ADY72" s="496"/>
      <c r="ADZ72" s="496"/>
      <c r="AEA72" s="496"/>
      <c r="AEB72" s="496"/>
      <c r="AEC72" s="496"/>
      <c r="AED72" s="496"/>
      <c r="AEE72" s="496"/>
      <c r="AEF72" s="496"/>
      <c r="AEG72" s="496"/>
      <c r="AEH72" s="496"/>
      <c r="AEI72" s="496"/>
      <c r="AEJ72" s="496"/>
      <c r="AEK72" s="496"/>
      <c r="AEL72" s="496"/>
      <c r="AEM72" s="496"/>
      <c r="AEN72" s="496"/>
      <c r="AEO72" s="496"/>
      <c r="AEP72" s="496"/>
      <c r="AEQ72" s="496"/>
      <c r="AER72" s="496"/>
      <c r="AES72" s="496"/>
      <c r="AET72" s="496"/>
      <c r="AEU72" s="496"/>
      <c r="AEV72" s="496"/>
      <c r="AEW72" s="496"/>
      <c r="AEX72" s="496"/>
      <c r="AEY72" s="496"/>
      <c r="AEZ72" s="496"/>
      <c r="AFA72" s="496"/>
      <c r="AFB72" s="496"/>
      <c r="AFC72" s="496"/>
      <c r="AFD72" s="496"/>
      <c r="AFE72" s="496"/>
      <c r="AFF72" s="496"/>
      <c r="AFG72" s="496"/>
      <c r="AFH72" s="496"/>
      <c r="AFI72" s="496"/>
      <c r="AFJ72" s="496"/>
      <c r="AFK72" s="496"/>
      <c r="AFL72" s="496"/>
      <c r="AFM72" s="496"/>
      <c r="AFN72" s="496"/>
      <c r="AFO72" s="496"/>
      <c r="AFP72" s="496"/>
      <c r="AFQ72" s="496"/>
      <c r="AFR72" s="496"/>
      <c r="AFS72" s="496"/>
      <c r="AFT72" s="496"/>
      <c r="AFU72" s="496"/>
      <c r="AFV72" s="496"/>
      <c r="AFW72" s="496"/>
      <c r="AFX72" s="496"/>
      <c r="AFY72" s="496"/>
      <c r="AFZ72" s="496"/>
      <c r="AGA72" s="496"/>
      <c r="AGB72" s="496"/>
      <c r="AGC72" s="496"/>
      <c r="AGD72" s="496"/>
      <c r="AGE72" s="496"/>
      <c r="AGF72" s="496"/>
      <c r="AGG72" s="496"/>
      <c r="AGH72" s="496"/>
      <c r="AGI72" s="496"/>
      <c r="AGJ72" s="496"/>
      <c r="AGK72" s="496"/>
      <c r="AGL72" s="496"/>
      <c r="AGM72" s="496"/>
      <c r="AGN72" s="496"/>
      <c r="AGO72" s="496"/>
      <c r="AGP72" s="496"/>
      <c r="AGQ72" s="496"/>
      <c r="AGR72" s="496"/>
      <c r="AGS72" s="496"/>
      <c r="AGT72" s="496"/>
      <c r="AGU72" s="496"/>
      <c r="AGV72" s="496"/>
      <c r="AGW72" s="496"/>
      <c r="AGX72" s="496"/>
      <c r="AGY72" s="496"/>
      <c r="AGZ72" s="496"/>
      <c r="AHA72" s="496"/>
      <c r="AHB72" s="496"/>
      <c r="AHC72" s="496"/>
      <c r="AHD72" s="496"/>
      <c r="AHE72" s="496"/>
      <c r="AHF72" s="496"/>
      <c r="AHG72" s="496"/>
      <c r="AHH72" s="496"/>
      <c r="AHI72" s="496"/>
      <c r="AHJ72" s="496"/>
      <c r="AHK72" s="496"/>
      <c r="AHL72" s="496"/>
      <c r="AHM72" s="496"/>
      <c r="AHN72" s="496"/>
      <c r="AHO72" s="496"/>
      <c r="AHP72" s="496"/>
      <c r="AHQ72" s="496"/>
      <c r="AHR72" s="496"/>
      <c r="AHS72" s="496"/>
      <c r="AHT72" s="496"/>
      <c r="AHU72" s="496"/>
      <c r="AHV72" s="496"/>
      <c r="AHW72" s="496"/>
      <c r="AHX72" s="496"/>
      <c r="AHY72" s="496"/>
      <c r="AHZ72" s="496"/>
      <c r="AIA72" s="496"/>
      <c r="AIB72" s="496"/>
      <c r="AIC72" s="496"/>
      <c r="AID72" s="496"/>
      <c r="AIE72" s="496"/>
      <c r="AIF72" s="496"/>
      <c r="AIG72" s="496"/>
      <c r="AIH72" s="496"/>
      <c r="AII72" s="496"/>
      <c r="AIJ72" s="496"/>
      <c r="AIK72" s="496"/>
      <c r="AIL72" s="496"/>
      <c r="AIM72" s="496"/>
      <c r="AIN72" s="496"/>
      <c r="AIO72" s="496"/>
      <c r="AIP72" s="496"/>
      <c r="AIQ72" s="496"/>
      <c r="AIR72" s="496"/>
      <c r="AIS72" s="496"/>
      <c r="AIT72" s="496"/>
      <c r="AIU72" s="496"/>
      <c r="AIV72" s="496"/>
      <c r="AIW72" s="496"/>
      <c r="AIX72" s="496"/>
      <c r="AIY72" s="496"/>
      <c r="AIZ72" s="496"/>
      <c r="AJA72" s="496"/>
      <c r="AJB72" s="496"/>
      <c r="AJC72" s="496"/>
      <c r="AJD72" s="496"/>
      <c r="AJE72" s="496"/>
      <c r="AJF72" s="496"/>
      <c r="AJG72" s="496"/>
      <c r="AJH72" s="496"/>
      <c r="AJI72" s="496"/>
      <c r="AJJ72" s="496"/>
      <c r="AJK72" s="496"/>
      <c r="AJL72" s="496"/>
      <c r="AJM72" s="496"/>
      <c r="AJN72" s="496"/>
      <c r="AJO72" s="496"/>
      <c r="AJP72" s="496"/>
      <c r="AJQ72" s="496"/>
      <c r="AJR72" s="496"/>
      <c r="AJS72" s="496"/>
      <c r="AJT72" s="496"/>
      <c r="AJU72" s="496"/>
      <c r="AJV72" s="496"/>
      <c r="AJW72" s="496"/>
      <c r="AJX72" s="496"/>
      <c r="AJY72" s="496"/>
      <c r="AJZ72" s="496"/>
      <c r="AKA72" s="496"/>
      <c r="AKB72" s="496"/>
      <c r="AKC72" s="496"/>
      <c r="AKD72" s="496"/>
      <c r="AKE72" s="496"/>
      <c r="AKF72" s="496"/>
      <c r="AKG72" s="496"/>
      <c r="AKH72" s="496"/>
      <c r="AKI72" s="496"/>
      <c r="AKJ72" s="496"/>
      <c r="AKK72" s="496"/>
      <c r="AKL72" s="496"/>
      <c r="AKM72" s="496"/>
      <c r="AKN72" s="496"/>
      <c r="AKO72" s="496"/>
      <c r="AKP72" s="496"/>
      <c r="AKQ72" s="496"/>
      <c r="AKR72" s="496"/>
      <c r="AKS72" s="496"/>
      <c r="AKT72" s="496"/>
      <c r="AKU72" s="496"/>
      <c r="AKV72" s="496"/>
      <c r="AKW72" s="496"/>
      <c r="AKX72" s="496"/>
      <c r="AKY72" s="496"/>
      <c r="AKZ72" s="496"/>
      <c r="ALA72" s="496"/>
      <c r="ALB72" s="496"/>
      <c r="ALC72" s="496"/>
      <c r="ALD72" s="496"/>
      <c r="ALE72" s="496"/>
      <c r="ALF72" s="496"/>
      <c r="ALG72" s="496"/>
      <c r="ALH72" s="496"/>
      <c r="ALI72" s="496"/>
      <c r="ALJ72" s="496"/>
      <c r="ALK72" s="496"/>
      <c r="ALL72" s="496"/>
      <c r="ALM72" s="496"/>
      <c r="ALN72" s="496"/>
      <c r="ALO72" s="496"/>
      <c r="ALP72" s="496"/>
      <c r="ALQ72" s="496"/>
      <c r="ALR72" s="496"/>
      <c r="ALS72" s="496"/>
      <c r="ALT72" s="496"/>
      <c r="ALU72" s="496"/>
      <c r="ALV72" s="496"/>
      <c r="ALW72" s="496"/>
      <c r="ALX72" s="496"/>
      <c r="ALY72" s="496"/>
      <c r="ALZ72" s="496"/>
      <c r="AMA72" s="496"/>
      <c r="AMB72" s="496"/>
      <c r="AMC72" s="496"/>
      <c r="AMD72" s="496"/>
      <c r="AME72" s="496"/>
      <c r="AMF72" s="496"/>
      <c r="AMG72" s="496"/>
      <c r="AMH72" s="496"/>
      <c r="AMI72" s="496"/>
      <c r="AMJ72" s="496"/>
      <c r="AMK72" s="496"/>
    </row>
    <row r="73" spans="1:1025" x14ac:dyDescent="0.2">
      <c r="B73" s="507" t="s">
        <v>87</v>
      </c>
      <c r="C73" s="684">
        <v>2.5</v>
      </c>
      <c r="D73" s="673">
        <v>4.18</v>
      </c>
      <c r="E73" s="543">
        <f>'Prod. GEXFLO'!N4+'Prod. GEXFLO'!O4+'Prod. GEXFLO'!P4+'Prod. GEXFLO'!Q4+'Prod. GEXFLO'!U4</f>
        <v>4</v>
      </c>
      <c r="F73" s="27">
        <f>D73*E73</f>
        <v>16.72</v>
      </c>
      <c r="G73"/>
      <c r="H73" s="683" t="s">
        <v>88</v>
      </c>
      <c r="I73" s="682">
        <v>3</v>
      </c>
      <c r="J73" s="673">
        <v>4.3</v>
      </c>
      <c r="K73" s="28">
        <f>'Prod. GEXBLU'!N4+'Prod. GEXBLU'!O4+'Prod. GEXBLU'!P4+'Prod. GEXBLU'!Q4+'Prod. GEXBLU'!U4</f>
        <v>2</v>
      </c>
      <c r="L73" s="29">
        <f t="shared" ref="L73:L84" si="0">K73*J73</f>
        <v>8.6</v>
      </c>
      <c r="N73" s="672" t="s">
        <v>89</v>
      </c>
      <c r="O73" s="673">
        <v>2.5</v>
      </c>
      <c r="P73" s="673">
        <v>4.9000000000000004</v>
      </c>
      <c r="Q73" s="28">
        <f>'Prod. GEXJVL'!N4+'Prod. GEXJVL'!O4+'Prod. GEXJVL'!P4+'Prod. GEXJVL'!Q4+'Prod. GEXJVL'!U4</f>
        <v>3</v>
      </c>
      <c r="R73" s="29">
        <f t="shared" ref="R73:R82" si="1">Q73*P73</f>
        <v>14.700000000000001</v>
      </c>
    </row>
    <row r="74" spans="1:1025" x14ac:dyDescent="0.2">
      <c r="B74" s="513" t="s">
        <v>90</v>
      </c>
      <c r="C74" s="684">
        <v>5</v>
      </c>
      <c r="D74" s="673">
        <v>3.99</v>
      </c>
      <c r="E74" s="543">
        <f>'Prod. GEXFLO'!N5+'Prod. GEXFLO'!O5+'Prod. GEXFLO'!P5+'Prod. GEXFLO'!Q5+'Prod. GEXFLO'!U5</f>
        <v>1</v>
      </c>
      <c r="F74" s="27">
        <f t="shared" ref="F74:F90" si="2">D74*E74</f>
        <v>3.99</v>
      </c>
      <c r="G74"/>
      <c r="H74" s="672" t="s">
        <v>91</v>
      </c>
      <c r="I74" s="682">
        <v>3</v>
      </c>
      <c r="J74" s="673">
        <v>4.3</v>
      </c>
      <c r="K74" s="28">
        <f>'Prod. GEXBLU'!N5+'Prod. GEXBLU'!O5+'Prod. GEXBLU'!P5+'Prod. GEXBLU'!Q5+'Prod. GEXBLU'!U5</f>
        <v>1</v>
      </c>
      <c r="L74" s="29">
        <f t="shared" si="0"/>
        <v>4.3</v>
      </c>
      <c r="N74" s="672" t="s">
        <v>92</v>
      </c>
      <c r="O74" s="682">
        <v>3</v>
      </c>
      <c r="P74" s="673">
        <v>3</v>
      </c>
      <c r="Q74" s="28">
        <f>'Prod. GEXJVL'!N5+'Prod. GEXJVL'!O5+'Prod. GEXJVL'!P5+'Prod. GEXJVL'!Q5+'Prod. GEXJVL'!U5</f>
        <v>3</v>
      </c>
      <c r="R74" s="29">
        <f t="shared" si="1"/>
        <v>9</v>
      </c>
    </row>
    <row r="75" spans="1:1025" x14ac:dyDescent="0.2">
      <c r="B75" s="515" t="s">
        <v>93</v>
      </c>
      <c r="C75" s="684">
        <v>3</v>
      </c>
      <c r="D75" s="673">
        <v>6.65</v>
      </c>
      <c r="E75" s="543">
        <f>'Prod. GEXFLO'!N6+'Prod. GEXFLO'!O6+'Prod. GEXFLO'!P6+'Prod. GEXFLO'!Q6+'Prod. GEXFLO'!U6</f>
        <v>2</v>
      </c>
      <c r="F75" s="27">
        <f t="shared" si="2"/>
        <v>13.3</v>
      </c>
      <c r="G75"/>
      <c r="H75" s="672" t="s">
        <v>94</v>
      </c>
      <c r="I75" s="682">
        <v>3</v>
      </c>
      <c r="J75" s="673">
        <v>4.3</v>
      </c>
      <c r="K75" s="28">
        <f>'Prod. GEXBLU'!N6+'Prod. GEXBLU'!O6+'Prod. GEXBLU'!P6+'Prod. GEXBLU'!Q6+'Prod. GEXBLU'!U6</f>
        <v>5</v>
      </c>
      <c r="L75" s="29">
        <f t="shared" si="0"/>
        <v>21.5</v>
      </c>
      <c r="N75" s="672" t="s">
        <v>95</v>
      </c>
      <c r="O75" s="682">
        <v>5</v>
      </c>
      <c r="P75" s="682">
        <v>4.5</v>
      </c>
      <c r="Q75" s="28">
        <f>'Prod. GEXJVL'!N6+'Prod. GEXJVL'!O6+'Prod. GEXJVL'!P6+'Prod. GEXJVL'!Q6+'Prod. GEXJVL'!U6</f>
        <v>3</v>
      </c>
      <c r="R75" s="29">
        <f t="shared" si="1"/>
        <v>13.5</v>
      </c>
    </row>
    <row r="76" spans="1:1025" x14ac:dyDescent="0.2">
      <c r="B76" s="513" t="s">
        <v>96</v>
      </c>
      <c r="C76" s="684">
        <v>5</v>
      </c>
      <c r="D76" s="673">
        <v>3.8</v>
      </c>
      <c r="E76" s="543">
        <f>'Prod. GEXFLO'!N7+'Prod. GEXFLO'!O7+'Prod. GEXFLO'!P7+'Prod. GEXFLO'!Q7+'Prod. GEXFLO'!U7</f>
        <v>3</v>
      </c>
      <c r="F76" s="27">
        <f t="shared" si="2"/>
        <v>11.399999999999999</v>
      </c>
      <c r="G76"/>
      <c r="H76" s="672" t="s">
        <v>97</v>
      </c>
      <c r="I76" s="682">
        <v>2</v>
      </c>
      <c r="J76" s="682">
        <v>4.9000000000000004</v>
      </c>
      <c r="K76" s="28">
        <f>'Prod. GEXBLU'!N7+'Prod. GEXBLU'!O7+'Prod. GEXBLU'!P7+'Prod. GEXBLU'!Q7+'Prod. GEXBLU'!U7</f>
        <v>3</v>
      </c>
      <c r="L76" s="29">
        <f t="shared" si="0"/>
        <v>14.700000000000001</v>
      </c>
      <c r="N76" s="672" t="s">
        <v>98</v>
      </c>
      <c r="O76" s="673">
        <v>2.5</v>
      </c>
      <c r="P76" s="673">
        <v>4.9000000000000004</v>
      </c>
      <c r="Q76" s="28">
        <f>'Prod. GEXJVL'!N7+'Prod. GEXJVL'!O7+'Prod. GEXJVL'!P7+'Prod. GEXJVL'!Q7+'Prod. GEXJVL'!U7</f>
        <v>4</v>
      </c>
      <c r="R76" s="29">
        <f t="shared" si="1"/>
        <v>19.600000000000001</v>
      </c>
    </row>
    <row r="77" spans="1:1025" x14ac:dyDescent="0.2">
      <c r="B77" s="515" t="s">
        <v>99</v>
      </c>
      <c r="C77" s="684">
        <v>2.5</v>
      </c>
      <c r="D77" s="673">
        <v>4.18</v>
      </c>
      <c r="E77" s="543">
        <f>'Prod. GEXFLO'!N8+'Prod. GEXFLO'!O8+'Prod. GEXFLO'!P8+'Prod. GEXFLO'!Q8+'Prod. GEXFLO'!U8</f>
        <v>4</v>
      </c>
      <c r="F77" s="27">
        <f t="shared" si="2"/>
        <v>16.72</v>
      </c>
      <c r="G77"/>
      <c r="H77" s="672" t="s">
        <v>100</v>
      </c>
      <c r="I77" s="673">
        <v>5</v>
      </c>
      <c r="J77" s="673">
        <v>4.41</v>
      </c>
      <c r="K77" s="28">
        <f>'Prod. GEXBLU'!N8+'Prod. GEXBLU'!O8+'Prod. GEXBLU'!P8+'Prod. GEXBLU'!Q8+'Prod. GEXBLU'!U8</f>
        <v>1</v>
      </c>
      <c r="L77" s="29">
        <f t="shared" si="0"/>
        <v>4.41</v>
      </c>
      <c r="N77" s="672" t="s">
        <v>101</v>
      </c>
      <c r="O77" s="673">
        <v>3</v>
      </c>
      <c r="P77" s="673">
        <v>3.5</v>
      </c>
      <c r="Q77" s="28">
        <f>'Prod. GEXJVL'!N8+'Prod. GEXJVL'!O8+'Prod. GEXJVL'!P8+'Prod. GEXJVL'!Q8+'Prod. GEXJVL'!U8</f>
        <v>3</v>
      </c>
      <c r="R77" s="29">
        <f t="shared" si="1"/>
        <v>10.5</v>
      </c>
    </row>
    <row r="78" spans="1:1025" x14ac:dyDescent="0.2">
      <c r="B78" s="513" t="s">
        <v>102</v>
      </c>
      <c r="C78" s="684">
        <v>2.5</v>
      </c>
      <c r="D78" s="673">
        <v>4.18</v>
      </c>
      <c r="E78" s="543">
        <f>'Prod. GEXFLO'!N9+'Prod. GEXFLO'!O9+'Prod. GEXFLO'!P9+'Prod. GEXFLO'!Q9+'Prod. GEXFLO'!U9</f>
        <v>1</v>
      </c>
      <c r="F78" s="27">
        <f t="shared" si="2"/>
        <v>4.18</v>
      </c>
      <c r="G78"/>
      <c r="H78" s="672" t="s">
        <v>103</v>
      </c>
      <c r="I78" s="673">
        <v>3</v>
      </c>
      <c r="J78" s="673">
        <v>3.5</v>
      </c>
      <c r="K78" s="28">
        <f>'Prod. GEXBLU'!N9+'Prod. GEXBLU'!O9+'Prod. GEXBLU'!P9+'Prod. GEXBLU'!Q9+'Prod. GEXBLU'!U9</f>
        <v>1</v>
      </c>
      <c r="L78" s="29">
        <f t="shared" si="0"/>
        <v>3.5</v>
      </c>
      <c r="N78" s="672" t="s">
        <v>104</v>
      </c>
      <c r="O78" s="673">
        <v>3</v>
      </c>
      <c r="P78" s="673" t="s">
        <v>105</v>
      </c>
      <c r="Q78" s="28">
        <f>'Prod. GEXJVL'!N9+'Prod. GEXJVL'!O9+'Prod. GEXJVL'!P9+'Prod. GEXJVL'!Q9+'Prod. GEXJVL'!U9</f>
        <v>3</v>
      </c>
      <c r="R78" s="29">
        <f t="shared" si="1"/>
        <v>15.75</v>
      </c>
    </row>
    <row r="79" spans="1:1025" x14ac:dyDescent="0.2">
      <c r="B79" s="516" t="s">
        <v>106</v>
      </c>
      <c r="C79" s="684">
        <v>5</v>
      </c>
      <c r="D79" s="673">
        <v>3.99</v>
      </c>
      <c r="E79" s="543">
        <f>'Prod. GEXFLO'!N10+'Prod. GEXFLO'!O10+'Prod. GEXFLO'!P13+'Prod. GEXFLO'!Q10+'Prod. GEXFLO'!U10</f>
        <v>2</v>
      </c>
      <c r="F79" s="27">
        <f t="shared" si="2"/>
        <v>7.98</v>
      </c>
      <c r="G79"/>
      <c r="H79" s="672" t="s">
        <v>107</v>
      </c>
      <c r="I79" s="673">
        <v>2</v>
      </c>
      <c r="J79" s="673">
        <v>3.63</v>
      </c>
      <c r="K79" s="28">
        <f>'Prod. GEXBLU'!N10+'Prod. GEXBLU'!O10+'Prod. GEXBLU'!P10+'Prod. GEXBLU'!Q10+'Prod. GEXBLU'!U10</f>
        <v>4</v>
      </c>
      <c r="L79" s="29">
        <f t="shared" si="0"/>
        <v>14.52</v>
      </c>
      <c r="N79" s="672" t="s">
        <v>108</v>
      </c>
      <c r="O79" s="673">
        <v>5</v>
      </c>
      <c r="P79" s="673">
        <v>4.2</v>
      </c>
      <c r="Q79" s="28">
        <f>'Prod. GEXJVL'!N10+'Prod. GEXJVL'!O10+'Prod. GEXJVL'!P10+'Prod. GEXJVL'!Q10+'Prod. GEXJVL'!U10</f>
        <v>1</v>
      </c>
      <c r="R79" s="29">
        <f t="shared" si="1"/>
        <v>4.2</v>
      </c>
    </row>
    <row r="80" spans="1:1025" x14ac:dyDescent="0.2">
      <c r="B80" s="517" t="s">
        <v>109</v>
      </c>
      <c r="C80" s="684">
        <v>5</v>
      </c>
      <c r="D80" s="673">
        <v>4</v>
      </c>
      <c r="E80" s="543">
        <f>'Prod. GEXFLO'!N11+'Prod. GEXFLO'!O11+'Prod. GEXFLO'!P11+'Prod. GEXFLO'!Q11+'Prod. GEXFLO'!U11</f>
        <v>2</v>
      </c>
      <c r="F80" s="27">
        <f t="shared" si="2"/>
        <v>8</v>
      </c>
      <c r="G80"/>
      <c r="H80" s="672" t="s">
        <v>110</v>
      </c>
      <c r="I80" s="673">
        <v>2</v>
      </c>
      <c r="J80" s="673">
        <v>4.5</v>
      </c>
      <c r="K80" s="28">
        <f>'Prod. GEXBLU'!N11+'Prod. GEXBLU'!O11+'Prod. GEXBLU'!P11+'Prod. GEXBLU'!Q11+'Prod. GEXBLU'!U11</f>
        <v>3</v>
      </c>
      <c r="L80" s="29">
        <f t="shared" si="0"/>
        <v>13.5</v>
      </c>
      <c r="N80" s="672" t="s">
        <v>111</v>
      </c>
      <c r="O80" s="673">
        <v>2.5</v>
      </c>
      <c r="P80" s="673">
        <v>4.9000000000000004</v>
      </c>
      <c r="Q80" s="28">
        <f>'Prod. GEXJVL'!N11+'Prod. GEXJVL'!O11+'Prod. GEXJVL'!P11+'Prod. GEXJVL'!Q11+'Prod. GEXJVL'!U11</f>
        <v>1</v>
      </c>
      <c r="R80" s="29">
        <f t="shared" si="1"/>
        <v>4.9000000000000004</v>
      </c>
    </row>
    <row r="81" spans="2:18" x14ac:dyDescent="0.2">
      <c r="B81" s="517" t="s">
        <v>112</v>
      </c>
      <c r="C81" s="684">
        <v>2</v>
      </c>
      <c r="D81" s="673">
        <v>4.0599999999999996</v>
      </c>
      <c r="E81" s="543">
        <f>'Prod. GEXFLO'!N12+'Prod. GEXFLO'!O12+'Prod. GEXFLO'!P12+'Prod. GEXFLO'!Q12+'Prod. GEXFLO'!U12</f>
        <v>4</v>
      </c>
      <c r="F81" s="27">
        <f t="shared" si="2"/>
        <v>16.239999999999998</v>
      </c>
      <c r="G81"/>
      <c r="H81" s="672" t="s">
        <v>113</v>
      </c>
      <c r="I81" s="673">
        <v>3</v>
      </c>
      <c r="J81" s="673">
        <v>3.6</v>
      </c>
      <c r="K81" s="28">
        <f>'Prod. GEXBLU'!N12+'Prod. GEXBLU'!O12+'Prod. GEXBLU'!P12+'Prod. GEXBLU'!Q12+'Prod. GEXBLU'!U12</f>
        <v>4</v>
      </c>
      <c r="L81" s="29">
        <f t="shared" si="0"/>
        <v>14.4</v>
      </c>
      <c r="N81" s="672" t="s">
        <v>114</v>
      </c>
      <c r="O81" s="673">
        <v>2</v>
      </c>
      <c r="P81" s="673">
        <v>4.4000000000000004</v>
      </c>
      <c r="Q81" s="28">
        <f>'Prod. GEXJVL'!N12+'Prod. GEXJVL'!O12+'Prod. GEXJVL'!P12+'Prod. GEXJVL'!Q12+'Prod. GEXJVL'!U12</f>
        <v>1</v>
      </c>
      <c r="R81" s="29">
        <f t="shared" si="1"/>
        <v>4.4000000000000004</v>
      </c>
    </row>
    <row r="82" spans="2:18" x14ac:dyDescent="0.2">
      <c r="B82" s="515" t="s">
        <v>115</v>
      </c>
      <c r="C82" s="684">
        <v>2</v>
      </c>
      <c r="D82" s="673">
        <v>4.4000000000000004</v>
      </c>
      <c r="E82" s="543">
        <f>'Prod. GEXFLO'!N13+'Prod. GEXFLO'!O13+'Prod. GEXFLO'!P13+'Prod. GEXFLO'!Q13+'Prod. GEXFLO'!U13</f>
        <v>2</v>
      </c>
      <c r="F82" s="27">
        <f t="shared" si="2"/>
        <v>8.8000000000000007</v>
      </c>
      <c r="G82"/>
      <c r="H82" s="672" t="s">
        <v>116</v>
      </c>
      <c r="I82" s="673">
        <v>2.5</v>
      </c>
      <c r="J82" s="673">
        <v>4.5</v>
      </c>
      <c r="K82" s="28">
        <f>'Prod. GEXBLU'!N13+'Prod. GEXBLU'!O13+'Prod. GEXBLU'!P13+'Prod. GEXBLU'!Q13+'Prod. GEXBLU'!U13</f>
        <v>2</v>
      </c>
      <c r="L82" s="29">
        <f t="shared" si="0"/>
        <v>9</v>
      </c>
      <c r="N82" s="672" t="s">
        <v>117</v>
      </c>
      <c r="O82" s="673">
        <v>3</v>
      </c>
      <c r="P82" s="673">
        <v>3.5</v>
      </c>
      <c r="Q82" s="28">
        <f>'Prod. GEXJVL'!N13+'Prod. GEXJVL'!O13+'Prod. GEXJVL'!P13+'Prod. GEXJVL'!Q13+'Prod. GEXJVL'!U13</f>
        <v>1</v>
      </c>
      <c r="R82" s="29">
        <f t="shared" si="1"/>
        <v>3.5</v>
      </c>
    </row>
    <row r="83" spans="2:18" x14ac:dyDescent="0.2">
      <c r="B83" s="517" t="s">
        <v>118</v>
      </c>
      <c r="C83" s="684">
        <v>3</v>
      </c>
      <c r="D83" s="673">
        <v>3.99</v>
      </c>
      <c r="E83" s="543">
        <f>'Prod. GEXFLO'!N14+'Prod. GEXFLO'!O14+'Prod. GEXFLO'!P14+'Prod. GEXFLO'!Q14+'Prod. GEXFLO'!U14</f>
        <v>2</v>
      </c>
      <c r="F83" s="27">
        <f t="shared" si="2"/>
        <v>7.98</v>
      </c>
      <c r="G83"/>
      <c r="H83" s="672" t="s">
        <v>119</v>
      </c>
      <c r="I83" s="673">
        <v>3</v>
      </c>
      <c r="J83" s="673">
        <v>3.4</v>
      </c>
      <c r="K83" s="28">
        <f>'Prod. GEXBLU'!N14+'Prod. GEXBLU'!O14+'Prod. GEXBLU'!P14+'Prod. GEXBLU'!Q14+'Prod. GEXBLU'!U14</f>
        <v>1</v>
      </c>
      <c r="L83" s="29">
        <f t="shared" si="0"/>
        <v>3.4</v>
      </c>
      <c r="N83" s="674" t="s">
        <v>120</v>
      </c>
      <c r="O83" s="675"/>
      <c r="P83" s="676">
        <f>AVERAGE(P72:P82)</f>
        <v>4.1999999999999993</v>
      </c>
      <c r="Q83" s="28">
        <f>SUM(Q73:Q82)</f>
        <v>23</v>
      </c>
      <c r="R83" s="29">
        <f>SUM(R73:R82)</f>
        <v>100.05000000000003</v>
      </c>
    </row>
    <row r="84" spans="2:18" x14ac:dyDescent="0.2">
      <c r="B84" s="515" t="s">
        <v>121</v>
      </c>
      <c r="C84" s="684">
        <v>2.5</v>
      </c>
      <c r="D84" s="673">
        <v>4.8</v>
      </c>
      <c r="E84" s="543">
        <f>'Prod. GEXFLO'!N15+'Prod. GEXFLO'!O15+'Prod. GEXFLO'!P15+'Prod. GEXFLO'!Q15+'Prod. GEXFLO'!U15</f>
        <v>2</v>
      </c>
      <c r="F84" s="27">
        <f t="shared" si="2"/>
        <v>9.6</v>
      </c>
      <c r="G84"/>
      <c r="H84" s="672" t="s">
        <v>122</v>
      </c>
      <c r="I84" s="673">
        <v>3.5</v>
      </c>
      <c r="J84" s="673">
        <v>4.5</v>
      </c>
      <c r="K84" s="28">
        <f>'Prod. GEXBLU'!N15+'Prod. GEXBLU'!O15+'Prod. GEXBLU'!P15+'Prod. GEXBLU'!Q15+'Prod. GEXBLU'!U15</f>
        <v>1</v>
      </c>
      <c r="L84" s="29">
        <f t="shared" si="0"/>
        <v>4.5</v>
      </c>
      <c r="N84" s="677" t="s">
        <v>123</v>
      </c>
      <c r="O84" s="678"/>
      <c r="P84" s="679">
        <f>R83/Q83</f>
        <v>4.3500000000000014</v>
      </c>
    </row>
    <row r="85" spans="2:18" x14ac:dyDescent="0.2">
      <c r="B85" s="515" t="s">
        <v>124</v>
      </c>
      <c r="C85" s="684">
        <v>2</v>
      </c>
      <c r="D85" s="673">
        <v>3.99</v>
      </c>
      <c r="E85" s="543">
        <f>'Prod. GEXFLO'!N16+'Prod. GEXFLO'!O16+'Prod. GEXFLO'!P16+'Prod. GEXFLO'!Q16+'Prod. GEXFLO'!U16</f>
        <v>2</v>
      </c>
      <c r="F85" s="27">
        <f t="shared" si="2"/>
        <v>7.98</v>
      </c>
      <c r="G85"/>
      <c r="H85" s="674" t="s">
        <v>120</v>
      </c>
      <c r="I85" s="675"/>
      <c r="J85" s="676">
        <f>AVERAGE(J73:J84)</f>
        <v>4.1533333333333333</v>
      </c>
      <c r="K85" s="28">
        <f>SUM(K73:K84)</f>
        <v>28</v>
      </c>
      <c r="L85" s="29">
        <f>SUM(L73:L84)</f>
        <v>116.33000000000001</v>
      </c>
    </row>
    <row r="86" spans="2:18" x14ac:dyDescent="0.2">
      <c r="B86" s="518" t="s">
        <v>125</v>
      </c>
      <c r="C86" s="684">
        <v>2</v>
      </c>
      <c r="D86" s="673">
        <v>4.4000000000000004</v>
      </c>
      <c r="E86" s="543">
        <f>'Prod. GEXFLO'!N17+'Prod. GEXFLO'!O17+'Prod. GEXFLO'!P17+'Prod. GEXFLO'!Q17+'Prod. GEXFLO'!U17</f>
        <v>1</v>
      </c>
      <c r="F86" s="27">
        <f t="shared" si="2"/>
        <v>4.4000000000000004</v>
      </c>
      <c r="G86"/>
      <c r="H86" s="677" t="s">
        <v>123</v>
      </c>
      <c r="I86" s="678"/>
      <c r="J86" s="679">
        <f>L85/K85</f>
        <v>4.154642857142858</v>
      </c>
      <c r="K86" s="4"/>
      <c r="L86" s="4"/>
    </row>
    <row r="87" spans="2:18" x14ac:dyDescent="0.2">
      <c r="B87" s="518" t="s">
        <v>126</v>
      </c>
      <c r="C87" s="684">
        <v>2.5</v>
      </c>
      <c r="D87" s="673">
        <v>4.18</v>
      </c>
      <c r="E87" s="543">
        <f>'Prod. GEXFLO'!N18+'Prod. GEXFLO'!O18+'Prod. GEXFLO'!P18+'Prod. GEXFLO'!Q18+'Prod. GEXFLO'!U18</f>
        <v>1</v>
      </c>
      <c r="F87" s="27">
        <f t="shared" si="2"/>
        <v>4.18</v>
      </c>
      <c r="G87"/>
    </row>
    <row r="88" spans="2:18" x14ac:dyDescent="0.2">
      <c r="B88" s="518" t="s">
        <v>127</v>
      </c>
      <c r="C88" s="684">
        <v>2.5</v>
      </c>
      <c r="D88" s="673">
        <v>4.18</v>
      </c>
      <c r="E88" s="543">
        <f>'Prod. GEXFLO'!N19+'Prod. GEXFLO'!O19+'Prod. GEXFLO'!P19+'Prod. GEXFLO'!Q19+'Prod. GEXFLO'!U19</f>
        <v>1</v>
      </c>
      <c r="F88" s="27">
        <f t="shared" si="2"/>
        <v>4.18</v>
      </c>
      <c r="G88"/>
    </row>
    <row r="89" spans="2:18" x14ac:dyDescent="0.2">
      <c r="B89" s="521" t="s">
        <v>128</v>
      </c>
      <c r="C89" s="684">
        <v>2.5</v>
      </c>
      <c r="D89" s="673">
        <v>4.18</v>
      </c>
      <c r="E89" s="543">
        <f>'Prod. GEXFLO'!N20+'Prod. GEXFLO'!O20+'Prod. GEXFLO'!P20+'Prod. GEXFLO'!Q20+'Prod. GEXFLO'!U20</f>
        <v>5</v>
      </c>
      <c r="F89" s="27">
        <f t="shared" si="2"/>
        <v>20.9</v>
      </c>
      <c r="G89"/>
    </row>
    <row r="90" spans="2:18" x14ac:dyDescent="0.2">
      <c r="B90" s="515" t="s">
        <v>129</v>
      </c>
      <c r="C90" s="684">
        <v>2.5</v>
      </c>
      <c r="D90" s="673">
        <v>4.18</v>
      </c>
      <c r="E90" s="543">
        <f>'Prod. GEXFLO'!N21+'Prod. GEXFLO'!O21+'Prod. GEXFLO'!P21+'Prod. GEXFLO'!Q21+'Prod. GEXFLO'!U21</f>
        <v>4</v>
      </c>
      <c r="F90" s="27">
        <f t="shared" si="2"/>
        <v>16.72</v>
      </c>
      <c r="G90"/>
    </row>
    <row r="91" spans="2:18" x14ac:dyDescent="0.2">
      <c r="B91" s="674" t="s">
        <v>120</v>
      </c>
      <c r="C91" s="675"/>
      <c r="D91" s="685">
        <f>AVERAGE(D73:D90)</f>
        <v>4.2961111111111121</v>
      </c>
      <c r="E91" s="27">
        <f>SUM(E73:E90)</f>
        <v>43</v>
      </c>
      <c r="F91" s="27">
        <f>SUM(F73:F90)</f>
        <v>183.27</v>
      </c>
      <c r="G91"/>
    </row>
    <row r="92" spans="2:18" x14ac:dyDescent="0.2">
      <c r="B92" s="677" t="s">
        <v>123</v>
      </c>
      <c r="C92" s="678"/>
      <c r="D92" s="686">
        <f>F91/E91</f>
        <v>4.2620930232558143</v>
      </c>
      <c r="E92"/>
      <c r="F92"/>
      <c r="G92"/>
    </row>
    <row r="93" spans="2:18" x14ac:dyDescent="0.2">
      <c r="B93"/>
      <c r="C93"/>
      <c r="D93"/>
      <c r="E93"/>
      <c r="F93"/>
      <c r="G93"/>
    </row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</sheetData>
  <mergeCells count="38">
    <mergeCell ref="B1:L1"/>
    <mergeCell ref="C3:D3"/>
    <mergeCell ref="C4:D4"/>
    <mergeCell ref="B6:L6"/>
    <mergeCell ref="C9:E9"/>
    <mergeCell ref="G9:I9"/>
    <mergeCell ref="B19:L19"/>
    <mergeCell ref="B32:L32"/>
    <mergeCell ref="B33:L33"/>
    <mergeCell ref="B34:L34"/>
    <mergeCell ref="B35:L35"/>
    <mergeCell ref="B36:L36"/>
    <mergeCell ref="B37:L37"/>
    <mergeCell ref="B38:L38"/>
    <mergeCell ref="B39:L39"/>
    <mergeCell ref="B40:L40"/>
    <mergeCell ref="C47:L47"/>
    <mergeCell ref="C48:D48"/>
    <mergeCell ref="C49:D49"/>
    <mergeCell ref="C50:D50"/>
    <mergeCell ref="B41:L41"/>
    <mergeCell ref="B42:L42"/>
    <mergeCell ref="B44:L44"/>
    <mergeCell ref="B45:L45"/>
    <mergeCell ref="C46:L46"/>
    <mergeCell ref="C51:D51"/>
    <mergeCell ref="C52:D52"/>
    <mergeCell ref="C53:D53"/>
    <mergeCell ref="C54:D54"/>
    <mergeCell ref="C55:D55"/>
    <mergeCell ref="C56:D56"/>
    <mergeCell ref="C57:L57"/>
    <mergeCell ref="C60:L60"/>
    <mergeCell ref="B71:L71"/>
    <mergeCell ref="B62:L62"/>
    <mergeCell ref="C63:L63"/>
    <mergeCell ref="B67:L67"/>
    <mergeCell ref="B58:E58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LX1048576"/>
  <sheetViews>
    <sheetView zoomScale="80" zoomScaleNormal="80" workbookViewId="0">
      <pane xSplit="2" ySplit="3" topLeftCell="C4" activePane="bottomRight" state="frozen"/>
      <selection pane="topRight"/>
      <selection pane="bottomLeft"/>
      <selection pane="bottomRight" activeCell="H28" sqref="H28:K29"/>
    </sheetView>
  </sheetViews>
  <sheetFormatPr defaultRowHeight="15" x14ac:dyDescent="0.25"/>
  <cols>
    <col min="1" max="1" width="36" style="171" bestFit="1" customWidth="1"/>
    <col min="2" max="2" width="5.625" style="171" customWidth="1"/>
    <col min="3" max="16" width="9" style="171"/>
    <col min="17" max="17" width="8.75" style="171" customWidth="1"/>
    <col min="18" max="22" width="9" style="156" customWidth="1"/>
    <col min="23" max="23" width="9.625" style="156" bestFit="1" customWidth="1"/>
    <col min="24" max="24" width="12.25" style="156" customWidth="1"/>
    <col min="25" max="997" width="9" style="156"/>
    <col min="998" max="1012" width="9" style="171"/>
    <col min="16384" max="16384" width="8" customWidth="1"/>
  </cols>
  <sheetData>
    <row r="1" spans="1:999" x14ac:dyDescent="0.25">
      <c r="A1" s="156"/>
      <c r="B1" s="156"/>
      <c r="C1" s="1067" t="s">
        <v>333</v>
      </c>
      <c r="D1" s="1068"/>
      <c r="E1" s="1068"/>
      <c r="F1" s="1068"/>
      <c r="G1" s="1083" t="s">
        <v>334</v>
      </c>
      <c r="H1" s="1083"/>
      <c r="I1" s="1083"/>
      <c r="J1" s="1084" t="s">
        <v>335</v>
      </c>
      <c r="K1" s="1084"/>
      <c r="L1" s="1085"/>
      <c r="M1" s="156"/>
      <c r="N1" s="156"/>
      <c r="O1" s="156"/>
      <c r="P1" s="156"/>
      <c r="Q1" s="156"/>
      <c r="ALJ1"/>
      <c r="ALK1"/>
    </row>
    <row r="2" spans="1:999" ht="55.5" customHeight="1" x14ac:dyDescent="0.25">
      <c r="A2" s="1073" t="s">
        <v>86</v>
      </c>
      <c r="B2" s="1090" t="s">
        <v>81</v>
      </c>
      <c r="C2" s="1075" t="s">
        <v>604</v>
      </c>
      <c r="D2" s="1077" t="s">
        <v>605</v>
      </c>
      <c r="E2" s="1079" t="s">
        <v>606</v>
      </c>
      <c r="F2" s="1081" t="s">
        <v>607</v>
      </c>
      <c r="G2" s="1093" t="s">
        <v>608</v>
      </c>
      <c r="H2" s="1095" t="s">
        <v>623</v>
      </c>
      <c r="I2" s="1097" t="s">
        <v>610</v>
      </c>
      <c r="J2" s="1069" t="s">
        <v>611</v>
      </c>
      <c r="K2" s="1069" t="s">
        <v>612</v>
      </c>
      <c r="L2" s="1113" t="s">
        <v>613</v>
      </c>
      <c r="M2" s="1115" t="s">
        <v>433</v>
      </c>
      <c r="N2" s="1088" t="s">
        <v>434</v>
      </c>
      <c r="O2" s="1072"/>
      <c r="P2" s="1092" t="s">
        <v>435</v>
      </c>
      <c r="Q2" s="1092"/>
      <c r="R2" s="499" t="s">
        <v>436</v>
      </c>
      <c r="S2" s="500" t="s">
        <v>437</v>
      </c>
      <c r="T2" s="501" t="s">
        <v>438</v>
      </c>
      <c r="U2" s="502" t="s">
        <v>439</v>
      </c>
      <c r="ALJ2" s="156"/>
      <c r="ALK2" s="156"/>
    </row>
    <row r="3" spans="1:999" ht="23.25" customHeight="1" x14ac:dyDescent="0.25">
      <c r="A3" s="1103"/>
      <c r="B3" s="1110"/>
      <c r="C3" s="1104"/>
      <c r="D3" s="1105"/>
      <c r="E3" s="1106"/>
      <c r="F3" s="1107"/>
      <c r="G3" s="1108"/>
      <c r="H3" s="1109"/>
      <c r="I3" s="1111"/>
      <c r="J3" s="1112"/>
      <c r="K3" s="1112"/>
      <c r="L3" s="1114"/>
      <c r="M3" s="1116"/>
      <c r="N3" s="642" t="s">
        <v>360</v>
      </c>
      <c r="O3" s="572" t="s">
        <v>361</v>
      </c>
      <c r="P3" s="573" t="s">
        <v>360</v>
      </c>
      <c r="Q3" s="574" t="s">
        <v>361</v>
      </c>
      <c r="R3" s="608" t="s">
        <v>440</v>
      </c>
      <c r="S3" s="609" t="s">
        <v>440</v>
      </c>
      <c r="T3" s="610" t="s">
        <v>441</v>
      </c>
      <c r="U3" s="611" t="s">
        <v>361</v>
      </c>
      <c r="ALJ3" s="156"/>
      <c r="ALK3" s="156"/>
    </row>
    <row r="4" spans="1:999" ht="15" customHeight="1" x14ac:dyDescent="0.25">
      <c r="A4" s="662" t="s">
        <v>89</v>
      </c>
      <c r="B4" s="809">
        <f>'Resumo Proposta'!D38</f>
        <v>2.5000000000000001E-2</v>
      </c>
      <c r="C4" s="665">
        <v>1038</v>
      </c>
      <c r="D4" s="666">
        <v>395.4</v>
      </c>
      <c r="E4" s="666"/>
      <c r="F4" s="666">
        <v>81.400000000000006</v>
      </c>
      <c r="G4" s="666">
        <v>766.1</v>
      </c>
      <c r="H4" s="666"/>
      <c r="I4" s="666"/>
      <c r="J4" s="786">
        <v>166.24</v>
      </c>
      <c r="K4" s="786">
        <v>249.36</v>
      </c>
      <c r="L4" s="783">
        <v>415.6</v>
      </c>
      <c r="M4" s="671">
        <f>C4/$C$15+D4/$D$15+E4/$E$15+F4/$F$15+G4/$G$15+H4/$H$15+I4/$I$15+K4/$K$15*16*1/188.76+L4/$L$15*16*1/188.76</f>
        <v>2.5815927244472698</v>
      </c>
      <c r="N4" s="793"/>
      <c r="O4" s="793">
        <v>2</v>
      </c>
      <c r="P4" s="794"/>
      <c r="Q4" s="794"/>
      <c r="R4" s="628">
        <v>6</v>
      </c>
      <c r="S4" s="629">
        <v>6</v>
      </c>
      <c r="T4" s="630">
        <v>22</v>
      </c>
      <c r="U4" s="631">
        <v>1</v>
      </c>
    </row>
    <row r="5" spans="1:999" x14ac:dyDescent="0.25">
      <c r="A5" s="663" t="s">
        <v>92</v>
      </c>
      <c r="B5" s="809">
        <f>'Resumo Proposta'!D39</f>
        <v>0.03</v>
      </c>
      <c r="C5" s="667">
        <v>545</v>
      </c>
      <c r="D5" s="668">
        <v>1438</v>
      </c>
      <c r="E5" s="668">
        <v>40.4</v>
      </c>
      <c r="F5" s="668">
        <v>74.599999999999994</v>
      </c>
      <c r="G5" s="668">
        <v>483.2</v>
      </c>
      <c r="H5" s="668">
        <v>91</v>
      </c>
      <c r="I5" s="668">
        <v>149</v>
      </c>
      <c r="J5" s="787">
        <v>250</v>
      </c>
      <c r="K5" s="787">
        <v>273</v>
      </c>
      <c r="L5" s="784">
        <v>523</v>
      </c>
      <c r="M5" s="606">
        <f t="shared" ref="M5:M13" si="0">C5/$C$15+D5/$D$15+E5/$E$15+F5/$F$15+G5/$G$15+H5/$H$15+I5/$I$15+K5/$K$15*16*1/188.76+L5/$L$15*16*1/188.76</f>
        <v>2.5724108511690331</v>
      </c>
      <c r="N5" s="795"/>
      <c r="O5" s="795">
        <v>2</v>
      </c>
      <c r="P5" s="796">
        <v>1</v>
      </c>
      <c r="Q5" s="797"/>
      <c r="R5" s="533">
        <v>6</v>
      </c>
      <c r="S5" s="510">
        <v>6</v>
      </c>
      <c r="T5" s="511"/>
      <c r="U5" s="632"/>
    </row>
    <row r="6" spans="1:999" x14ac:dyDescent="0.25">
      <c r="A6" s="663" t="s">
        <v>95</v>
      </c>
      <c r="B6" s="809">
        <f>'Resumo Proposta'!D40</f>
        <v>0.05</v>
      </c>
      <c r="C6" s="667">
        <v>542</v>
      </c>
      <c r="D6" s="668">
        <v>680</v>
      </c>
      <c r="E6" s="668"/>
      <c r="F6" s="668">
        <v>42.6</v>
      </c>
      <c r="G6" s="668">
        <v>313.39999999999998</v>
      </c>
      <c r="H6" s="668">
        <v>2578.9</v>
      </c>
      <c r="I6" s="668">
        <v>104</v>
      </c>
      <c r="J6" s="787"/>
      <c r="K6" s="787">
        <v>274.5</v>
      </c>
      <c r="L6" s="784">
        <v>274.5</v>
      </c>
      <c r="M6" s="606">
        <f t="shared" si="0"/>
        <v>1.7161843874408422</v>
      </c>
      <c r="N6" s="795"/>
      <c r="O6" s="795">
        <v>2</v>
      </c>
      <c r="P6" s="796"/>
      <c r="Q6" s="797">
        <v>1</v>
      </c>
      <c r="R6" s="533">
        <v>6</v>
      </c>
      <c r="S6" s="510">
        <v>6</v>
      </c>
      <c r="T6" s="511"/>
      <c r="U6" s="632"/>
    </row>
    <row r="7" spans="1:999" x14ac:dyDescent="0.25">
      <c r="A7" s="663" t="s">
        <v>98</v>
      </c>
      <c r="B7" s="809">
        <f>'Resumo Proposta'!D41</f>
        <v>2.5000000000000001E-2</v>
      </c>
      <c r="C7" s="667">
        <v>1058</v>
      </c>
      <c r="D7" s="668">
        <v>432.5</v>
      </c>
      <c r="E7" s="668">
        <v>28.5</v>
      </c>
      <c r="F7" s="668">
        <v>57.2</v>
      </c>
      <c r="G7" s="668">
        <v>112.5</v>
      </c>
      <c r="H7" s="668">
        <v>52.5</v>
      </c>
      <c r="I7" s="668">
        <v>210.8</v>
      </c>
      <c r="J7" s="787"/>
      <c r="K7" s="787">
        <v>225</v>
      </c>
      <c r="L7" s="784">
        <v>225</v>
      </c>
      <c r="M7" s="606">
        <f t="shared" si="0"/>
        <v>2.150637248357703</v>
      </c>
      <c r="N7" s="795"/>
      <c r="O7" s="795">
        <v>2</v>
      </c>
      <c r="P7" s="796"/>
      <c r="Q7" s="797">
        <v>2</v>
      </c>
      <c r="R7" s="533">
        <v>6</v>
      </c>
      <c r="S7" s="510">
        <v>6</v>
      </c>
      <c r="T7" s="511"/>
      <c r="U7" s="632"/>
    </row>
    <row r="8" spans="1:999" x14ac:dyDescent="0.25">
      <c r="A8" s="663" t="s">
        <v>101</v>
      </c>
      <c r="B8" s="809">
        <f>'Resumo Proposta'!D42</f>
        <v>0.03</v>
      </c>
      <c r="C8" s="667">
        <v>790</v>
      </c>
      <c r="D8" s="668">
        <v>765</v>
      </c>
      <c r="E8" s="668">
        <v>24</v>
      </c>
      <c r="F8" s="668">
        <v>44.5</v>
      </c>
      <c r="G8" s="668">
        <v>69.2</v>
      </c>
      <c r="H8" s="668"/>
      <c r="I8" s="668">
        <v>27.5</v>
      </c>
      <c r="J8" s="787">
        <v>36.700000000000003</v>
      </c>
      <c r="K8" s="787">
        <v>173.3</v>
      </c>
      <c r="L8" s="784">
        <v>210</v>
      </c>
      <c r="M8" s="606">
        <f t="shared" si="0"/>
        <v>1.8953275588048317</v>
      </c>
      <c r="N8" s="795"/>
      <c r="O8" s="795">
        <v>2</v>
      </c>
      <c r="P8" s="797">
        <v>1</v>
      </c>
      <c r="Q8" s="796"/>
      <c r="R8" s="533">
        <v>6</v>
      </c>
      <c r="S8" s="510">
        <v>6</v>
      </c>
      <c r="T8" s="511"/>
      <c r="U8" s="632"/>
    </row>
    <row r="9" spans="1:999" x14ac:dyDescent="0.25">
      <c r="A9" s="663" t="s">
        <v>104</v>
      </c>
      <c r="B9" s="809">
        <f>'Resumo Proposta'!D43</f>
        <v>0.03</v>
      </c>
      <c r="C9" s="667">
        <v>529</v>
      </c>
      <c r="D9" s="668">
        <v>190</v>
      </c>
      <c r="E9" s="668">
        <v>12</v>
      </c>
      <c r="F9" s="668">
        <v>49.2</v>
      </c>
      <c r="G9" s="668">
        <v>21.6</v>
      </c>
      <c r="H9" s="668">
        <v>38.1</v>
      </c>
      <c r="I9" s="668">
        <v>40.1</v>
      </c>
      <c r="J9" s="787">
        <v>56</v>
      </c>
      <c r="K9" s="787">
        <v>56</v>
      </c>
      <c r="L9" s="784">
        <v>112</v>
      </c>
      <c r="M9" s="606">
        <f t="shared" si="0"/>
        <v>1.1124486838313203</v>
      </c>
      <c r="N9" s="795">
        <v>1</v>
      </c>
      <c r="O9" s="795">
        <v>1</v>
      </c>
      <c r="P9" s="797">
        <v>1</v>
      </c>
      <c r="Q9" s="796"/>
      <c r="R9" s="533">
        <v>6</v>
      </c>
      <c r="S9" s="510">
        <v>6</v>
      </c>
      <c r="T9" s="511"/>
      <c r="U9" s="632"/>
    </row>
    <row r="10" spans="1:999" x14ac:dyDescent="0.25">
      <c r="A10" s="663" t="s">
        <v>108</v>
      </c>
      <c r="B10" s="809">
        <f>'Resumo Proposta'!D44</f>
        <v>0.05</v>
      </c>
      <c r="C10" s="667">
        <v>318.3</v>
      </c>
      <c r="D10" s="668">
        <v>33.200000000000003</v>
      </c>
      <c r="E10" s="668">
        <v>11.7</v>
      </c>
      <c r="F10" s="668">
        <v>7.93</v>
      </c>
      <c r="G10" s="668"/>
      <c r="H10" s="668"/>
      <c r="I10" s="668"/>
      <c r="J10" s="787"/>
      <c r="K10" s="787">
        <v>127.7</v>
      </c>
      <c r="L10" s="784">
        <v>127.7</v>
      </c>
      <c r="M10" s="606">
        <f t="shared" si="0"/>
        <v>0.5435205145864237</v>
      </c>
      <c r="N10" s="795">
        <v>1</v>
      </c>
      <c r="O10" s="795"/>
      <c r="P10" s="796"/>
      <c r="Q10" s="796"/>
      <c r="R10" s="533">
        <v>6</v>
      </c>
      <c r="S10" s="510">
        <v>6</v>
      </c>
      <c r="T10" s="511"/>
      <c r="U10" s="632"/>
    </row>
    <row r="11" spans="1:999" x14ac:dyDescent="0.25">
      <c r="A11" s="663" t="s">
        <v>111</v>
      </c>
      <c r="B11" s="809">
        <f>'Resumo Proposta'!D45</f>
        <v>2.5000000000000001E-2</v>
      </c>
      <c r="C11" s="667"/>
      <c r="D11" s="668">
        <f>360+310</f>
        <v>670</v>
      </c>
      <c r="E11" s="668">
        <v>24.2</v>
      </c>
      <c r="F11" s="668">
        <v>62.5</v>
      </c>
      <c r="G11" s="668">
        <v>463</v>
      </c>
      <c r="H11" s="668">
        <v>62.7</v>
      </c>
      <c r="I11" s="668">
        <v>63.5</v>
      </c>
      <c r="J11" s="787"/>
      <c r="K11" s="787">
        <v>214.2</v>
      </c>
      <c r="L11" s="784">
        <v>214.2</v>
      </c>
      <c r="M11" s="606">
        <f t="shared" si="0"/>
        <v>1.1728418159920888</v>
      </c>
      <c r="N11" s="795"/>
      <c r="O11" s="795">
        <v>1</v>
      </c>
      <c r="P11" s="796"/>
      <c r="Q11" s="796"/>
      <c r="R11" s="533">
        <v>6</v>
      </c>
      <c r="S11" s="510">
        <v>6</v>
      </c>
      <c r="T11" s="511"/>
      <c r="U11" s="632"/>
    </row>
    <row r="12" spans="1:999" x14ac:dyDescent="0.25">
      <c r="A12" s="663" t="s">
        <v>114</v>
      </c>
      <c r="B12" s="809">
        <f>'Resumo Proposta'!D46</f>
        <v>0.02</v>
      </c>
      <c r="C12" s="667">
        <v>800</v>
      </c>
      <c r="D12" s="668"/>
      <c r="E12" s="668"/>
      <c r="F12" s="668"/>
      <c r="G12" s="668"/>
      <c r="H12" s="668"/>
      <c r="I12" s="668"/>
      <c r="J12" s="788"/>
      <c r="K12" s="787"/>
      <c r="L12" s="784"/>
      <c r="M12" s="606">
        <f t="shared" si="0"/>
        <v>1</v>
      </c>
      <c r="N12" s="795">
        <v>1</v>
      </c>
      <c r="O12" s="795"/>
      <c r="P12" s="796"/>
      <c r="Q12" s="796"/>
      <c r="R12" s="533">
        <v>6</v>
      </c>
      <c r="S12" s="510">
        <v>6</v>
      </c>
      <c r="T12" s="511"/>
      <c r="U12" s="632"/>
    </row>
    <row r="13" spans="1:999" x14ac:dyDescent="0.25">
      <c r="A13" s="664" t="s">
        <v>117</v>
      </c>
      <c r="B13" s="809">
        <f>'Resumo Proposta'!D47</f>
        <v>0.03</v>
      </c>
      <c r="C13" s="669">
        <v>234.1</v>
      </c>
      <c r="D13" s="670">
        <v>16.8</v>
      </c>
      <c r="E13" s="670">
        <v>9.35</v>
      </c>
      <c r="F13" s="670">
        <v>32.200000000000003</v>
      </c>
      <c r="G13" s="670">
        <v>392.4</v>
      </c>
      <c r="H13" s="670">
        <v>467.2</v>
      </c>
      <c r="I13" s="670">
        <v>203.4</v>
      </c>
      <c r="J13" s="789" t="s">
        <v>624</v>
      </c>
      <c r="K13" s="790">
        <v>75.36</v>
      </c>
      <c r="L13" s="785">
        <v>170.72</v>
      </c>
      <c r="M13" s="606">
        <f t="shared" si="0"/>
        <v>0.80027585498340048</v>
      </c>
      <c r="N13" s="795"/>
      <c r="O13" s="795">
        <v>1</v>
      </c>
      <c r="P13" s="796"/>
      <c r="Q13" s="796"/>
      <c r="R13" s="533">
        <v>6</v>
      </c>
      <c r="S13" s="510">
        <v>6</v>
      </c>
      <c r="T13" s="511"/>
      <c r="U13" s="632"/>
    </row>
    <row r="14" spans="1:999" x14ac:dyDescent="0.25">
      <c r="A14" s="612" t="s">
        <v>442</v>
      </c>
      <c r="B14" s="612"/>
      <c r="C14" s="613">
        <f t="shared" ref="C14:U14" si="1">SUM(C4:C13)</f>
        <v>5854.4000000000005</v>
      </c>
      <c r="D14" s="614">
        <f t="shared" si="1"/>
        <v>4620.9000000000005</v>
      </c>
      <c r="E14" s="614">
        <f t="shared" si="1"/>
        <v>150.15</v>
      </c>
      <c r="F14" s="614">
        <f t="shared" si="1"/>
        <v>452.13</v>
      </c>
      <c r="G14" s="614">
        <f t="shared" si="1"/>
        <v>2621.4</v>
      </c>
      <c r="H14" s="614">
        <f t="shared" si="1"/>
        <v>3290.3999999999996</v>
      </c>
      <c r="I14" s="614">
        <f t="shared" si="1"/>
        <v>798.3</v>
      </c>
      <c r="J14" s="614">
        <f t="shared" si="1"/>
        <v>508.94</v>
      </c>
      <c r="K14" s="614">
        <f t="shared" si="1"/>
        <v>1668.42</v>
      </c>
      <c r="L14" s="615">
        <f t="shared" si="1"/>
        <v>2272.7199999999998</v>
      </c>
      <c r="M14" s="616">
        <f t="shared" si="1"/>
        <v>15.545239639612914</v>
      </c>
      <c r="N14" s="617">
        <f t="shared" si="1"/>
        <v>3</v>
      </c>
      <c r="O14" s="618">
        <f t="shared" si="1"/>
        <v>13</v>
      </c>
      <c r="P14" s="619">
        <f t="shared" si="1"/>
        <v>3</v>
      </c>
      <c r="Q14" s="619">
        <f t="shared" si="1"/>
        <v>3</v>
      </c>
      <c r="R14" s="620">
        <f t="shared" si="1"/>
        <v>60</v>
      </c>
      <c r="S14" s="621">
        <f t="shared" si="1"/>
        <v>60</v>
      </c>
      <c r="T14" s="622">
        <f t="shared" si="1"/>
        <v>22</v>
      </c>
      <c r="U14" s="623">
        <f t="shared" si="1"/>
        <v>1</v>
      </c>
      <c r="W14" s="643"/>
      <c r="X14" s="643"/>
    </row>
    <row r="15" spans="1:999" x14ac:dyDescent="0.25">
      <c r="A15" s="575" t="s">
        <v>443</v>
      </c>
      <c r="B15" s="575"/>
      <c r="C15" s="576">
        <v>800</v>
      </c>
      <c r="D15" s="577">
        <v>1500</v>
      </c>
      <c r="E15" s="577">
        <v>1000</v>
      </c>
      <c r="F15" s="577">
        <v>200</v>
      </c>
      <c r="G15" s="577">
        <v>1800</v>
      </c>
      <c r="H15" s="577">
        <v>100000</v>
      </c>
      <c r="I15" s="577">
        <v>6000</v>
      </c>
      <c r="J15" s="577">
        <v>160</v>
      </c>
      <c r="K15" s="577">
        <v>300</v>
      </c>
      <c r="L15" s="578">
        <v>300</v>
      </c>
      <c r="M15" s="579"/>
      <c r="N15" s="185" t="s">
        <v>625</v>
      </c>
      <c r="O15" s="170">
        <f>N14+O14</f>
        <v>16</v>
      </c>
      <c r="P15" s="170"/>
      <c r="Q15" s="170"/>
    </row>
    <row r="16" spans="1:999" x14ac:dyDescent="0.25">
      <c r="A16" s="580" t="s">
        <v>445</v>
      </c>
      <c r="B16" s="580"/>
      <c r="C16" s="581">
        <f t="shared" ref="C16:I16" si="2">C14/C15</f>
        <v>7.3180000000000005</v>
      </c>
      <c r="D16" s="582">
        <f t="shared" si="2"/>
        <v>3.0806000000000004</v>
      </c>
      <c r="E16" s="582">
        <f t="shared" si="2"/>
        <v>0.15015000000000001</v>
      </c>
      <c r="F16" s="582">
        <f t="shared" si="2"/>
        <v>2.26065</v>
      </c>
      <c r="G16" s="582">
        <f t="shared" si="2"/>
        <v>1.4563333333333335</v>
      </c>
      <c r="H16" s="582">
        <f t="shared" si="2"/>
        <v>3.2903999999999996E-2</v>
      </c>
      <c r="I16" s="582">
        <f t="shared" si="2"/>
        <v>0.13305</v>
      </c>
      <c r="J16" s="582">
        <f>1/J15*8*1/1132.6*J14</f>
        <v>2.2467773265053861E-2</v>
      </c>
      <c r="K16" s="582">
        <f>1/K15*16*1/188.76*K14</f>
        <v>0.471404958677686</v>
      </c>
      <c r="L16" s="583">
        <f>1/L15*16*1/188.76*L14</f>
        <v>0.64214734760189307</v>
      </c>
      <c r="M16" s="579">
        <f>SUM(C16:L16)-J16</f>
        <v>15.545239639612916</v>
      </c>
      <c r="N16" s="170" t="s">
        <v>615</v>
      </c>
      <c r="O16" s="170">
        <f>O14+(N14*0.7)</f>
        <v>15.1</v>
      </c>
      <c r="P16" s="170"/>
      <c r="Q16" s="170"/>
    </row>
    <row r="17" spans="1:17" x14ac:dyDescent="0.25">
      <c r="A17" s="584" t="s">
        <v>447</v>
      </c>
      <c r="B17" s="584"/>
      <c r="C17" s="585">
        <f>C14/($M$14*C15)</f>
        <v>0.47075504589533773</v>
      </c>
      <c r="D17" s="585">
        <f t="shared" ref="D17:I17" si="3">D14/($M$14*D15)</f>
        <v>0.19816999103377664</v>
      </c>
      <c r="E17" s="585">
        <f t="shared" si="3"/>
        <v>9.6589054579372721E-3</v>
      </c>
      <c r="F17" s="585">
        <f t="shared" si="3"/>
        <v>0.14542394021635627</v>
      </c>
      <c r="G17" s="585">
        <f t="shared" si="3"/>
        <v>9.3683556323072348E-2</v>
      </c>
      <c r="H17" s="585">
        <f t="shared" si="3"/>
        <v>2.1166608404127071E-3</v>
      </c>
      <c r="I17" s="585">
        <f t="shared" si="3"/>
        <v>8.5588902509394198E-3</v>
      </c>
      <c r="J17" s="586">
        <f>J16/4</f>
        <v>5.6169433162634652E-3</v>
      </c>
      <c r="K17" s="586">
        <f>1/M14*1/K15*16*1/188.76*K14</f>
        <v>3.0324714806996965E-2</v>
      </c>
      <c r="L17" s="587">
        <f>1/M14*1/L15*16*1/188.76*L14</f>
        <v>4.1308295175170602E-2</v>
      </c>
      <c r="M17" s="588">
        <f>SUM(C17:L17)-J17</f>
        <v>0.99999999999999989</v>
      </c>
      <c r="N17" s="170"/>
      <c r="O17" s="170"/>
      <c r="P17" s="170"/>
      <c r="Q17" s="170"/>
    </row>
    <row r="18" spans="1:17" x14ac:dyDescent="0.25">
      <c r="C18" s="756" t="s">
        <v>448</v>
      </c>
      <c r="D18" s="757" t="s">
        <v>449</v>
      </c>
      <c r="E18" s="757" t="s">
        <v>450</v>
      </c>
      <c r="F18" s="757" t="s">
        <v>451</v>
      </c>
      <c r="G18" s="758" t="s">
        <v>452</v>
      </c>
      <c r="H18" s="759">
        <v>100000</v>
      </c>
      <c r="I18" s="758" t="s">
        <v>453</v>
      </c>
      <c r="J18" s="758" t="s">
        <v>454</v>
      </c>
      <c r="K18" s="760" t="s">
        <v>455</v>
      </c>
      <c r="L18" s="761" t="s">
        <v>455</v>
      </c>
    </row>
    <row r="19" spans="1:17" x14ac:dyDescent="0.25">
      <c r="O19" s="792"/>
    </row>
    <row r="20" spans="1:17" ht="13.9" customHeight="1" x14ac:dyDescent="0.25"/>
    <row r="21" spans="1:17" ht="13.9" customHeight="1" x14ac:dyDescent="0.25"/>
    <row r="22" spans="1:17" ht="13.9" customHeight="1" x14ac:dyDescent="0.25">
      <c r="I22" s="92"/>
      <c r="J22" s="92"/>
      <c r="K22" s="92"/>
      <c r="L22" s="92"/>
      <c r="M22" s="92"/>
      <c r="N22" s="92"/>
      <c r="O22" s="92"/>
      <c r="P22" s="92"/>
      <c r="Q22" s="92"/>
    </row>
    <row r="23" spans="1:17" ht="13.9" customHeight="1" x14ac:dyDescent="0.25">
      <c r="I23" s="92"/>
      <c r="J23" s="92"/>
      <c r="K23" s="92"/>
      <c r="L23" s="92"/>
      <c r="M23" s="92"/>
      <c r="N23" s="92"/>
      <c r="O23" s="92"/>
      <c r="P23" s="92"/>
      <c r="Q23" s="92"/>
    </row>
    <row r="24" spans="1:17" ht="13.9" customHeight="1" x14ac:dyDescent="0.25">
      <c r="I24" s="92"/>
      <c r="J24" s="92"/>
      <c r="K24" s="92"/>
      <c r="L24" s="92"/>
      <c r="M24" s="92"/>
      <c r="N24" s="92"/>
      <c r="O24" s="92"/>
      <c r="P24" s="92"/>
      <c r="Q24" s="92"/>
    </row>
    <row r="25" spans="1:17" ht="13.9" customHeight="1" x14ac:dyDescent="0.25">
      <c r="I25" s="92"/>
      <c r="J25" s="92"/>
      <c r="K25" s="92"/>
      <c r="L25" s="92"/>
      <c r="M25" s="92"/>
      <c r="N25" s="92"/>
      <c r="O25" s="92"/>
      <c r="P25" s="92"/>
      <c r="Q25" s="92"/>
    </row>
    <row r="26" spans="1:17" ht="13.9" customHeight="1" x14ac:dyDescent="0.25">
      <c r="I26" s="92"/>
      <c r="J26" s="92"/>
      <c r="K26" s="92"/>
      <c r="L26" s="92"/>
      <c r="M26" s="92"/>
      <c r="N26" s="92"/>
      <c r="O26" s="92"/>
      <c r="P26" s="92"/>
      <c r="Q26" s="92"/>
    </row>
    <row r="27" spans="1:17" ht="13.9" customHeight="1" x14ac:dyDescent="0.25">
      <c r="H27"/>
      <c r="I27"/>
      <c r="J27"/>
      <c r="K27"/>
      <c r="L27"/>
      <c r="M27"/>
      <c r="N27"/>
      <c r="O27"/>
      <c r="P27"/>
      <c r="Q27"/>
    </row>
    <row r="28" spans="1:17" ht="13.9" customHeight="1" x14ac:dyDescent="0.25"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3.9" customHeight="1" x14ac:dyDescent="0.25">
      <c r="H29" s="92"/>
      <c r="I29" s="92"/>
      <c r="J29" s="92"/>
      <c r="K29" s="92"/>
      <c r="L29" s="92"/>
      <c r="M29" s="92"/>
      <c r="N29" s="92"/>
      <c r="O29" s="92"/>
      <c r="P29" s="92"/>
      <c r="Q29" s="92"/>
    </row>
    <row r="64" spans="5:5" x14ac:dyDescent="0.25">
      <c r="E64" s="171" t="s">
        <v>617</v>
      </c>
    </row>
    <row r="1048576" ht="15" customHeight="1" x14ac:dyDescent="0.25"/>
  </sheetData>
  <mergeCells count="18">
    <mergeCell ref="P2:Q2"/>
    <mergeCell ref="I2:I3"/>
    <mergeCell ref="J2:J3"/>
    <mergeCell ref="K2:K3"/>
    <mergeCell ref="L2:L3"/>
    <mergeCell ref="M2:M3"/>
    <mergeCell ref="N2:O2"/>
    <mergeCell ref="C1:F1"/>
    <mergeCell ref="G1:I1"/>
    <mergeCell ref="J1:L1"/>
    <mergeCell ref="A2:A3"/>
    <mergeCell ref="C2:C3"/>
    <mergeCell ref="D2:D3"/>
    <mergeCell ref="E2:E3"/>
    <mergeCell ref="F2:F3"/>
    <mergeCell ref="G2:G3"/>
    <mergeCell ref="H2:H3"/>
    <mergeCell ref="B2:B3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C2E6"/>
  </sheetPr>
  <dimension ref="A1:AMI199"/>
  <sheetViews>
    <sheetView topLeftCell="A166" zoomScale="80" zoomScaleNormal="80" workbookViewId="0">
      <selection activeCell="H140" sqref="H140:H141"/>
    </sheetView>
  </sheetViews>
  <sheetFormatPr defaultRowHeight="14.25" x14ac:dyDescent="0.2"/>
  <cols>
    <col min="1" max="1" width="52.375" style="92" customWidth="1"/>
    <col min="2" max="2" width="21.375" style="92" bestFit="1" customWidth="1"/>
    <col min="3" max="4" width="10.75" style="92" bestFit="1" customWidth="1"/>
    <col min="5" max="5" width="16.75" style="92" customWidth="1"/>
    <col min="6" max="6" width="10.75" style="92" customWidth="1"/>
    <col min="7" max="1023" width="9" style="92"/>
  </cols>
  <sheetData>
    <row r="1" spans="1:6" ht="15.75" x14ac:dyDescent="0.2">
      <c r="A1" s="1043" t="s">
        <v>456</v>
      </c>
      <c r="B1" s="1043"/>
      <c r="C1" s="1043"/>
      <c r="D1" s="1043"/>
      <c r="E1" s="1043"/>
      <c r="F1" s="1043"/>
    </row>
    <row r="2" spans="1:6" ht="15.75" x14ac:dyDescent="0.2">
      <c r="A2" s="1044" t="s">
        <v>457</v>
      </c>
      <c r="B2" s="1044"/>
      <c r="C2" s="1044"/>
      <c r="D2" s="1044"/>
      <c r="E2" s="1044"/>
      <c r="F2" s="1044"/>
    </row>
    <row r="3" spans="1:6" ht="15.75" customHeight="1" x14ac:dyDescent="0.2">
      <c r="A3" s="1044" t="s">
        <v>458</v>
      </c>
      <c r="B3" s="1044"/>
      <c r="C3" s="1044"/>
      <c r="D3" s="1044"/>
      <c r="E3" s="1044"/>
      <c r="F3" s="1044"/>
    </row>
    <row r="4" spans="1:6" ht="15.75" x14ac:dyDescent="0.2">
      <c r="A4" s="93"/>
      <c r="B4" s="94"/>
      <c r="C4" s="467" t="s">
        <v>459</v>
      </c>
      <c r="D4" s="468" t="s">
        <v>460</v>
      </c>
      <c r="E4" s="468" t="s">
        <v>461</v>
      </c>
      <c r="F4" s="539" t="s">
        <v>462</v>
      </c>
    </row>
    <row r="5" spans="1:6" x14ac:dyDescent="0.2">
      <c r="A5" s="96"/>
      <c r="B5" s="97" t="s">
        <v>463</v>
      </c>
      <c r="C5" s="469">
        <f>MC!C11</f>
        <v>1322.72</v>
      </c>
      <c r="D5" s="470">
        <f>MC!E11</f>
        <v>1082.2254545454546</v>
      </c>
      <c r="E5" s="470">
        <f>MC!C14</f>
        <v>1322.72</v>
      </c>
      <c r="F5" s="540">
        <f>MC!C12</f>
        <v>1809.07</v>
      </c>
    </row>
    <row r="6" spans="1:6" x14ac:dyDescent="0.2">
      <c r="A6" s="96"/>
      <c r="B6" s="97" t="s">
        <v>464</v>
      </c>
      <c r="C6" s="471">
        <v>44562</v>
      </c>
      <c r="D6" s="472">
        <v>44562</v>
      </c>
      <c r="E6" s="472">
        <v>44562</v>
      </c>
      <c r="F6" s="541">
        <f>MC!D8</f>
        <v>44593</v>
      </c>
    </row>
    <row r="7" spans="1:6" x14ac:dyDescent="0.2">
      <c r="A7" s="96"/>
      <c r="B7" s="97" t="s">
        <v>465</v>
      </c>
      <c r="C7" s="473" t="s">
        <v>9</v>
      </c>
      <c r="D7" s="474" t="s">
        <v>9</v>
      </c>
      <c r="E7" s="474" t="s">
        <v>9</v>
      </c>
      <c r="F7" s="475" t="s">
        <v>9</v>
      </c>
    </row>
    <row r="8" spans="1:6" x14ac:dyDescent="0.2">
      <c r="A8" s="96"/>
      <c r="B8" s="97" t="s">
        <v>466</v>
      </c>
      <c r="C8" s="476" t="s">
        <v>10</v>
      </c>
      <c r="D8" s="477" t="s">
        <v>10</v>
      </c>
      <c r="E8" s="477" t="s">
        <v>10</v>
      </c>
      <c r="F8" s="542" t="str">
        <f>MC!E8</f>
        <v>5143-20</v>
      </c>
    </row>
    <row r="9" spans="1:6" x14ac:dyDescent="0.2">
      <c r="A9" s="1045"/>
      <c r="B9" s="1045"/>
      <c r="C9" s="1045"/>
      <c r="D9" s="1045"/>
      <c r="E9" s="1045"/>
      <c r="F9" s="1045"/>
    </row>
    <row r="10" spans="1:6" ht="66.75" customHeight="1" x14ac:dyDescent="0.2">
      <c r="A10" s="187" t="s">
        <v>467</v>
      </c>
      <c r="B10" s="188" t="s">
        <v>468</v>
      </c>
      <c r="C10" s="188" t="s">
        <v>469</v>
      </c>
      <c r="D10" s="254" t="s">
        <v>460</v>
      </c>
      <c r="E10" s="188" t="s">
        <v>461</v>
      </c>
      <c r="F10" s="188" t="s">
        <v>470</v>
      </c>
    </row>
    <row r="11" spans="1:6" ht="14.25" customHeight="1" x14ac:dyDescent="0.2">
      <c r="A11" s="321" t="s">
        <v>471</v>
      </c>
      <c r="B11" s="321"/>
      <c r="C11" s="321"/>
      <c r="D11" s="321"/>
      <c r="E11" s="321"/>
      <c r="F11" s="321"/>
    </row>
    <row r="12" spans="1:6" ht="15.75" customHeight="1" x14ac:dyDescent="0.2">
      <c r="A12" s="101" t="s">
        <v>472</v>
      </c>
      <c r="B12" s="102" t="s">
        <v>473</v>
      </c>
      <c r="C12" s="102" t="s">
        <v>474</v>
      </c>
      <c r="D12" s="102" t="s">
        <v>474</v>
      </c>
      <c r="E12" s="189"/>
      <c r="F12" s="103" t="s">
        <v>474</v>
      </c>
    </row>
    <row r="13" spans="1:6" ht="15.75" customHeight="1" x14ac:dyDescent="0.2">
      <c r="A13" s="104" t="s">
        <v>475</v>
      </c>
      <c r="B13" s="105"/>
      <c r="C13" s="106">
        <f>C5</f>
        <v>1322.72</v>
      </c>
      <c r="D13" s="190">
        <f>D5</f>
        <v>1082.2254545454546</v>
      </c>
      <c r="E13" s="190">
        <f>E5</f>
        <v>1322.72</v>
      </c>
      <c r="F13" s="107">
        <f>F5</f>
        <v>1809.07</v>
      </c>
    </row>
    <row r="14" spans="1:6" ht="15.75" customHeight="1" x14ac:dyDescent="0.2">
      <c r="A14" s="104" t="s">
        <v>476</v>
      </c>
      <c r="B14" s="108">
        <v>0.2</v>
      </c>
      <c r="C14" s="106">
        <f>C13*$B$14</f>
        <v>264.54400000000004</v>
      </c>
      <c r="D14" s="106">
        <f>D13*$B$14</f>
        <v>216.44509090909094</v>
      </c>
      <c r="E14" s="106"/>
      <c r="F14" s="107">
        <f>F13*$B$14</f>
        <v>361.81400000000002</v>
      </c>
    </row>
    <row r="15" spans="1:6" ht="15.75" customHeight="1" x14ac:dyDescent="0.2">
      <c r="A15" s="104" t="s">
        <v>477</v>
      </c>
      <c r="B15" s="109"/>
      <c r="C15" s="106"/>
      <c r="D15" s="190"/>
      <c r="E15" s="190"/>
      <c r="F15" s="107"/>
    </row>
    <row r="16" spans="1:6" ht="15.75" customHeight="1" x14ac:dyDescent="0.2">
      <c r="A16" s="104" t="s">
        <v>478</v>
      </c>
      <c r="B16" s="109"/>
      <c r="C16" s="106"/>
      <c r="D16" s="190"/>
      <c r="E16" s="190"/>
      <c r="F16" s="107"/>
    </row>
    <row r="17" spans="1:6" ht="15.75" customHeight="1" x14ac:dyDescent="0.2">
      <c r="A17" s="104" t="s">
        <v>479</v>
      </c>
      <c r="B17" s="109"/>
      <c r="C17" s="106"/>
      <c r="D17" s="190"/>
      <c r="E17" s="190"/>
      <c r="F17" s="107"/>
    </row>
    <row r="18" spans="1:6" ht="15.75" customHeight="1" x14ac:dyDescent="0.2">
      <c r="A18" s="104" t="s">
        <v>480</v>
      </c>
      <c r="B18" s="108">
        <v>0.3</v>
      </c>
      <c r="C18" s="106"/>
      <c r="D18" s="106"/>
      <c r="E18" s="190">
        <f>E13*B18</f>
        <v>396.81599999999997</v>
      </c>
      <c r="F18" s="107"/>
    </row>
    <row r="19" spans="1:6" ht="15.75" customHeight="1" x14ac:dyDescent="0.2">
      <c r="A19" s="111" t="s">
        <v>481</v>
      </c>
      <c r="B19" s="112"/>
      <c r="C19" s="121">
        <f>SUM(C13:C18)</f>
        <v>1587.2640000000001</v>
      </c>
      <c r="D19" s="191">
        <f>SUM(D13:D18)</f>
        <v>1298.6705454545454</v>
      </c>
      <c r="E19" s="191">
        <f>SUM(E13:E18)</f>
        <v>1719.5360000000001</v>
      </c>
      <c r="F19" s="122">
        <f>SUM(F13:F18)</f>
        <v>2170.884</v>
      </c>
    </row>
    <row r="20" spans="1:6" ht="15.75" customHeight="1" x14ac:dyDescent="0.2">
      <c r="A20" s="1037"/>
      <c r="B20" s="1037"/>
      <c r="C20" s="114"/>
      <c r="D20" s="192"/>
      <c r="E20" s="192"/>
      <c r="F20" s="115"/>
    </row>
    <row r="21" spans="1:6" ht="14.25" customHeight="1" x14ac:dyDescent="0.2">
      <c r="A21" s="1042" t="s">
        <v>482</v>
      </c>
      <c r="B21" s="1042"/>
      <c r="C21" s="1042"/>
      <c r="D21" s="1042"/>
      <c r="E21" s="1042"/>
      <c r="F21" s="1042"/>
    </row>
    <row r="22" spans="1:6" ht="28.35" customHeight="1" x14ac:dyDescent="0.2">
      <c r="A22" s="116" t="s">
        <v>483</v>
      </c>
      <c r="B22" s="117" t="s">
        <v>473</v>
      </c>
      <c r="C22" s="117" t="s">
        <v>474</v>
      </c>
      <c r="D22" s="117" t="s">
        <v>474</v>
      </c>
      <c r="E22" s="117" t="s">
        <v>474</v>
      </c>
      <c r="F22" s="118" t="s">
        <v>474</v>
      </c>
    </row>
    <row r="23" spans="1:6" ht="15.75" customHeight="1" x14ac:dyDescent="0.2">
      <c r="A23" s="119" t="s">
        <v>484</v>
      </c>
      <c r="B23" s="108">
        <f>1/12</f>
        <v>8.3333333333333329E-2</v>
      </c>
      <c r="C23" s="106">
        <f>ROUND($B23*C$19,2)</f>
        <v>132.27000000000001</v>
      </c>
      <c r="D23" s="106">
        <f>ROUND($B23*D$19,2)</f>
        <v>108.22</v>
      </c>
      <c r="E23" s="106">
        <f>ROUND($B23*E$19,2)</f>
        <v>143.29</v>
      </c>
      <c r="F23" s="107">
        <f>ROUND($B23*F$19,2)</f>
        <v>180.91</v>
      </c>
    </row>
    <row r="24" spans="1:6" x14ac:dyDescent="0.2">
      <c r="A24" s="119" t="s">
        <v>485</v>
      </c>
      <c r="B24" s="108">
        <f>1/3*1/12</f>
        <v>2.7777777777777776E-2</v>
      </c>
      <c r="C24" s="106">
        <f>C$19*$B$24</f>
        <v>44.090666666666671</v>
      </c>
      <c r="D24" s="106">
        <f>D$19*$B$24</f>
        <v>36.074181818181813</v>
      </c>
      <c r="E24" s="106">
        <f>E$19*$B$24</f>
        <v>47.764888888888891</v>
      </c>
      <c r="F24" s="107">
        <f>F$19*$B$24</f>
        <v>60.30233333333333</v>
      </c>
    </row>
    <row r="25" spans="1:6" ht="14.25" customHeight="1" x14ac:dyDescent="0.2">
      <c r="A25" s="111" t="s">
        <v>481</v>
      </c>
      <c r="B25" s="120">
        <f>SUM(B23:B24)</f>
        <v>0.1111111111111111</v>
      </c>
      <c r="C25" s="121">
        <f>SUM(C23:C24)</f>
        <v>176.36066666666667</v>
      </c>
      <c r="D25" s="121">
        <f>SUM(D23:D24)</f>
        <v>144.29418181818181</v>
      </c>
      <c r="E25" s="121">
        <f>SUM(E23:E24)</f>
        <v>191.05488888888888</v>
      </c>
      <c r="F25" s="122">
        <f>SUM(F23:F24)</f>
        <v>241.21233333333333</v>
      </c>
    </row>
    <row r="26" spans="1:6" x14ac:dyDescent="0.2">
      <c r="A26" s="116" t="s">
        <v>486</v>
      </c>
      <c r="B26" s="117" t="s">
        <v>473</v>
      </c>
      <c r="C26" s="117" t="s">
        <v>474</v>
      </c>
      <c r="D26" s="117" t="s">
        <v>474</v>
      </c>
      <c r="E26" s="117" t="s">
        <v>474</v>
      </c>
      <c r="F26" s="118" t="s">
        <v>474</v>
      </c>
    </row>
    <row r="27" spans="1:6" ht="15.75" customHeight="1" x14ac:dyDescent="0.2">
      <c r="A27" s="116" t="s">
        <v>487</v>
      </c>
      <c r="B27" s="123"/>
      <c r="C27" s="123"/>
      <c r="D27" s="123"/>
      <c r="E27" s="193"/>
      <c r="F27" s="124"/>
    </row>
    <row r="28" spans="1:6" ht="14.25" customHeight="1" x14ac:dyDescent="0.2">
      <c r="A28" s="119" t="s">
        <v>488</v>
      </c>
      <c r="B28" s="108">
        <v>0.2</v>
      </c>
      <c r="C28" s="125">
        <f t="shared" ref="C28:C35" si="0">ROUND(($C$19+$C$25)*B28,2)</f>
        <v>352.72</v>
      </c>
      <c r="D28" s="125">
        <f t="shared" ref="D28:D35" si="1">ROUND(($D$19+$D$25)*B28,2)</f>
        <v>288.58999999999997</v>
      </c>
      <c r="E28" s="125">
        <f t="shared" ref="E28:E35" si="2">ROUND(($E$19+$E$25)*B28,2)</f>
        <v>382.12</v>
      </c>
      <c r="F28" s="126">
        <f t="shared" ref="F28:F35" si="3">ROUND(($F$19+$F$25)*B28,2)</f>
        <v>482.42</v>
      </c>
    </row>
    <row r="29" spans="1:6" ht="15.75" customHeight="1" x14ac:dyDescent="0.2">
      <c r="A29" s="119" t="s">
        <v>489</v>
      </c>
      <c r="B29" s="108">
        <v>2.5000000000000001E-2</v>
      </c>
      <c r="C29" s="125">
        <f t="shared" si="0"/>
        <v>44.09</v>
      </c>
      <c r="D29" s="125">
        <f t="shared" si="1"/>
        <v>36.07</v>
      </c>
      <c r="E29" s="125">
        <f t="shared" si="2"/>
        <v>47.76</v>
      </c>
      <c r="F29" s="126">
        <f t="shared" si="3"/>
        <v>60.3</v>
      </c>
    </row>
    <row r="30" spans="1:6" ht="15.75" customHeight="1" x14ac:dyDescent="0.2">
      <c r="A30" s="119" t="s">
        <v>490</v>
      </c>
      <c r="B30" s="108">
        <v>0.03</v>
      </c>
      <c r="C30" s="125">
        <f t="shared" si="0"/>
        <v>52.91</v>
      </c>
      <c r="D30" s="125">
        <f t="shared" si="1"/>
        <v>43.29</v>
      </c>
      <c r="E30" s="125">
        <f t="shared" si="2"/>
        <v>57.32</v>
      </c>
      <c r="F30" s="126">
        <f t="shared" si="3"/>
        <v>72.36</v>
      </c>
    </row>
    <row r="31" spans="1:6" ht="15.75" customHeight="1" x14ac:dyDescent="0.2">
      <c r="A31" s="119" t="s">
        <v>491</v>
      </c>
      <c r="B31" s="108">
        <v>1.4999999999999999E-2</v>
      </c>
      <c r="C31" s="125">
        <f t="shared" si="0"/>
        <v>26.45</v>
      </c>
      <c r="D31" s="125">
        <f t="shared" si="1"/>
        <v>21.64</v>
      </c>
      <c r="E31" s="125">
        <f t="shared" si="2"/>
        <v>28.66</v>
      </c>
      <c r="F31" s="126">
        <f t="shared" si="3"/>
        <v>36.18</v>
      </c>
    </row>
    <row r="32" spans="1:6" ht="15.75" customHeight="1" x14ac:dyDescent="0.2">
      <c r="A32" s="119" t="s">
        <v>492</v>
      </c>
      <c r="B32" s="108">
        <v>0.01</v>
      </c>
      <c r="C32" s="125">
        <f t="shared" si="0"/>
        <v>17.64</v>
      </c>
      <c r="D32" s="125">
        <f t="shared" si="1"/>
        <v>14.43</v>
      </c>
      <c r="E32" s="125">
        <f t="shared" si="2"/>
        <v>19.11</v>
      </c>
      <c r="F32" s="126">
        <f t="shared" si="3"/>
        <v>24.12</v>
      </c>
    </row>
    <row r="33" spans="1:6" ht="15.75" customHeight="1" x14ac:dyDescent="0.2">
      <c r="A33" s="119" t="s">
        <v>493</v>
      </c>
      <c r="B33" s="108">
        <v>6.0000000000000001E-3</v>
      </c>
      <c r="C33" s="125">
        <f t="shared" si="0"/>
        <v>10.58</v>
      </c>
      <c r="D33" s="125">
        <f t="shared" si="1"/>
        <v>8.66</v>
      </c>
      <c r="E33" s="125">
        <f t="shared" si="2"/>
        <v>11.46</v>
      </c>
      <c r="F33" s="126">
        <f t="shared" si="3"/>
        <v>14.47</v>
      </c>
    </row>
    <row r="34" spans="1:6" ht="15.75" customHeight="1" x14ac:dyDescent="0.2">
      <c r="A34" s="119" t="s">
        <v>494</v>
      </c>
      <c r="B34" s="108">
        <v>2E-3</v>
      </c>
      <c r="C34" s="125">
        <f t="shared" si="0"/>
        <v>3.53</v>
      </c>
      <c r="D34" s="125">
        <f t="shared" si="1"/>
        <v>2.89</v>
      </c>
      <c r="E34" s="125">
        <f t="shared" si="2"/>
        <v>3.82</v>
      </c>
      <c r="F34" s="126">
        <f t="shared" si="3"/>
        <v>4.82</v>
      </c>
    </row>
    <row r="35" spans="1:6" ht="15.75" customHeight="1" x14ac:dyDescent="0.2">
      <c r="A35" s="119" t="s">
        <v>495</v>
      </c>
      <c r="B35" s="108">
        <v>0.08</v>
      </c>
      <c r="C35" s="125">
        <f t="shared" si="0"/>
        <v>141.09</v>
      </c>
      <c r="D35" s="125">
        <f t="shared" si="1"/>
        <v>115.44</v>
      </c>
      <c r="E35" s="125">
        <f t="shared" si="2"/>
        <v>152.85</v>
      </c>
      <c r="F35" s="126">
        <f t="shared" si="3"/>
        <v>192.97</v>
      </c>
    </row>
    <row r="36" spans="1:6" ht="15.75" customHeight="1" x14ac:dyDescent="0.2">
      <c r="A36" s="111" t="s">
        <v>481</v>
      </c>
      <c r="B36" s="120">
        <f>SUM(B28:B35)</f>
        <v>0.36800000000000005</v>
      </c>
      <c r="C36" s="121">
        <f>SUM(C27:C35)</f>
        <v>649.01</v>
      </c>
      <c r="D36" s="121">
        <f>SUM(D27:D35)</f>
        <v>531.01</v>
      </c>
      <c r="E36" s="191">
        <f>SUM(E28:E35)</f>
        <v>703.10000000000014</v>
      </c>
      <c r="F36" s="122">
        <f>SUM(F27:F35)</f>
        <v>887.6400000000001</v>
      </c>
    </row>
    <row r="37" spans="1:6" ht="15.75" customHeight="1" x14ac:dyDescent="0.2">
      <c r="A37" s="116" t="s">
        <v>496</v>
      </c>
      <c r="B37" s="117" t="s">
        <v>497</v>
      </c>
      <c r="C37" s="117" t="s">
        <v>474</v>
      </c>
      <c r="D37" s="117" t="s">
        <v>474</v>
      </c>
      <c r="E37" s="117" t="s">
        <v>474</v>
      </c>
      <c r="F37" s="118" t="s">
        <v>474</v>
      </c>
    </row>
    <row r="38" spans="1:6" ht="15.75" customHeight="1" x14ac:dyDescent="0.2">
      <c r="A38" s="119" t="s">
        <v>498</v>
      </c>
      <c r="B38" s="127">
        <f>MC!P84</f>
        <v>4.3500000000000014</v>
      </c>
      <c r="C38" s="106">
        <f>ROUND(((2*22*$B$38)-0.06*C$13),2)</f>
        <v>112.04</v>
      </c>
      <c r="D38" s="106">
        <f>ROUND(((2*22*$B$38)-0.06*D$13),2)</f>
        <v>126.47</v>
      </c>
      <c r="E38" s="106">
        <f>ROUND(((2*22*$B$38)-0.06*E$13),2)</f>
        <v>112.04</v>
      </c>
      <c r="F38" s="106">
        <f>ROUND(((2*22*$B$38)-0.06*F$13),2)</f>
        <v>82.86</v>
      </c>
    </row>
    <row r="39" spans="1:6" ht="15.75" customHeight="1" x14ac:dyDescent="0.2">
      <c r="A39" s="478" t="s">
        <v>499</v>
      </c>
      <c r="B39" s="128"/>
      <c r="C39" s="125">
        <f>MC!E21</f>
        <v>437.34</v>
      </c>
      <c r="D39" s="125">
        <f>MC!E22</f>
        <v>359.59</v>
      </c>
      <c r="E39" s="125">
        <f>MC!E21</f>
        <v>437.34</v>
      </c>
      <c r="F39" s="125">
        <f>MC!E21</f>
        <v>437.34</v>
      </c>
    </row>
    <row r="40" spans="1:6" ht="15.75" customHeight="1" x14ac:dyDescent="0.2">
      <c r="A40" s="119" t="s">
        <v>500</v>
      </c>
      <c r="B40" s="108">
        <f>MC!C26</f>
        <v>0</v>
      </c>
      <c r="C40" s="125"/>
      <c r="D40" s="125"/>
      <c r="E40" s="125">
        <f>MC!E26</f>
        <v>0</v>
      </c>
      <c r="F40" s="125"/>
    </row>
    <row r="41" spans="1:6" ht="15.75" customHeight="1" x14ac:dyDescent="0.2">
      <c r="A41" s="119" t="s">
        <v>501</v>
      </c>
      <c r="B41" s="129">
        <f>MC!E25</f>
        <v>11</v>
      </c>
      <c r="C41" s="125">
        <f>B41</f>
        <v>11</v>
      </c>
      <c r="D41" s="125">
        <f>B41</f>
        <v>11</v>
      </c>
      <c r="E41" s="194">
        <f>B41</f>
        <v>11</v>
      </c>
      <c r="F41" s="126">
        <f>B41</f>
        <v>11</v>
      </c>
    </row>
    <row r="42" spans="1:6" ht="15.75" customHeight="1" x14ac:dyDescent="0.2">
      <c r="A42" s="119" t="s">
        <v>502</v>
      </c>
      <c r="B42" s="567">
        <f>MC!C24</f>
        <v>7.0000000000000007E-2</v>
      </c>
      <c r="C42" s="125">
        <f>$B$42*C19</f>
        <v>111.10848000000001</v>
      </c>
      <c r="D42" s="125">
        <f t="shared" ref="D42:F42" si="4">$B$42*D19</f>
        <v>90.906938181818191</v>
      </c>
      <c r="E42" s="125">
        <f t="shared" si="4"/>
        <v>120.36752000000001</v>
      </c>
      <c r="F42" s="125">
        <f t="shared" si="4"/>
        <v>151.96188000000001</v>
      </c>
    </row>
    <row r="43" spans="1:6" ht="15.75" customHeight="1" x14ac:dyDescent="0.2">
      <c r="A43" s="119" t="s">
        <v>503</v>
      </c>
      <c r="B43" s="108"/>
      <c r="C43" s="125"/>
      <c r="D43" s="125"/>
      <c r="E43" s="194"/>
      <c r="F43" s="126"/>
    </row>
    <row r="44" spans="1:6" ht="15.75" customHeight="1" x14ac:dyDescent="0.2">
      <c r="A44" s="111" t="s">
        <v>481</v>
      </c>
      <c r="B44" s="112"/>
      <c r="C44" s="121">
        <f>SUM(C38:C43)</f>
        <v>671.48847999999998</v>
      </c>
      <c r="D44" s="121">
        <f>SUM(D38:D43)</f>
        <v>587.96693818181814</v>
      </c>
      <c r="E44" s="191">
        <f>SUM(E38:E43)</f>
        <v>680.74752000000001</v>
      </c>
      <c r="F44" s="122">
        <f>SUM(F38:F43)</f>
        <v>683.16187999999988</v>
      </c>
    </row>
    <row r="45" spans="1:6" x14ac:dyDescent="0.2">
      <c r="A45" s="101" t="s">
        <v>504</v>
      </c>
      <c r="B45" s="102" t="s">
        <v>473</v>
      </c>
      <c r="C45" s="102" t="s">
        <v>474</v>
      </c>
      <c r="D45" s="102" t="s">
        <v>474</v>
      </c>
      <c r="E45" s="102" t="s">
        <v>474</v>
      </c>
      <c r="F45" s="103" t="s">
        <v>474</v>
      </c>
    </row>
    <row r="46" spans="1:6" ht="15.75" customHeight="1" x14ac:dyDescent="0.2">
      <c r="A46" s="119" t="s">
        <v>483</v>
      </c>
      <c r="B46" s="130">
        <f>B25</f>
        <v>0.1111111111111111</v>
      </c>
      <c r="C46" s="131">
        <f>C25</f>
        <v>176.36066666666667</v>
      </c>
      <c r="D46" s="131">
        <f>D25</f>
        <v>144.29418181818181</v>
      </c>
      <c r="E46" s="131">
        <f>E25</f>
        <v>191.05488888888888</v>
      </c>
      <c r="F46" s="132">
        <f>F25</f>
        <v>241.21233333333333</v>
      </c>
    </row>
    <row r="47" spans="1:6" ht="15.75" customHeight="1" x14ac:dyDescent="0.2">
      <c r="A47" s="119" t="s">
        <v>505</v>
      </c>
      <c r="B47" s="130">
        <f>B36</f>
        <v>0.36800000000000005</v>
      </c>
      <c r="C47" s="131">
        <f>C36</f>
        <v>649.01</v>
      </c>
      <c r="D47" s="131">
        <f>D36</f>
        <v>531.01</v>
      </c>
      <c r="E47" s="131">
        <f>E36</f>
        <v>703.10000000000014</v>
      </c>
      <c r="F47" s="132">
        <f>F36</f>
        <v>887.6400000000001</v>
      </c>
    </row>
    <row r="48" spans="1:6" ht="15.75" customHeight="1" x14ac:dyDescent="0.2">
      <c r="A48" s="119" t="s">
        <v>496</v>
      </c>
      <c r="B48" s="130"/>
      <c r="C48" s="131">
        <f>C44</f>
        <v>671.48847999999998</v>
      </c>
      <c r="D48" s="131">
        <f>D44</f>
        <v>587.96693818181814</v>
      </c>
      <c r="E48" s="131">
        <f>E44</f>
        <v>680.74752000000001</v>
      </c>
      <c r="F48" s="132">
        <f>F44</f>
        <v>683.16187999999988</v>
      </c>
    </row>
    <row r="49" spans="1:6" ht="15.75" customHeight="1" x14ac:dyDescent="0.2">
      <c r="A49" s="111" t="s">
        <v>481</v>
      </c>
      <c r="B49" s="112"/>
      <c r="C49" s="121">
        <f>SUM(C46:C48)</f>
        <v>1496.8591466666667</v>
      </c>
      <c r="D49" s="121">
        <f>SUM(D46:D48)</f>
        <v>1263.2711199999999</v>
      </c>
      <c r="E49" s="191">
        <f>SUM(E46:E48)</f>
        <v>1574.9024088888891</v>
      </c>
      <c r="F49" s="122">
        <f>SUM(F46:F48)</f>
        <v>1812.0142133333334</v>
      </c>
    </row>
    <row r="50" spans="1:6" ht="14.25" customHeight="1" x14ac:dyDescent="0.2">
      <c r="A50" s="1037"/>
      <c r="B50" s="1037"/>
      <c r="C50" s="114"/>
      <c r="D50" s="115"/>
      <c r="E50" s="115"/>
      <c r="F50" s="115"/>
    </row>
    <row r="51" spans="1:6" s="133" customFormat="1" ht="12.75" customHeight="1" x14ac:dyDescent="0.2">
      <c r="A51" s="1042" t="s">
        <v>506</v>
      </c>
      <c r="B51" s="1042"/>
      <c r="C51" s="1042"/>
      <c r="D51" s="1042"/>
      <c r="E51" s="1042"/>
      <c r="F51" s="1042"/>
    </row>
    <row r="52" spans="1:6" ht="15.75" customHeight="1" x14ac:dyDescent="0.2">
      <c r="A52" s="101" t="s">
        <v>507</v>
      </c>
      <c r="B52" s="102" t="s">
        <v>473</v>
      </c>
      <c r="C52" s="102" t="s">
        <v>474</v>
      </c>
      <c r="D52" s="102" t="s">
        <v>474</v>
      </c>
      <c r="E52" s="102" t="s">
        <v>474</v>
      </c>
      <c r="F52" s="103" t="s">
        <v>474</v>
      </c>
    </row>
    <row r="53" spans="1:6" ht="15.75" customHeight="1" x14ac:dyDescent="0.2">
      <c r="A53" s="116" t="s">
        <v>508</v>
      </c>
      <c r="B53" s="134"/>
      <c r="C53" s="134"/>
      <c r="D53" s="134"/>
      <c r="E53" s="195"/>
      <c r="F53" s="135"/>
    </row>
    <row r="54" spans="1:6" ht="15.75" customHeight="1" x14ac:dyDescent="0.2">
      <c r="A54" s="119" t="s">
        <v>509</v>
      </c>
      <c r="B54" s="130">
        <f>1/12*0.05</f>
        <v>4.1666666666666666E-3</v>
      </c>
      <c r="C54" s="136">
        <f>C19*$B54</f>
        <v>6.6136000000000008</v>
      </c>
      <c r="D54" s="136">
        <f t="shared" ref="D54:F54" si="5">D19*$B54</f>
        <v>5.4111272727272723</v>
      </c>
      <c r="E54" s="136">
        <f t="shared" si="5"/>
        <v>7.1647333333333334</v>
      </c>
      <c r="F54" s="136">
        <f t="shared" si="5"/>
        <v>9.0453499999999991</v>
      </c>
    </row>
    <row r="55" spans="1:6" x14ac:dyDescent="0.2">
      <c r="A55" s="119" t="s">
        <v>510</v>
      </c>
      <c r="B55" s="130">
        <f>B35*B54</f>
        <v>3.3333333333333332E-4</v>
      </c>
      <c r="C55" s="136">
        <f>$B$55*C19</f>
        <v>0.529088</v>
      </c>
      <c r="D55" s="136">
        <f t="shared" ref="D55:F55" si="6">$B$55*D19</f>
        <v>0.43289018181818179</v>
      </c>
      <c r="E55" s="136">
        <f t="shared" si="6"/>
        <v>0.57317866666666661</v>
      </c>
      <c r="F55" s="136">
        <f t="shared" si="6"/>
        <v>0.72362799999999994</v>
      </c>
    </row>
    <row r="56" spans="1:6" x14ac:dyDescent="0.2">
      <c r="A56" s="119" t="s">
        <v>511</v>
      </c>
      <c r="B56" s="130">
        <v>0</v>
      </c>
      <c r="C56" s="136">
        <f>C35*$B56</f>
        <v>0</v>
      </c>
      <c r="D56" s="136">
        <f t="shared" ref="D56:F56" si="7">D35*$B56</f>
        <v>0</v>
      </c>
      <c r="E56" s="136">
        <f t="shared" si="7"/>
        <v>0</v>
      </c>
      <c r="F56" s="136">
        <f t="shared" si="7"/>
        <v>0</v>
      </c>
    </row>
    <row r="57" spans="1:6" x14ac:dyDescent="0.2">
      <c r="A57" s="119" t="s">
        <v>512</v>
      </c>
      <c r="B57" s="130">
        <f>1/12*1/30*7</f>
        <v>1.9444444444444441E-2</v>
      </c>
      <c r="C57" s="131">
        <f>C19*$B57</f>
        <v>30.863466666666664</v>
      </c>
      <c r="D57" s="131">
        <f t="shared" ref="D57:F57" si="8">D19*$B57</f>
        <v>25.251927272727269</v>
      </c>
      <c r="E57" s="131">
        <f t="shared" si="8"/>
        <v>33.435422222222215</v>
      </c>
      <c r="F57" s="131">
        <f t="shared" si="8"/>
        <v>42.211633333333324</v>
      </c>
    </row>
    <row r="58" spans="1:6" x14ac:dyDescent="0.2">
      <c r="A58" s="119" t="s">
        <v>513</v>
      </c>
      <c r="B58" s="130">
        <f>B36*B57</f>
        <v>7.1555555555555556E-3</v>
      </c>
      <c r="C58" s="131">
        <f>$B58*C19</f>
        <v>11.357755733333335</v>
      </c>
      <c r="D58" s="131">
        <f t="shared" ref="D58:F58" si="9">$B58*D19</f>
        <v>9.2927092363636365</v>
      </c>
      <c r="E58" s="131">
        <f t="shared" si="9"/>
        <v>12.304235377777779</v>
      </c>
      <c r="F58" s="131">
        <f t="shared" si="9"/>
        <v>15.533881066666668</v>
      </c>
    </row>
    <row r="59" spans="1:6" x14ac:dyDescent="0.2">
      <c r="A59" s="119" t="s">
        <v>514</v>
      </c>
      <c r="B59" s="130">
        <f>B35*40/100*90/100*(1+1/12+1/12+1/3*1/12)</f>
        <v>3.4399999999999993E-2</v>
      </c>
      <c r="C59" s="131">
        <f>C19*$B59</f>
        <v>54.601881599999992</v>
      </c>
      <c r="D59" s="131">
        <f t="shared" ref="D59:F59" si="10">D19*$B59</f>
        <v>44.674266763636354</v>
      </c>
      <c r="E59" s="131">
        <f t="shared" si="10"/>
        <v>59.152038399999988</v>
      </c>
      <c r="F59" s="131">
        <f t="shared" si="10"/>
        <v>74.678409599999981</v>
      </c>
    </row>
    <row r="60" spans="1:6" ht="14.25" customHeight="1" x14ac:dyDescent="0.2">
      <c r="A60" s="111" t="s">
        <v>481</v>
      </c>
      <c r="B60" s="120">
        <f>SUM(B54:B59)</f>
        <v>6.5499999999999989E-2</v>
      </c>
      <c r="C60" s="137">
        <f>SUM(C54:C59)</f>
        <v>103.96579199999999</v>
      </c>
      <c r="D60" s="137">
        <f>SUM(D54:D59)</f>
        <v>85.062920727272711</v>
      </c>
      <c r="E60" s="196">
        <f>SUM(E54:E59)</f>
        <v>112.62960799999999</v>
      </c>
      <c r="F60" s="138">
        <f>SUM(F54:F59)</f>
        <v>142.19290199999998</v>
      </c>
    </row>
    <row r="61" spans="1:6" ht="14.25" customHeight="1" x14ac:dyDescent="0.2">
      <c r="A61" s="1037"/>
      <c r="B61" s="1037"/>
      <c r="C61" s="322"/>
      <c r="D61" s="322"/>
      <c r="E61" s="323"/>
      <c r="F61" s="324"/>
    </row>
    <row r="62" spans="1:6" ht="15.75" customHeight="1" x14ac:dyDescent="0.2">
      <c r="A62" s="1042" t="s">
        <v>515</v>
      </c>
      <c r="B62" s="1042"/>
      <c r="C62" s="1042"/>
      <c r="D62" s="1042"/>
      <c r="E62" s="1042"/>
      <c r="F62" s="1042"/>
    </row>
    <row r="63" spans="1:6" ht="14.25" customHeight="1" x14ac:dyDescent="0.2">
      <c r="A63" s="116" t="s">
        <v>49</v>
      </c>
      <c r="B63" s="117"/>
      <c r="C63" s="117"/>
      <c r="D63" s="117"/>
      <c r="E63" s="197"/>
      <c r="F63" s="118"/>
    </row>
    <row r="64" spans="1:6" ht="14.25" customHeight="1" x14ac:dyDescent="0.2">
      <c r="A64" s="119" t="s">
        <v>50</v>
      </c>
      <c r="B64" s="108">
        <f>1/12</f>
        <v>8.3333333333333329E-2</v>
      </c>
      <c r="C64" s="125">
        <f>B64*($C$19+$C$49+$C$60)</f>
        <v>265.67407822222219</v>
      </c>
      <c r="D64" s="125">
        <f>B64*($D$19+$D$49+$D$60)</f>
        <v>220.58371551515148</v>
      </c>
      <c r="E64" s="194">
        <f>B64*($E$19+$E$49+$E$60)</f>
        <v>283.92233474074078</v>
      </c>
      <c r="F64" s="126">
        <f>B64*($F$19+$F$49+$F$60)</f>
        <v>343.75759294444447</v>
      </c>
    </row>
    <row r="65" spans="1:6" x14ac:dyDescent="0.2">
      <c r="A65" s="119" t="s">
        <v>516</v>
      </c>
      <c r="B65" s="108">
        <f>MC!E56/30/12</f>
        <v>1.3538888888888885E-2</v>
      </c>
      <c r="C65" s="125">
        <f>B65*($C$19+$C$49+$C$60)</f>
        <v>43.163181908503695</v>
      </c>
      <c r="D65" s="125">
        <f>B65*($D$19+$D$49+$D$60)</f>
        <v>35.837500980694934</v>
      </c>
      <c r="E65" s="194">
        <f>B65*($E$19+$E$49+$E$60)</f>
        <v>46.127915317545671</v>
      </c>
      <c r="F65" s="126">
        <f>B65*($F$19+$F$49+$F$60)</f>
        <v>55.849150267040727</v>
      </c>
    </row>
    <row r="66" spans="1:6" x14ac:dyDescent="0.2">
      <c r="A66" s="119" t="s">
        <v>517</v>
      </c>
      <c r="B66" s="139">
        <f>(5/30)/12*MC!F58*MC!C59</f>
        <v>1.0764583333333333E-4</v>
      </c>
      <c r="C66" s="125">
        <f>B66*($C$19+$C$49+$C$60)</f>
        <v>0.34318449054355554</v>
      </c>
      <c r="D66" s="125">
        <f>B66*($D$19+$D$49+$D$60)</f>
        <v>0.28493901451669695</v>
      </c>
      <c r="E66" s="194">
        <f>B66*($E$19+$E$49+$E$60)</f>
        <v>0.36675667590135191</v>
      </c>
      <c r="F66" s="126">
        <f>B66*($F$19+$F$49+$F$60)</f>
        <v>0.44404887068598614</v>
      </c>
    </row>
    <row r="67" spans="1:6" ht="14.25" customHeight="1" x14ac:dyDescent="0.2">
      <c r="A67" s="119" t="s">
        <v>518</v>
      </c>
      <c r="B67" s="139">
        <f>MC!C61/30/12</f>
        <v>2.6830555555555553E-3</v>
      </c>
      <c r="C67" s="125">
        <f>B67*($C$19+$C$49+$C$60)</f>
        <v>8.5538197384948145</v>
      </c>
      <c r="D67" s="125">
        <f>B67*($D$19+$D$49+$D$60)</f>
        <v>7.1020603605361607</v>
      </c>
      <c r="E67" s="194">
        <f>B67*($E$19+$E$49+$E$60)</f>
        <v>9.1413527708693838</v>
      </c>
      <c r="F67" s="126">
        <f>B67*($F$19+$F$49+$F$60)</f>
        <v>11.067848634167962</v>
      </c>
    </row>
    <row r="68" spans="1:6" ht="14.25" customHeight="1" x14ac:dyDescent="0.2">
      <c r="A68" s="119" t="s">
        <v>519</v>
      </c>
      <c r="B68" s="108"/>
      <c r="C68" s="125"/>
      <c r="D68" s="125"/>
      <c r="E68" s="194">
        <f>B68*($E$19+$E$49+$E$60)</f>
        <v>0</v>
      </c>
      <c r="F68" s="126"/>
    </row>
    <row r="69" spans="1:6" ht="14.25" customHeight="1" x14ac:dyDescent="0.2">
      <c r="A69" s="140" t="s">
        <v>520</v>
      </c>
      <c r="B69" s="141">
        <f>SUM(B64:B68)</f>
        <v>9.9662923611111107E-2</v>
      </c>
      <c r="C69" s="142">
        <f>SUM(C64:C68)</f>
        <v>317.73426435976427</v>
      </c>
      <c r="D69" s="142">
        <f>SUM(D64:D68)</f>
        <v>263.80821587089923</v>
      </c>
      <c r="E69" s="198">
        <f>SUM(E64:E68)</f>
        <v>339.55835950505718</v>
      </c>
      <c r="F69" s="143">
        <f>SUM(F64:F68)</f>
        <v>411.11864071633914</v>
      </c>
    </row>
    <row r="70" spans="1:6" ht="14.25" customHeight="1" x14ac:dyDescent="0.2">
      <c r="A70" s="116" t="s">
        <v>521</v>
      </c>
      <c r="B70" s="117"/>
      <c r="C70" s="117"/>
      <c r="D70" s="117"/>
      <c r="E70" s="197"/>
      <c r="F70" s="118"/>
    </row>
    <row r="71" spans="1:6" ht="14.25" customHeight="1" x14ac:dyDescent="0.2">
      <c r="A71" s="119" t="s">
        <v>522</v>
      </c>
      <c r="B71" s="108"/>
      <c r="C71" s="125"/>
      <c r="D71" s="125"/>
      <c r="E71" s="194"/>
      <c r="F71" s="126"/>
    </row>
    <row r="72" spans="1:6" ht="14.25" customHeight="1" x14ac:dyDescent="0.2">
      <c r="A72" s="140" t="s">
        <v>520</v>
      </c>
      <c r="B72" s="141"/>
      <c r="C72" s="142">
        <f>C71</f>
        <v>0</v>
      </c>
      <c r="D72" s="142"/>
      <c r="E72" s="198"/>
      <c r="F72" s="143"/>
    </row>
    <row r="73" spans="1:6" ht="14.25" customHeight="1" x14ac:dyDescent="0.2">
      <c r="A73" s="116" t="s">
        <v>71</v>
      </c>
      <c r="B73" s="117"/>
      <c r="C73" s="117"/>
      <c r="D73" s="117"/>
      <c r="E73" s="197"/>
      <c r="F73" s="118"/>
    </row>
    <row r="74" spans="1:6" ht="14.25" customHeight="1" x14ac:dyDescent="0.2">
      <c r="A74" s="119" t="s">
        <v>72</v>
      </c>
      <c r="B74" s="108">
        <f>120/30*MC!C64*MC!C65</f>
        <v>6.18624E-3</v>
      </c>
      <c r="C74" s="125">
        <f>(((C19*2)+ (C19*1/3))+(C36)+(C44-C38-C39))*$B$74</f>
        <v>27.681781429555201</v>
      </c>
      <c r="D74" s="125">
        <f>(((D19*2)+ (D19*1/3))+(D36)+(D44-D38-D39))*$B$74</f>
        <v>22.66111398825425</v>
      </c>
      <c r="E74" s="125">
        <f>(((E19*2)+ (E19*1/3))+(E36)+(E44-E38-E39))*$B$74</f>
        <v>29.9829619150848</v>
      </c>
      <c r="F74" s="126">
        <f>(((F19*2)+ (F19*1/3))+(F36)+(F44-F38-F39))*$B$74</f>
        <v>37.835030725171201</v>
      </c>
    </row>
    <row r="75" spans="1:6" ht="15.75" customHeight="1" x14ac:dyDescent="0.2">
      <c r="A75" s="140" t="s">
        <v>481</v>
      </c>
      <c r="B75" s="141"/>
      <c r="C75" s="142"/>
      <c r="D75" s="142"/>
      <c r="E75" s="198"/>
      <c r="F75" s="143"/>
    </row>
    <row r="76" spans="1:6" x14ac:dyDescent="0.2">
      <c r="A76" s="101" t="s">
        <v>523</v>
      </c>
      <c r="B76" s="102"/>
      <c r="C76" s="102"/>
      <c r="D76" s="102"/>
      <c r="E76" s="189"/>
      <c r="F76" s="103"/>
    </row>
    <row r="77" spans="1:6" x14ac:dyDescent="0.2">
      <c r="A77" s="119" t="s">
        <v>49</v>
      </c>
      <c r="B77" s="130">
        <f>B69</f>
        <v>9.9662923611111107E-2</v>
      </c>
      <c r="C77" s="131">
        <f>C69</f>
        <v>317.73426435976427</v>
      </c>
      <c r="D77" s="131">
        <f>D69</f>
        <v>263.80821587089923</v>
      </c>
      <c r="E77" s="131">
        <f>E69</f>
        <v>339.55835950505718</v>
      </c>
      <c r="F77" s="132">
        <f>F69</f>
        <v>411.11864071633914</v>
      </c>
    </row>
    <row r="78" spans="1:6" ht="15.75" customHeight="1" x14ac:dyDescent="0.2">
      <c r="A78" s="119" t="s">
        <v>521</v>
      </c>
      <c r="B78" s="130">
        <f>B72</f>
        <v>0</v>
      </c>
      <c r="C78" s="131">
        <f>C72</f>
        <v>0</v>
      </c>
      <c r="D78" s="131">
        <f>D72</f>
        <v>0</v>
      </c>
      <c r="E78" s="131">
        <f>E72</f>
        <v>0</v>
      </c>
      <c r="F78" s="132">
        <f>F72</f>
        <v>0</v>
      </c>
    </row>
    <row r="79" spans="1:6" ht="15.75" customHeight="1" x14ac:dyDescent="0.2">
      <c r="A79" s="119" t="s">
        <v>71</v>
      </c>
      <c r="B79" s="130">
        <f>B74</f>
        <v>6.18624E-3</v>
      </c>
      <c r="C79" s="131">
        <f>C74</f>
        <v>27.681781429555201</v>
      </c>
      <c r="D79" s="131">
        <f>D74</f>
        <v>22.66111398825425</v>
      </c>
      <c r="E79" s="131">
        <f>E74</f>
        <v>29.9829619150848</v>
      </c>
      <c r="F79" s="132">
        <f>F74</f>
        <v>37.835030725171201</v>
      </c>
    </row>
    <row r="80" spans="1:6" ht="15.75" customHeight="1" x14ac:dyDescent="0.2">
      <c r="A80" s="111" t="s">
        <v>481</v>
      </c>
      <c r="B80" s="112"/>
      <c r="C80" s="121">
        <f>SUM(C77:C79)</f>
        <v>345.41604578931947</v>
      </c>
      <c r="D80" s="121">
        <f>SUM(D77:D79)</f>
        <v>286.4693298591535</v>
      </c>
      <c r="E80" s="191">
        <f>SUM(E77:E79)</f>
        <v>369.54132142014197</v>
      </c>
      <c r="F80" s="122">
        <f>SUM(F77:F79)</f>
        <v>448.95367144151032</v>
      </c>
    </row>
    <row r="81" spans="1:6" ht="15.75" customHeight="1" x14ac:dyDescent="0.2">
      <c r="A81" s="113"/>
      <c r="B81" s="114"/>
      <c r="C81" s="114"/>
      <c r="D81" s="114"/>
      <c r="E81" s="192"/>
      <c r="F81" s="115"/>
    </row>
    <row r="82" spans="1:6" ht="15.75" customHeight="1" x14ac:dyDescent="0.2">
      <c r="A82" s="199" t="s">
        <v>524</v>
      </c>
      <c r="B82" s="200"/>
      <c r="C82" s="200"/>
      <c r="D82" s="200"/>
      <c r="E82" s="200"/>
      <c r="F82" s="201"/>
    </row>
    <row r="83" spans="1:6" ht="15.75" customHeight="1" x14ac:dyDescent="0.2">
      <c r="A83" s="101" t="s">
        <v>525</v>
      </c>
      <c r="B83" s="102" t="s">
        <v>497</v>
      </c>
      <c r="C83" s="102" t="s">
        <v>474</v>
      </c>
      <c r="D83" s="102" t="s">
        <v>474</v>
      </c>
      <c r="E83" s="102" t="s">
        <v>474</v>
      </c>
      <c r="F83" s="103" t="s">
        <v>474</v>
      </c>
    </row>
    <row r="84" spans="1:6" ht="15.75" customHeight="1" x14ac:dyDescent="0.2">
      <c r="A84" s="119" t="s">
        <v>526</v>
      </c>
      <c r="B84" s="145">
        <f>Insumos!G117</f>
        <v>27.875416666666666</v>
      </c>
      <c r="C84" s="106">
        <f>B84</f>
        <v>27.875416666666666</v>
      </c>
      <c r="D84" s="106">
        <f>B84</f>
        <v>27.875416666666666</v>
      </c>
      <c r="E84" s="190">
        <f>B84</f>
        <v>27.875416666666666</v>
      </c>
      <c r="F84" s="107">
        <f>Insumos!G118</f>
        <v>34.030416666666667</v>
      </c>
    </row>
    <row r="85" spans="1:6" x14ac:dyDescent="0.2">
      <c r="A85" s="144" t="s">
        <v>527</v>
      </c>
      <c r="B85" s="145">
        <f>Insumos!G59</f>
        <v>461.23111666666665</v>
      </c>
      <c r="C85" s="106">
        <f>B85</f>
        <v>461.23111666666665</v>
      </c>
      <c r="D85" s="106">
        <f>B85</f>
        <v>461.23111666666665</v>
      </c>
      <c r="E85" s="190"/>
      <c r="F85" s="107"/>
    </row>
    <row r="86" spans="1:6" x14ac:dyDescent="0.2">
      <c r="A86" s="144" t="s">
        <v>528</v>
      </c>
      <c r="B86" s="146">
        <f>Insumos!K99</f>
        <v>20.684885416666667</v>
      </c>
      <c r="C86" s="106">
        <f>B86</f>
        <v>20.684885416666667</v>
      </c>
      <c r="D86" s="106">
        <f>B86</f>
        <v>20.684885416666667</v>
      </c>
      <c r="E86" s="190"/>
      <c r="F86" s="107"/>
    </row>
    <row r="87" spans="1:6" ht="15.75" customHeight="1" x14ac:dyDescent="0.2">
      <c r="A87" s="144" t="s">
        <v>529</v>
      </c>
      <c r="B87" s="145"/>
      <c r="C87" s="106">
        <f>Insumos!I129</f>
        <v>36.666666666666671</v>
      </c>
      <c r="D87" s="106">
        <f>Insumos!H129</f>
        <v>25.446666666666665</v>
      </c>
      <c r="E87" s="190"/>
      <c r="F87" s="107"/>
    </row>
    <row r="88" spans="1:6" ht="15.75" customHeight="1" x14ac:dyDescent="0.2">
      <c r="A88" s="144" t="s">
        <v>530</v>
      </c>
      <c r="B88" s="108">
        <v>0.12</v>
      </c>
      <c r="C88" s="106"/>
      <c r="D88" s="106"/>
      <c r="E88" s="190">
        <f>B88*(E127+E128+E84)</f>
        <v>398.67765906666671</v>
      </c>
      <c r="F88" s="107"/>
    </row>
    <row r="89" spans="1:6" ht="15.75" customHeight="1" x14ac:dyDescent="0.2">
      <c r="A89" s="144" t="s">
        <v>531</v>
      </c>
      <c r="B89" s="145">
        <f>Insumos!H145</f>
        <v>50.323333333333331</v>
      </c>
      <c r="C89" s="106"/>
      <c r="D89" s="106"/>
      <c r="E89" s="190"/>
      <c r="F89" s="107">
        <f>B89</f>
        <v>50.323333333333331</v>
      </c>
    </row>
    <row r="90" spans="1:6" ht="15.75" customHeight="1" x14ac:dyDescent="0.2">
      <c r="A90" s="144" t="s">
        <v>532</v>
      </c>
      <c r="B90" s="145"/>
      <c r="C90" s="106"/>
      <c r="D90" s="106"/>
      <c r="E90" s="190"/>
      <c r="F90" s="107">
        <f>B90</f>
        <v>0</v>
      </c>
    </row>
    <row r="91" spans="1:6" ht="15.75" customHeight="1" x14ac:dyDescent="0.2">
      <c r="A91" s="140" t="s">
        <v>481</v>
      </c>
      <c r="B91" s="147"/>
      <c r="C91" s="142">
        <f>SUM(C84:C90)</f>
        <v>546.45808541666668</v>
      </c>
      <c r="D91" s="142">
        <f t="shared" ref="D91:F91" si="11">SUM(D84:D90)</f>
        <v>535.23808541666665</v>
      </c>
      <c r="E91" s="142">
        <f t="shared" si="11"/>
        <v>426.55307573333334</v>
      </c>
      <c r="F91" s="142">
        <f t="shared" si="11"/>
        <v>84.353749999999991</v>
      </c>
    </row>
    <row r="92" spans="1:6" ht="15.75" customHeight="1" x14ac:dyDescent="0.2">
      <c r="A92" s="1037"/>
      <c r="B92" s="1037"/>
      <c r="C92" s="148"/>
      <c r="D92" s="148"/>
      <c r="E92" s="202"/>
      <c r="F92" s="149"/>
    </row>
    <row r="93" spans="1:6" ht="15.75" customHeight="1" x14ac:dyDescent="0.2">
      <c r="A93" s="199" t="s">
        <v>533</v>
      </c>
      <c r="B93" s="200"/>
      <c r="C93" s="200"/>
      <c r="D93" s="200"/>
      <c r="E93" s="200"/>
      <c r="F93" s="201"/>
    </row>
    <row r="94" spans="1:6" ht="15.75" customHeight="1" x14ac:dyDescent="0.2">
      <c r="A94" s="101" t="s">
        <v>534</v>
      </c>
      <c r="B94" s="102" t="s">
        <v>473</v>
      </c>
      <c r="C94" s="102" t="s">
        <v>474</v>
      </c>
      <c r="D94" s="102" t="s">
        <v>474</v>
      </c>
      <c r="E94" s="102" t="s">
        <v>474</v>
      </c>
      <c r="F94" s="103"/>
    </row>
    <row r="95" spans="1:6" ht="15.75" customHeight="1" x14ac:dyDescent="0.2">
      <c r="A95" s="104" t="s">
        <v>77</v>
      </c>
      <c r="B95" s="108">
        <f>MC!C68</f>
        <v>0.03</v>
      </c>
      <c r="C95" s="125">
        <f>($C$19+$C$49+$C$60+$C$80+$C$91)*$B$95</f>
        <v>122.39889209617958</v>
      </c>
      <c r="D95" s="125">
        <f>($D$19+$D$49+$D$60+$D$80+$D$91)*$B$95</f>
        <v>104.06136004372915</v>
      </c>
      <c r="E95" s="194">
        <f>($E$19+$E$49+$E$60+$E$80+$E$91)*$B$95</f>
        <v>126.09487242127094</v>
      </c>
      <c r="F95" s="126">
        <f>($F$19+$F$49+$F$60+$F$80+$F$91)*$B$95</f>
        <v>139.75195610324533</v>
      </c>
    </row>
    <row r="96" spans="1:6" x14ac:dyDescent="0.2">
      <c r="A96" s="104" t="s">
        <v>78</v>
      </c>
      <c r="B96" s="108">
        <f>MC!C69</f>
        <v>6.7900000000000002E-2</v>
      </c>
      <c r="C96" s="125">
        <f>($C$19+$C$49+$C$60+$C$80+$C$91+C95)*B96</f>
        <v>285.34037721768374</v>
      </c>
      <c r="D96" s="125">
        <f>($D$19+$D$49+$D$60+$D$80+$D$91+$D$95)*$B$96</f>
        <v>242.59131124594288</v>
      </c>
      <c r="E96" s="125">
        <f>($E$19+$E$49+$E$60+$E$80+$E$91+$E$95)*$B$96</f>
        <v>293.95656975088087</v>
      </c>
      <c r="F96" s="126">
        <f>($F$19+$F$49+$F$60+$F$80+$F$91+F95)*$B$96</f>
        <v>325.79441846642231</v>
      </c>
    </row>
    <row r="97" spans="1:7" x14ac:dyDescent="0.2">
      <c r="A97" s="203" t="s">
        <v>535</v>
      </c>
      <c r="B97" s="204">
        <f>B98+B99</f>
        <v>0.1125</v>
      </c>
      <c r="C97" s="205">
        <f>((C19+C49+C60+C80+C91+C95+C96)/(1-($B$97)))*$B$97</f>
        <v>568.86367679829073</v>
      </c>
      <c r="D97" s="205">
        <f>((D19+D49+D60+D80+D91+D95+D96)/(1-($B$97)))*$B$97</f>
        <v>483.63777541867319</v>
      </c>
      <c r="E97" s="205">
        <f>((E19+E49+E60+E80+E91+E95+E96)/(1-($B$97)))*$B$97</f>
        <v>586.04119304127687</v>
      </c>
      <c r="F97" s="205">
        <f>((F19+F49+F60+F80+F91+F95+F96)/(1-($B$97)))*$B$97</f>
        <v>649.51414369155793</v>
      </c>
    </row>
    <row r="98" spans="1:7" x14ac:dyDescent="0.2">
      <c r="A98" s="104" t="s">
        <v>536</v>
      </c>
      <c r="B98" s="108">
        <f>0.0165+0.076</f>
        <v>9.2499999999999999E-2</v>
      </c>
      <c r="C98" s="206">
        <f>((C$19+C$49+C$60+C$80+C$91+C$95+C$96)/(1-($B$97)))*$B$98</f>
        <v>467.73235647859462</v>
      </c>
      <c r="D98" s="206">
        <f t="shared" ref="D98:F98" si="12">((D$19+D$49+D$60+D$80+D$91+D$95+D$96)/(1-($B$97)))*$B$98</f>
        <v>397.6577264553535</v>
      </c>
      <c r="E98" s="206">
        <f t="shared" si="12"/>
        <v>481.85609205616095</v>
      </c>
      <c r="F98" s="206">
        <f t="shared" si="12"/>
        <v>534.04496259083646</v>
      </c>
    </row>
    <row r="99" spans="1:7" x14ac:dyDescent="0.2">
      <c r="A99" s="104" t="s">
        <v>537</v>
      </c>
      <c r="B99" s="108">
        <v>0.02</v>
      </c>
      <c r="C99" s="207">
        <f>((C$19+C$49+C$60+C$80+C$91+C$95+C$96)/(1-($B$97)))*$B$99</f>
        <v>101.13132031969613</v>
      </c>
      <c r="D99" s="207">
        <f t="shared" ref="D99:F99" si="13">((D$19+D$49+D$60+D$80+D$91+D$95+D$96)/(1-($B$97)))*$B$99</f>
        <v>85.980048963319675</v>
      </c>
      <c r="E99" s="207">
        <f t="shared" si="13"/>
        <v>104.18510098511588</v>
      </c>
      <c r="F99" s="207">
        <f t="shared" si="13"/>
        <v>115.4691811007214</v>
      </c>
    </row>
    <row r="100" spans="1:7" x14ac:dyDescent="0.2">
      <c r="A100" s="203" t="s">
        <v>538</v>
      </c>
      <c r="B100" s="204">
        <f>B101+B102</f>
        <v>0.11749999999999999</v>
      </c>
      <c r="C100" s="205">
        <f>((C19+C49+C60+C80+C91+C95+C96)/(1-($B$100)))*$B$100</f>
        <v>597.5127760389978</v>
      </c>
      <c r="D100" s="205">
        <f t="shared" ref="D100:F100" si="14">((D19+D49+D60+D80+D91+D95+D96)/(1-($B$100)))*$B$100</f>
        <v>507.99472979921694</v>
      </c>
      <c r="E100" s="205">
        <f t="shared" si="14"/>
        <v>615.55538595490725</v>
      </c>
      <c r="F100" s="205">
        <f t="shared" si="14"/>
        <v>682.22495986739943</v>
      </c>
    </row>
    <row r="101" spans="1:7" x14ac:dyDescent="0.2">
      <c r="A101" s="104" t="s">
        <v>536</v>
      </c>
      <c r="B101" s="108">
        <f>0.0165+0.076</f>
        <v>9.2499999999999999E-2</v>
      </c>
      <c r="C101" s="206">
        <f>((C19+C49+C60+C80+C91+C95+C96)/(1-($B$100)))*$B$101</f>
        <v>470.38239815835999</v>
      </c>
      <c r="D101" s="206">
        <f t="shared" ref="D101:F101" si="15">((D19+D49+D60+D80+D91+D95+D96)/(1-($B$100)))*$B$101</f>
        <v>399.91074473555375</v>
      </c>
      <c r="E101" s="206">
        <f t="shared" si="15"/>
        <v>484.58615490067166</v>
      </c>
      <c r="F101" s="206">
        <f t="shared" si="15"/>
        <v>537.07071308710169</v>
      </c>
    </row>
    <row r="102" spans="1:7" x14ac:dyDescent="0.2">
      <c r="A102" s="104" t="s">
        <v>537</v>
      </c>
      <c r="B102" s="108">
        <v>2.5000000000000001E-2</v>
      </c>
      <c r="C102" s="207">
        <f>((C$19+C$49+C$60+C$80+C$91+C$95+C$96)/(1-($B$100)))*$B$102</f>
        <v>127.13037788063785</v>
      </c>
      <c r="D102" s="207">
        <f t="shared" ref="D102:F102" si="16">((D$19+D$49+D$60+D$80+D$91+D$95+D$96)/(1-($B$100)))*$B$102</f>
        <v>108.08398506366319</v>
      </c>
      <c r="E102" s="207">
        <f t="shared" si="16"/>
        <v>130.96923105423559</v>
      </c>
      <c r="F102" s="207">
        <f t="shared" si="16"/>
        <v>145.15424678029777</v>
      </c>
    </row>
    <row r="103" spans="1:7" x14ac:dyDescent="0.2">
      <c r="A103" s="203" t="s">
        <v>539</v>
      </c>
      <c r="B103" s="204">
        <f>B104+B105</f>
        <v>0.1225</v>
      </c>
      <c r="C103" s="205">
        <f>((C19+C49+C60+C80+C91+C95+C96)/(1-($B$103)))*$B$103</f>
        <v>626.48836074113751</v>
      </c>
      <c r="D103" s="205">
        <f t="shared" ref="D103:F103" si="17">((D19+D49+D60+D80+D91+D95+D96)/(1-($B$103)))*$B$103</f>
        <v>532.62925630945369</v>
      </c>
      <c r="E103" s="205">
        <f t="shared" si="17"/>
        <v>645.40592294732573</v>
      </c>
      <c r="F103" s="205">
        <f t="shared" si="17"/>
        <v>715.30854887715407</v>
      </c>
    </row>
    <row r="104" spans="1:7" x14ac:dyDescent="0.2">
      <c r="A104" s="104" t="s">
        <v>536</v>
      </c>
      <c r="B104" s="108">
        <f>0.0165+0.076</f>
        <v>9.2499999999999999E-2</v>
      </c>
      <c r="C104" s="206">
        <f>((C19+C49+C60+C80+C91+C95+C96)/(1-($B$103)))*$B$104</f>
        <v>473.06263974330795</v>
      </c>
      <c r="D104" s="206">
        <f t="shared" ref="D104:F104" si="18">((D19+D49+D60+D80+D91+D95+D96)/(1-($B$103)))*$B$104</f>
        <v>402.18943843775071</v>
      </c>
      <c r="E104" s="206">
        <f t="shared" si="18"/>
        <v>487.34732957247041</v>
      </c>
      <c r="F104" s="206">
        <f t="shared" si="18"/>
        <v>540.13094507050403</v>
      </c>
    </row>
    <row r="105" spans="1:7" x14ac:dyDescent="0.2">
      <c r="A105" s="104" t="s">
        <v>537</v>
      </c>
      <c r="B105" s="108">
        <v>0.03</v>
      </c>
      <c r="C105" s="207">
        <f>((C19+C49+C60+C80+C91+C95+C96)/(1-($B$103)))*$B$105</f>
        <v>153.42572099782959</v>
      </c>
      <c r="D105" s="207">
        <f t="shared" ref="D105:F105" si="19">((D19+D49+D60+D80+D91+D95+D96)/(1-($B$103)))*$B$105</f>
        <v>130.43981787170293</v>
      </c>
      <c r="E105" s="207">
        <f t="shared" si="19"/>
        <v>158.05859337485526</v>
      </c>
      <c r="F105" s="207">
        <f t="shared" si="19"/>
        <v>175.17760380664996</v>
      </c>
      <c r="G105" s="208"/>
    </row>
    <row r="106" spans="1:7" x14ac:dyDescent="0.2">
      <c r="A106" s="203" t="s">
        <v>618</v>
      </c>
      <c r="B106" s="204">
        <f>B107+B108</f>
        <v>0.1275</v>
      </c>
      <c r="C106" s="205">
        <f>((C19+C49+C60+C80+C91+C95+C96)/(1-($B$106)))*$B$106</f>
        <v>655.79604383527874</v>
      </c>
      <c r="D106" s="205">
        <f t="shared" ref="D106:F106" si="20">((D19+D49+D60+D80+D91+D95+D96)/(1-($B$106)))*$B$106</f>
        <v>557.54612696307402</v>
      </c>
      <c r="E106" s="205">
        <f t="shared" si="20"/>
        <v>675.5985864382244</v>
      </c>
      <c r="F106" s="205">
        <f t="shared" si="20"/>
        <v>748.77131942283688</v>
      </c>
      <c r="G106" s="208"/>
    </row>
    <row r="107" spans="1:7" x14ac:dyDescent="0.2">
      <c r="A107" s="104" t="s">
        <v>536</v>
      </c>
      <c r="B107" s="108">
        <f>0.0165+0.076</f>
        <v>9.2499999999999999E-2</v>
      </c>
      <c r="C107" s="206">
        <f>((C19+C49+C60+C80+C91+C95+C96)/(1-($B$1065)))*$B$107</f>
        <v>415.11246637475273</v>
      </c>
      <c r="D107" s="206">
        <f t="shared" ref="D107:F107" si="21">((D19+D49+D60+D80+D91+D95+D96)/(1-($B$1065)))*$B$107</f>
        <v>352.92123222912625</v>
      </c>
      <c r="E107" s="206">
        <f t="shared" si="21"/>
        <v>427.64728169984278</v>
      </c>
      <c r="F107" s="206">
        <f t="shared" si="21"/>
        <v>473.96490429936733</v>
      </c>
      <c r="G107" s="208"/>
    </row>
    <row r="108" spans="1:7" x14ac:dyDescent="0.2">
      <c r="A108" s="104" t="s">
        <v>537</v>
      </c>
      <c r="B108" s="108">
        <v>3.5000000000000003E-2</v>
      </c>
      <c r="C108" s="207">
        <f>((C19+C49+C60+C80+C91+C95+C96)/(1-($B$106)))*$B$108</f>
        <v>180.02244340576283</v>
      </c>
      <c r="D108" s="207">
        <f t="shared" ref="D108:F108" si="22">((D19+D49+D60+D80+D91+D95+D96)/(1-($B$106)))*$B$108</f>
        <v>153.05187798986347</v>
      </c>
      <c r="E108" s="207">
        <f t="shared" si="22"/>
        <v>185.45843549284592</v>
      </c>
      <c r="F108" s="207">
        <f t="shared" si="22"/>
        <v>205.54506807685721</v>
      </c>
      <c r="G108" s="208"/>
    </row>
    <row r="109" spans="1:7" x14ac:dyDescent="0.2">
      <c r="A109" s="203" t="s">
        <v>540</v>
      </c>
      <c r="B109" s="204">
        <f>B110+B111</f>
        <v>0.13250000000000001</v>
      </c>
      <c r="C109" s="205">
        <f>((C19+C49+C60+C80+C91+C95+C96)/(1-($B$109)))*$B$109</f>
        <v>685.44156765673017</v>
      </c>
      <c r="D109" s="205">
        <f t="shared" ref="D109:F109" si="23">((D19+D49+D60+D80+D91+D95+D96)/(1-($B$109)))*$B$109</f>
        <v>582.75022379137602</v>
      </c>
      <c r="E109" s="205">
        <f t="shared" si="23"/>
        <v>706.13929215956603</v>
      </c>
      <c r="F109" s="205">
        <f t="shared" si="23"/>
        <v>782.61982795751908</v>
      </c>
    </row>
    <row r="110" spans="1:7" x14ac:dyDescent="0.2">
      <c r="A110" s="104" t="s">
        <v>536</v>
      </c>
      <c r="B110" s="108">
        <f>0.0165+0.076</f>
        <v>9.2499999999999999E-2</v>
      </c>
      <c r="C110" s="206">
        <f>((C19+C49+C60+C80+C91+C95+C96)/(1-($B$109)))*$B$110</f>
        <v>478.51581138300031</v>
      </c>
      <c r="D110" s="206">
        <f t="shared" ref="D110:F110" si="24">((D19+D49+D60+D80+D91+D95+D96)/(1-($B$109)))*$B$110</f>
        <v>406.8256279298285</v>
      </c>
      <c r="E110" s="206">
        <f t="shared" si="24"/>
        <v>492.96516622460263</v>
      </c>
      <c r="F110" s="206">
        <f t="shared" si="24"/>
        <v>546.35723838543788</v>
      </c>
    </row>
    <row r="111" spans="1:7" x14ac:dyDescent="0.2">
      <c r="A111" s="104" t="s">
        <v>537</v>
      </c>
      <c r="B111" s="108">
        <v>0.04</v>
      </c>
      <c r="C111" s="207">
        <f>((C19+C49+C60+C80+C91+C95+C96)/(1-($B$109)))*$B$111</f>
        <v>206.92575627372986</v>
      </c>
      <c r="D111" s="207">
        <f t="shared" ref="D111:F111" si="25">((D19+D49+D60+D80+D91+D95+D96)/(1-($B$109)))*$B$111</f>
        <v>175.92459586154746</v>
      </c>
      <c r="E111" s="207">
        <f t="shared" si="25"/>
        <v>213.17412593496331</v>
      </c>
      <c r="F111" s="207">
        <f t="shared" si="25"/>
        <v>236.26258957208123</v>
      </c>
    </row>
    <row r="112" spans="1:7" x14ac:dyDescent="0.2">
      <c r="A112" s="203" t="s">
        <v>541</v>
      </c>
      <c r="B112" s="204">
        <f>B113+B114</f>
        <v>0.14250000000000002</v>
      </c>
      <c r="C112" s="205">
        <f>((C19+C49+C60+C80+C91+C95+C96)/(1-($B$112)))*$B$112</f>
        <v>745.76977648289051</v>
      </c>
      <c r="D112" s="205">
        <f t="shared" ref="D112:F112" si="26">((D19+D49+D60+D80+D91+D95+D96)/(1-($B$112)))*$B$112</f>
        <v>634.04019343031121</v>
      </c>
      <c r="E112" s="205">
        <f t="shared" si="26"/>
        <v>768.2891831027041</v>
      </c>
      <c r="F112" s="205">
        <f t="shared" si="26"/>
        <v>851.5010494071056</v>
      </c>
    </row>
    <row r="113" spans="1:7" x14ac:dyDescent="0.2">
      <c r="A113" s="104" t="s">
        <v>536</v>
      </c>
      <c r="B113" s="108">
        <f>0.0165+0.076</f>
        <v>9.2499999999999999E-2</v>
      </c>
      <c r="C113" s="206">
        <f>((C19+C49+C60+C80+C91+C95+C96)/(1-($B$112)))*$B$113</f>
        <v>484.0961706994201</v>
      </c>
      <c r="D113" s="206">
        <f t="shared" ref="D113:F113" si="27">((D19+D49+D60+D80+D91+D95+D96)/(1-($B$112)))*$B$113</f>
        <v>411.56995012143005</v>
      </c>
      <c r="E113" s="206">
        <f t="shared" si="27"/>
        <v>498.71403113684295</v>
      </c>
      <c r="F113" s="206">
        <f t="shared" si="27"/>
        <v>552.72875136952462</v>
      </c>
    </row>
    <row r="114" spans="1:7" x14ac:dyDescent="0.2">
      <c r="A114" s="104" t="s">
        <v>537</v>
      </c>
      <c r="B114" s="209">
        <v>0.05</v>
      </c>
      <c r="C114" s="207">
        <f>((C19+C49+C60+C80+C91+C95+C96)/(1-($B$112)))*$B$114</f>
        <v>261.67360578347035</v>
      </c>
      <c r="D114" s="207">
        <f t="shared" ref="D114:F114" si="28">((D19+D49+D60+D80+D91+D95+D96)/(1-($B$112)))*$B$114</f>
        <v>222.47024330888112</v>
      </c>
      <c r="E114" s="207">
        <f t="shared" si="28"/>
        <v>269.57515196586104</v>
      </c>
      <c r="F114" s="207">
        <f t="shared" si="28"/>
        <v>298.77229803758087</v>
      </c>
    </row>
    <row r="115" spans="1:7" x14ac:dyDescent="0.2">
      <c r="A115" s="1038" t="s">
        <v>542</v>
      </c>
      <c r="B115" s="210">
        <v>0.02</v>
      </c>
      <c r="C115" s="211">
        <f>C95+C96+C97</f>
        <v>976.60294611215409</v>
      </c>
      <c r="D115" s="211">
        <f>D95+D96+D97</f>
        <v>830.29044670834514</v>
      </c>
      <c r="E115" s="211">
        <f>E95+E96+E97</f>
        <v>1006.0926352134287</v>
      </c>
      <c r="F115" s="211">
        <f>F95+F96+F97</f>
        <v>1115.0605182612255</v>
      </c>
    </row>
    <row r="116" spans="1:7" x14ac:dyDescent="0.2">
      <c r="A116" s="1038"/>
      <c r="B116" s="212">
        <v>2.5000000000000001E-2</v>
      </c>
      <c r="C116" s="213">
        <f>C95+C96+C100</f>
        <v>1005.2520453528612</v>
      </c>
      <c r="D116" s="213">
        <f>D95+D96+D100</f>
        <v>854.64740108888896</v>
      </c>
      <c r="E116" s="213">
        <f>E95+E96+E100</f>
        <v>1035.6068281270591</v>
      </c>
      <c r="F116" s="213">
        <f>F95+F96+F100</f>
        <v>1147.771334437067</v>
      </c>
    </row>
    <row r="117" spans="1:7" ht="15.75" customHeight="1" x14ac:dyDescent="0.2">
      <c r="A117" s="1038"/>
      <c r="B117" s="212">
        <v>0.03</v>
      </c>
      <c r="C117" s="213">
        <f>C95+C96+C103</f>
        <v>1034.2276300550009</v>
      </c>
      <c r="D117" s="213">
        <f>D95+D96+D103</f>
        <v>879.28192759912577</v>
      </c>
      <c r="E117" s="213">
        <f>E95+E96+E103</f>
        <v>1065.4573651194776</v>
      </c>
      <c r="F117" s="213">
        <f>F95+F96+F103</f>
        <v>1180.8549234468217</v>
      </c>
      <c r="G117" s="208"/>
    </row>
    <row r="118" spans="1:7" ht="15.75" customHeight="1" x14ac:dyDescent="0.2">
      <c r="A118" s="1038"/>
      <c r="B118" s="641">
        <v>3.5000000000000003E-2</v>
      </c>
      <c r="C118" s="213">
        <f>C95+C96+C106</f>
        <v>1063.535313149142</v>
      </c>
      <c r="D118" s="213">
        <f t="shared" ref="D118:F118" si="29">D95+D96+D106</f>
        <v>904.19879825274597</v>
      </c>
      <c r="E118" s="213">
        <f t="shared" si="29"/>
        <v>1095.6500286103762</v>
      </c>
      <c r="F118" s="213">
        <f t="shared" si="29"/>
        <v>1214.3176939925045</v>
      </c>
      <c r="G118" s="208"/>
    </row>
    <row r="119" spans="1:7" ht="15.75" customHeight="1" x14ac:dyDescent="0.2">
      <c r="A119" s="1038"/>
      <c r="B119" s="212">
        <v>0.04</v>
      </c>
      <c r="C119" s="213">
        <f>C95+C96+C109</f>
        <v>1093.1808369705934</v>
      </c>
      <c r="D119" s="213">
        <f>D95+D96+D109</f>
        <v>929.40289508104797</v>
      </c>
      <c r="E119" s="213">
        <f>E95+E96+E109</f>
        <v>1126.190734331718</v>
      </c>
      <c r="F119" s="213">
        <f>F95+F96+F109</f>
        <v>1248.1662025271867</v>
      </c>
    </row>
    <row r="120" spans="1:7" ht="15.75" customHeight="1" x14ac:dyDescent="0.2">
      <c r="A120" s="1038"/>
      <c r="B120" s="214">
        <v>0.05</v>
      </c>
      <c r="C120" s="215">
        <f>C95+C96+C112</f>
        <v>1153.5090457967538</v>
      </c>
      <c r="D120" s="215">
        <f>D95+D96+D112</f>
        <v>980.69286471998316</v>
      </c>
      <c r="E120" s="215">
        <f>E95+E96+E112</f>
        <v>1188.3406252748559</v>
      </c>
      <c r="F120" s="215">
        <f>F95+F96+F112</f>
        <v>1317.0474239767732</v>
      </c>
    </row>
    <row r="121" spans="1:7" ht="15.75" customHeight="1" x14ac:dyDescent="0.2">
      <c r="A121" s="104" t="s">
        <v>543</v>
      </c>
      <c r="B121" s="216"/>
      <c r="C121" s="217"/>
      <c r="D121" s="217"/>
      <c r="E121" s="218"/>
      <c r="F121" s="219"/>
    </row>
    <row r="122" spans="1:7" ht="24.75" customHeight="1" x14ac:dyDescent="0.2">
      <c r="A122" s="154"/>
      <c r="B122" s="220"/>
      <c r="C122" s="221"/>
      <c r="D122" s="221"/>
      <c r="E122" s="222"/>
      <c r="F122" s="223"/>
    </row>
    <row r="123" spans="1:7" ht="15.75" customHeight="1" x14ac:dyDescent="0.2">
      <c r="A123" s="1039"/>
      <c r="B123" s="1039"/>
      <c r="C123" s="1039"/>
      <c r="D123" s="1039"/>
      <c r="E123" s="1039"/>
      <c r="F123" s="1039"/>
    </row>
    <row r="124" spans="1:7" ht="15.75" customHeight="1" x14ac:dyDescent="0.2">
      <c r="A124" s="1040"/>
      <c r="B124" s="1040"/>
      <c r="C124" s="1040"/>
      <c r="D124" s="1040"/>
      <c r="E124" s="1040"/>
      <c r="F124" s="1040"/>
    </row>
    <row r="125" spans="1:7" ht="54.75" customHeight="1" x14ac:dyDescent="0.2">
      <c r="A125" s="1041" t="s">
        <v>544</v>
      </c>
      <c r="B125" s="1041"/>
      <c r="C125" s="224" t="str">
        <f>C10</f>
        <v xml:space="preserve">Servente 44h </v>
      </c>
      <c r="D125" s="224" t="str">
        <f>D10</f>
        <v>Servente 30h</v>
      </c>
      <c r="E125" s="225" t="str">
        <f>E10</f>
        <v>Servente 44h limpeza de esquadrias com risco</v>
      </c>
      <c r="F125" s="226" t="str">
        <f>F10</f>
        <v>Encarregada 44h</v>
      </c>
    </row>
    <row r="126" spans="1:7" ht="15.75" customHeight="1" x14ac:dyDescent="0.2">
      <c r="A126" s="1035" t="s">
        <v>545</v>
      </c>
      <c r="B126" s="1035"/>
      <c r="C126" s="227" t="s">
        <v>474</v>
      </c>
      <c r="D126" s="227" t="s">
        <v>474</v>
      </c>
      <c r="E126" s="227" t="s">
        <v>474</v>
      </c>
      <c r="F126" s="228" t="s">
        <v>474</v>
      </c>
    </row>
    <row r="127" spans="1:7" ht="14.25" customHeight="1" x14ac:dyDescent="0.2">
      <c r="A127" s="1036" t="s">
        <v>546</v>
      </c>
      <c r="B127" s="1036"/>
      <c r="C127" s="229">
        <f>C19</f>
        <v>1587.2640000000001</v>
      </c>
      <c r="D127" s="229">
        <f>D19</f>
        <v>1298.6705454545454</v>
      </c>
      <c r="E127" s="229">
        <f>E19</f>
        <v>1719.5360000000001</v>
      </c>
      <c r="F127" s="230">
        <f>F19</f>
        <v>2170.884</v>
      </c>
    </row>
    <row r="128" spans="1:7" ht="14.25" customHeight="1" x14ac:dyDescent="0.2">
      <c r="A128" s="1031" t="s">
        <v>547</v>
      </c>
      <c r="B128" s="1031"/>
      <c r="C128" s="150">
        <f>C49</f>
        <v>1496.8591466666667</v>
      </c>
      <c r="D128" s="150">
        <f>D49</f>
        <v>1263.2711199999999</v>
      </c>
      <c r="E128" s="150">
        <f>E49</f>
        <v>1574.9024088888891</v>
      </c>
      <c r="F128" s="151">
        <f>F49</f>
        <v>1812.0142133333334</v>
      </c>
    </row>
    <row r="129" spans="1:8" ht="14.25" customHeight="1" x14ac:dyDescent="0.2">
      <c r="A129" s="1031" t="s">
        <v>548</v>
      </c>
      <c r="B129" s="1031"/>
      <c r="C129" s="150">
        <f>C60</f>
        <v>103.96579199999999</v>
      </c>
      <c r="D129" s="150">
        <f>D60</f>
        <v>85.062920727272711</v>
      </c>
      <c r="E129" s="150">
        <f>E60</f>
        <v>112.62960799999999</v>
      </c>
      <c r="F129" s="151">
        <f>F60</f>
        <v>142.19290199999998</v>
      </c>
    </row>
    <row r="130" spans="1:8" ht="14.25" customHeight="1" x14ac:dyDescent="0.2">
      <c r="A130" s="1031" t="s">
        <v>549</v>
      </c>
      <c r="B130" s="1031"/>
      <c r="C130" s="150">
        <f>C80</f>
        <v>345.41604578931947</v>
      </c>
      <c r="D130" s="150">
        <f>D80</f>
        <v>286.4693298591535</v>
      </c>
      <c r="E130" s="150">
        <f>E80</f>
        <v>369.54132142014197</v>
      </c>
      <c r="F130" s="151">
        <f>F69</f>
        <v>411.11864071633914</v>
      </c>
    </row>
    <row r="131" spans="1:8" ht="15.75" customHeight="1" x14ac:dyDescent="0.2">
      <c r="A131" s="1031" t="s">
        <v>550</v>
      </c>
      <c r="B131" s="1031"/>
      <c r="C131" s="150">
        <f>C91</f>
        <v>546.45808541666668</v>
      </c>
      <c r="D131" s="150">
        <f>D91</f>
        <v>535.23808541666665</v>
      </c>
      <c r="E131" s="150">
        <f>E91</f>
        <v>426.55307573333334</v>
      </c>
      <c r="F131" s="151">
        <f>F91</f>
        <v>84.353749999999991</v>
      </c>
    </row>
    <row r="132" spans="1:8" ht="15.75" customHeight="1" x14ac:dyDescent="0.2">
      <c r="A132" s="1034" t="s">
        <v>551</v>
      </c>
      <c r="B132" s="1034"/>
      <c r="C132" s="152">
        <f>SUM(C127:C131)</f>
        <v>4079.9630698726528</v>
      </c>
      <c r="D132" s="152">
        <f>SUM(D127:D131)</f>
        <v>3468.7120014576385</v>
      </c>
      <c r="E132" s="231">
        <f>SUM(E127:E131)</f>
        <v>4203.1624140423646</v>
      </c>
      <c r="F132" s="153">
        <f>SUM(F127:F131)</f>
        <v>4620.5635060496734</v>
      </c>
    </row>
    <row r="133" spans="1:8" ht="15.75" customHeight="1" x14ac:dyDescent="0.2">
      <c r="A133" s="1032" t="s">
        <v>552</v>
      </c>
      <c r="B133" s="1032"/>
      <c r="C133" s="232">
        <f t="shared" ref="C133:F134" si="30">C115</f>
        <v>976.60294611215409</v>
      </c>
      <c r="D133" s="232">
        <f t="shared" si="30"/>
        <v>830.29044670834514</v>
      </c>
      <c r="E133" s="232">
        <f t="shared" si="30"/>
        <v>1006.0926352134287</v>
      </c>
      <c r="F133" s="233">
        <f t="shared" si="30"/>
        <v>1115.0605182612255</v>
      </c>
    </row>
    <row r="134" spans="1:8" ht="15.75" customHeight="1" x14ac:dyDescent="0.2">
      <c r="A134" s="1031" t="s">
        <v>553</v>
      </c>
      <c r="B134" s="1031"/>
      <c r="C134" s="234">
        <f t="shared" si="30"/>
        <v>1005.2520453528612</v>
      </c>
      <c r="D134" s="234">
        <f t="shared" si="30"/>
        <v>854.64740108888896</v>
      </c>
      <c r="E134" s="234">
        <f t="shared" si="30"/>
        <v>1035.6068281270591</v>
      </c>
      <c r="F134" s="235">
        <f t="shared" si="30"/>
        <v>1147.771334437067</v>
      </c>
    </row>
    <row r="135" spans="1:8" ht="15.75" customHeight="1" x14ac:dyDescent="0.2">
      <c r="A135" s="1031" t="s">
        <v>554</v>
      </c>
      <c r="B135" s="1031"/>
      <c r="C135" s="234">
        <f>C117</f>
        <v>1034.2276300550009</v>
      </c>
      <c r="D135" s="234">
        <f t="shared" ref="D135:F136" si="31">D117</f>
        <v>879.28192759912577</v>
      </c>
      <c r="E135" s="234">
        <f t="shared" si="31"/>
        <v>1065.4573651194776</v>
      </c>
      <c r="F135" s="234">
        <f t="shared" si="31"/>
        <v>1180.8549234468217</v>
      </c>
    </row>
    <row r="136" spans="1:8" ht="15.75" customHeight="1" x14ac:dyDescent="0.2">
      <c r="A136" s="1031" t="s">
        <v>619</v>
      </c>
      <c r="B136" s="1031"/>
      <c r="C136" s="234">
        <f>C118</f>
        <v>1063.535313149142</v>
      </c>
      <c r="D136" s="234">
        <f t="shared" si="31"/>
        <v>904.19879825274597</v>
      </c>
      <c r="E136" s="234">
        <f t="shared" si="31"/>
        <v>1095.6500286103762</v>
      </c>
      <c r="F136" s="234">
        <f t="shared" si="31"/>
        <v>1214.3176939925045</v>
      </c>
    </row>
    <row r="137" spans="1:8" ht="15.75" customHeight="1" x14ac:dyDescent="0.2">
      <c r="A137" s="1031" t="s">
        <v>555</v>
      </c>
      <c r="B137" s="1031"/>
      <c r="C137" s="234">
        <f>C119</f>
        <v>1093.1808369705934</v>
      </c>
      <c r="D137" s="234">
        <f t="shared" ref="D137:F138" si="32">D119</f>
        <v>929.40289508104797</v>
      </c>
      <c r="E137" s="234">
        <f t="shared" si="32"/>
        <v>1126.190734331718</v>
      </c>
      <c r="F137" s="235">
        <f t="shared" si="32"/>
        <v>1248.1662025271867</v>
      </c>
    </row>
    <row r="138" spans="1:8" ht="15.75" customHeight="1" x14ac:dyDescent="0.2">
      <c r="A138" s="1032" t="s">
        <v>556</v>
      </c>
      <c r="B138" s="1032"/>
      <c r="C138" s="234">
        <f>C120</f>
        <v>1153.5090457967538</v>
      </c>
      <c r="D138" s="234">
        <f t="shared" si="32"/>
        <v>980.69286471998316</v>
      </c>
      <c r="E138" s="234">
        <f t="shared" si="32"/>
        <v>1188.3406252748559</v>
      </c>
      <c r="F138" s="235">
        <f t="shared" si="32"/>
        <v>1317.0474239767732</v>
      </c>
    </row>
    <row r="139" spans="1:8" ht="15.75" customHeight="1" x14ac:dyDescent="0.2">
      <c r="A139" s="236" t="s">
        <v>557</v>
      </c>
      <c r="B139" s="237"/>
      <c r="C139" s="238">
        <f>C132+C133</f>
        <v>5056.5660159848067</v>
      </c>
      <c r="D139" s="238">
        <f>D132+D133</f>
        <v>4299.0024481659839</v>
      </c>
      <c r="E139" s="238">
        <f>E132+E133</f>
        <v>5209.255049255793</v>
      </c>
      <c r="F139" s="239">
        <f>F132+F133</f>
        <v>5735.6240243108987</v>
      </c>
    </row>
    <row r="140" spans="1:8" ht="15.75" customHeight="1" x14ac:dyDescent="0.2">
      <c r="A140" s="240" t="s">
        <v>558</v>
      </c>
      <c r="B140" s="241"/>
      <c r="C140" s="242">
        <f>C132+C134</f>
        <v>5085.2151152255137</v>
      </c>
      <c r="D140" s="242">
        <f>D132+D134</f>
        <v>4323.3594025465272</v>
      </c>
      <c r="E140" s="242">
        <f>E132+E134</f>
        <v>5238.7692421694237</v>
      </c>
      <c r="F140" s="243">
        <f>F132+F134</f>
        <v>5768.3348404867402</v>
      </c>
      <c r="H140" s="791"/>
    </row>
    <row r="141" spans="1:8" ht="15.75" customHeight="1" x14ac:dyDescent="0.2">
      <c r="A141" s="240" t="s">
        <v>559</v>
      </c>
      <c r="B141" s="241"/>
      <c r="C141" s="242">
        <f>C132+C135</f>
        <v>5114.1906999276534</v>
      </c>
      <c r="D141" s="242">
        <f>D132+D135</f>
        <v>4347.9939290567645</v>
      </c>
      <c r="E141" s="242">
        <f>E132+E135</f>
        <v>5268.6197791618424</v>
      </c>
      <c r="F141" s="243">
        <f>F132+F135</f>
        <v>5801.4184294964953</v>
      </c>
      <c r="H141" s="791"/>
    </row>
    <row r="142" spans="1:8" ht="15.75" customHeight="1" x14ac:dyDescent="0.2">
      <c r="A142" s="240" t="s">
        <v>620</v>
      </c>
      <c r="B142" s="241"/>
      <c r="C142" s="242">
        <f>C132+C136</f>
        <v>5143.4983830217952</v>
      </c>
      <c r="D142" s="242">
        <f t="shared" ref="D142:F142" si="33">D132+D136</f>
        <v>4372.9107997103847</v>
      </c>
      <c r="E142" s="242">
        <f t="shared" si="33"/>
        <v>5298.8124426527411</v>
      </c>
      <c r="F142" s="242">
        <f t="shared" si="33"/>
        <v>5834.8812000421776</v>
      </c>
    </row>
    <row r="143" spans="1:8" ht="15.75" customHeight="1" x14ac:dyDescent="0.2">
      <c r="A143" s="240" t="s">
        <v>560</v>
      </c>
      <c r="B143" s="241"/>
      <c r="C143" s="242">
        <f>C132+C137</f>
        <v>5173.1439068432464</v>
      </c>
      <c r="D143" s="242">
        <f>D132+D137</f>
        <v>4398.1148965386865</v>
      </c>
      <c r="E143" s="242">
        <f>E132+E137</f>
        <v>5329.3531483740826</v>
      </c>
      <c r="F143" s="243">
        <f>F132+F137</f>
        <v>5868.7297085768605</v>
      </c>
    </row>
    <row r="144" spans="1:8" ht="15.75" customHeight="1" x14ac:dyDescent="0.2">
      <c r="A144" s="240" t="s">
        <v>561</v>
      </c>
      <c r="B144" s="241"/>
      <c r="C144" s="242">
        <f>C132+C138</f>
        <v>5233.4721156694068</v>
      </c>
      <c r="D144" s="242">
        <f>D132+D138</f>
        <v>4449.4048661776214</v>
      </c>
      <c r="E144" s="242">
        <f>E132+E138</f>
        <v>5391.5030393172201</v>
      </c>
      <c r="F144" s="243">
        <f>F132+F138</f>
        <v>5937.610930026447</v>
      </c>
    </row>
    <row r="145" spans="1:17" ht="15.75" customHeight="1" x14ac:dyDescent="0.2">
      <c r="A145" s="736" t="s">
        <v>562</v>
      </c>
      <c r="B145" s="737"/>
      <c r="C145" s="738">
        <f>C139/220</f>
        <v>22.984390981749122</v>
      </c>
      <c r="D145" s="738"/>
      <c r="E145" s="751"/>
      <c r="F145" s="739"/>
    </row>
    <row r="146" spans="1:17" ht="15.75" customHeight="1" x14ac:dyDescent="0.2">
      <c r="A146" s="408" t="s">
        <v>563</v>
      </c>
      <c r="B146" s="246"/>
      <c r="C146" s="247">
        <f t="shared" ref="C146:C150" si="34">C140/220</f>
        <v>23.11461416011597</v>
      </c>
      <c r="D146" s="247"/>
      <c r="E146" s="735"/>
      <c r="F146" s="740"/>
    </row>
    <row r="147" spans="1:17" ht="15.75" customHeight="1" x14ac:dyDescent="0.2">
      <c r="A147" s="408" t="s">
        <v>564</v>
      </c>
      <c r="B147" s="246"/>
      <c r="C147" s="247">
        <f t="shared" si="34"/>
        <v>23.246321363307516</v>
      </c>
      <c r="D147" s="247"/>
      <c r="E147" s="735"/>
      <c r="F147" s="740"/>
    </row>
    <row r="148" spans="1:17" ht="15.75" customHeight="1" x14ac:dyDescent="0.2">
      <c r="A148" s="408" t="s">
        <v>621</v>
      </c>
      <c r="B148" s="246"/>
      <c r="C148" s="247">
        <f t="shared" si="34"/>
        <v>23.379538104644524</v>
      </c>
      <c r="D148" s="247"/>
      <c r="E148" s="735"/>
      <c r="F148" s="740"/>
    </row>
    <row r="149" spans="1:17" ht="15.75" customHeight="1" x14ac:dyDescent="0.2">
      <c r="A149" s="408" t="s">
        <v>565</v>
      </c>
      <c r="B149" s="246"/>
      <c r="C149" s="247">
        <f t="shared" si="34"/>
        <v>23.51429048565112</v>
      </c>
      <c r="D149" s="247"/>
      <c r="E149" s="735"/>
      <c r="F149" s="740"/>
    </row>
    <row r="150" spans="1:17" ht="15.75" customHeight="1" x14ac:dyDescent="0.2">
      <c r="A150" s="410" t="s">
        <v>566</v>
      </c>
      <c r="B150" s="411"/>
      <c r="C150" s="412">
        <f t="shared" si="34"/>
        <v>23.788509616679121</v>
      </c>
      <c r="D150" s="412"/>
      <c r="E150" s="752"/>
      <c r="F150" s="741"/>
    </row>
    <row r="151" spans="1:17" x14ac:dyDescent="0.2">
      <c r="A151" s="248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7" ht="14.25" customHeight="1" x14ac:dyDescent="0.2">
      <c r="A152" s="1033" t="s">
        <v>567</v>
      </c>
      <c r="B152" s="1033"/>
      <c r="C152" s="1033" t="s">
        <v>568</v>
      </c>
      <c r="D152" s="1033"/>
      <c r="E152" s="1029" t="s">
        <v>569</v>
      </c>
      <c r="F152" s="1030"/>
      <c r="G152" s="1028" t="s">
        <v>570</v>
      </c>
      <c r="H152" s="1028"/>
      <c r="I152" s="1028" t="s">
        <v>622</v>
      </c>
      <c r="J152" s="1028"/>
      <c r="K152" s="1028" t="s">
        <v>571</v>
      </c>
      <c r="L152" s="1028"/>
      <c r="M152" s="1028" t="s">
        <v>572</v>
      </c>
      <c r="N152" s="1028"/>
    </row>
    <row r="153" spans="1:17" ht="38.25" x14ac:dyDescent="0.2">
      <c r="A153" s="271" t="s">
        <v>573</v>
      </c>
      <c r="B153" s="272" t="s">
        <v>574</v>
      </c>
      <c r="C153" s="272" t="s">
        <v>575</v>
      </c>
      <c r="D153" s="272" t="s">
        <v>576</v>
      </c>
      <c r="E153" s="272" t="s">
        <v>575</v>
      </c>
      <c r="F153" s="272" t="s">
        <v>576</v>
      </c>
      <c r="G153" s="272" t="s">
        <v>575</v>
      </c>
      <c r="H153" s="272" t="s">
        <v>576</v>
      </c>
      <c r="I153" s="272" t="s">
        <v>575</v>
      </c>
      <c r="J153" s="272" t="s">
        <v>576</v>
      </c>
      <c r="K153" s="272" t="s">
        <v>575</v>
      </c>
      <c r="L153" s="272" t="s">
        <v>576</v>
      </c>
      <c r="M153" s="272" t="s">
        <v>575</v>
      </c>
      <c r="N153" s="272" t="s">
        <v>576</v>
      </c>
    </row>
    <row r="154" spans="1:17" x14ac:dyDescent="0.2">
      <c r="A154" s="273" t="s">
        <v>577</v>
      </c>
      <c r="B154" s="274">
        <f>1/'Prod. GEXJVL'!C15</f>
        <v>1.25E-3</v>
      </c>
      <c r="C154" s="275">
        <f>C139</f>
        <v>5056.5660159848067</v>
      </c>
      <c r="D154" s="275">
        <f>B154*C154</f>
        <v>6.3207075199810081</v>
      </c>
      <c r="E154" s="275">
        <f>C140</f>
        <v>5085.2151152255137</v>
      </c>
      <c r="F154" s="275">
        <f>B154*E154</f>
        <v>6.3565188940318924</v>
      </c>
      <c r="G154" s="275">
        <f>C141</f>
        <v>5114.1906999276534</v>
      </c>
      <c r="H154" s="275">
        <f>B154*G154</f>
        <v>6.392738374909567</v>
      </c>
      <c r="I154" s="275">
        <f>C142</f>
        <v>5143.4983830217952</v>
      </c>
      <c r="J154" s="275">
        <f>B154*I154</f>
        <v>6.429372978777244</v>
      </c>
      <c r="K154" s="275">
        <f>C143</f>
        <v>5173.1439068432464</v>
      </c>
      <c r="L154" s="275">
        <f>B154*K154</f>
        <v>6.4664298835540581</v>
      </c>
      <c r="M154" s="275">
        <f>C144</f>
        <v>5233.4721156694068</v>
      </c>
      <c r="N154" s="275">
        <f>B154*M154</f>
        <v>6.5418401445867582</v>
      </c>
    </row>
    <row r="155" spans="1:17" x14ac:dyDescent="0.2">
      <c r="A155" s="276" t="s">
        <v>578</v>
      </c>
      <c r="B155" s="274">
        <f>B154/'Prod. GEXJVL'!O15</f>
        <v>7.8125000000000002E-5</v>
      </c>
      <c r="C155" s="275">
        <f>F140</f>
        <v>5768.3348404867402</v>
      </c>
      <c r="D155" s="275">
        <f>C155*B155</f>
        <v>0.45065115941302658</v>
      </c>
      <c r="E155" s="275">
        <f>F140</f>
        <v>5768.3348404867402</v>
      </c>
      <c r="F155" s="275">
        <f>B155*E155</f>
        <v>0.45065115941302658</v>
      </c>
      <c r="G155" s="275">
        <f>F140</f>
        <v>5768.3348404867402</v>
      </c>
      <c r="H155" s="275">
        <f>B155*G155</f>
        <v>0.45065115941302658</v>
      </c>
      <c r="I155" s="275">
        <f>F140</f>
        <v>5768.3348404867402</v>
      </c>
      <c r="J155" s="275">
        <f>B155*I155</f>
        <v>0.45065115941302658</v>
      </c>
      <c r="K155" s="275">
        <f>F143</f>
        <v>5868.7297085768605</v>
      </c>
      <c r="L155" s="275">
        <f>B155*K155</f>
        <v>0.45849450848256723</v>
      </c>
      <c r="M155" s="275">
        <f>F140</f>
        <v>5768.3348404867402</v>
      </c>
      <c r="N155" s="275">
        <f>B155*M155</f>
        <v>0.45065115941302658</v>
      </c>
      <c r="O155" s="1018"/>
      <c r="P155" s="1019"/>
      <c r="Q155" s="429"/>
    </row>
    <row r="156" spans="1:17" x14ac:dyDescent="0.2">
      <c r="A156" s="277" t="s">
        <v>579</v>
      </c>
      <c r="B156" s="278"/>
      <c r="C156" s="279"/>
      <c r="D156" s="279">
        <f>SUM(D154:D155)</f>
        <v>6.7713586793940346</v>
      </c>
      <c r="E156" s="279"/>
      <c r="F156" s="279">
        <f>SUM(F154:F155)</f>
        <v>6.8071700534449189</v>
      </c>
      <c r="G156" s="279"/>
      <c r="H156" s="279">
        <f>SUM(H154:H155)</f>
        <v>6.8433895343225934</v>
      </c>
      <c r="I156" s="279"/>
      <c r="J156" s="279">
        <f t="shared" ref="J156" si="35">SUM(J154:J155)</f>
        <v>6.8800241381902705</v>
      </c>
      <c r="K156" s="279"/>
      <c r="L156" s="279">
        <f>SUM(L154:L155)</f>
        <v>6.9249243920366252</v>
      </c>
      <c r="M156" s="279"/>
      <c r="N156" s="279">
        <f>SUM(N154:N155)</f>
        <v>6.9924913039997847</v>
      </c>
      <c r="O156" s="427"/>
      <c r="P156" s="428"/>
    </row>
    <row r="157" spans="1:17" x14ac:dyDescent="0.2">
      <c r="A157" s="249"/>
      <c r="B157" s="250"/>
      <c r="C157" s="250"/>
      <c r="D157" s="251"/>
      <c r="E157" s="251"/>
      <c r="F157"/>
      <c r="G157"/>
      <c r="H157"/>
      <c r="I157"/>
      <c r="J157"/>
      <c r="K157"/>
      <c r="L157"/>
      <c r="M157"/>
      <c r="N157"/>
    </row>
    <row r="158" spans="1:17" ht="14.25" customHeight="1" x14ac:dyDescent="0.2">
      <c r="A158" s="1025" t="s">
        <v>580</v>
      </c>
      <c r="B158" s="1025"/>
      <c r="C158" s="1025" t="s">
        <v>568</v>
      </c>
      <c r="D158" s="1025"/>
      <c r="E158" s="1026" t="s">
        <v>569</v>
      </c>
      <c r="F158" s="1027"/>
      <c r="G158" s="1025" t="s">
        <v>570</v>
      </c>
      <c r="H158" s="1025"/>
      <c r="I158" s="1028" t="s">
        <v>622</v>
      </c>
      <c r="J158" s="1028"/>
      <c r="K158" s="1025" t="s">
        <v>571</v>
      </c>
      <c r="L158" s="1025"/>
      <c r="M158" s="1025" t="s">
        <v>572</v>
      </c>
      <c r="N158" s="1025"/>
    </row>
    <row r="159" spans="1:17" ht="38.25" x14ac:dyDescent="0.2">
      <c r="A159" s="271" t="s">
        <v>573</v>
      </c>
      <c r="B159" s="272" t="s">
        <v>581</v>
      </c>
      <c r="C159" s="272" t="s">
        <v>575</v>
      </c>
      <c r="D159" s="272" t="s">
        <v>576</v>
      </c>
      <c r="E159" s="272" t="s">
        <v>575</v>
      </c>
      <c r="F159" s="272" t="s">
        <v>576</v>
      </c>
      <c r="G159" s="272" t="s">
        <v>575</v>
      </c>
      <c r="H159" s="272" t="s">
        <v>576</v>
      </c>
      <c r="I159" s="272" t="s">
        <v>575</v>
      </c>
      <c r="J159" s="272" t="s">
        <v>576</v>
      </c>
      <c r="K159" s="272" t="s">
        <v>575</v>
      </c>
      <c r="L159" s="272" t="s">
        <v>576</v>
      </c>
      <c r="M159" s="272" t="s">
        <v>575</v>
      </c>
      <c r="N159" s="272" t="s">
        <v>576</v>
      </c>
    </row>
    <row r="160" spans="1:17" x14ac:dyDescent="0.2">
      <c r="A160" s="273" t="s">
        <v>577</v>
      </c>
      <c r="B160" s="280">
        <f>1/'Prod. GEXJVL'!D15</f>
        <v>6.6666666666666664E-4</v>
      </c>
      <c r="C160" s="281">
        <f>C139</f>
        <v>5056.5660159848067</v>
      </c>
      <c r="D160" s="275">
        <f>B160*C160</f>
        <v>3.3710440106565378</v>
      </c>
      <c r="E160" s="275">
        <f>C140</f>
        <v>5085.2151152255137</v>
      </c>
      <c r="F160" s="275">
        <f>B160*E160</f>
        <v>3.3901434101503423</v>
      </c>
      <c r="G160" s="275">
        <f>C141</f>
        <v>5114.1906999276534</v>
      </c>
      <c r="H160" s="275">
        <f>B160*G160</f>
        <v>3.4094604666184356</v>
      </c>
      <c r="I160" s="275">
        <f>C142</f>
        <v>5143.4983830217952</v>
      </c>
      <c r="J160" s="275">
        <f>B160*I160</f>
        <v>3.42899892201453</v>
      </c>
      <c r="K160" s="275">
        <f>C143</f>
        <v>5173.1439068432464</v>
      </c>
      <c r="L160" s="275">
        <f>B160*K160</f>
        <v>3.4487626045621642</v>
      </c>
      <c r="M160" s="275">
        <f>C144</f>
        <v>5233.4721156694068</v>
      </c>
      <c r="N160" s="275">
        <f>B160*M160</f>
        <v>3.4889814104462711</v>
      </c>
    </row>
    <row r="161" spans="1:14" x14ac:dyDescent="0.2">
      <c r="A161" s="276" t="s">
        <v>578</v>
      </c>
      <c r="B161" s="274">
        <f>B160/'Prod. GEXJVL'!O15</f>
        <v>4.1666666666666665E-5</v>
      </c>
      <c r="C161" s="275">
        <f>F140</f>
        <v>5768.3348404867402</v>
      </c>
      <c r="D161" s="275">
        <f>B161*C161</f>
        <v>0.24034728502028083</v>
      </c>
      <c r="E161" s="275">
        <f>F140</f>
        <v>5768.3348404867402</v>
      </c>
      <c r="F161" s="275">
        <f>B161*E161</f>
        <v>0.24034728502028083</v>
      </c>
      <c r="G161" s="275">
        <f>F140</f>
        <v>5768.3348404867402</v>
      </c>
      <c r="H161" s="275">
        <f>B161*G161</f>
        <v>0.24034728502028083</v>
      </c>
      <c r="I161" s="275">
        <f>F140</f>
        <v>5768.3348404867402</v>
      </c>
      <c r="J161" s="275">
        <f>B161*I161</f>
        <v>0.24034728502028083</v>
      </c>
      <c r="K161" s="275">
        <f>F143</f>
        <v>5868.7297085768605</v>
      </c>
      <c r="L161" s="275">
        <f>B161*K161</f>
        <v>0.24453040452403585</v>
      </c>
      <c r="M161" s="275">
        <f>F140</f>
        <v>5768.3348404867402</v>
      </c>
      <c r="N161" s="275">
        <f>B161*M161</f>
        <v>0.24034728502028083</v>
      </c>
    </row>
    <row r="162" spans="1:14" x14ac:dyDescent="0.2">
      <c r="A162" s="277" t="s">
        <v>582</v>
      </c>
      <c r="B162" s="278"/>
      <c r="C162" s="279"/>
      <c r="D162" s="279">
        <f>SUM(D160:D161)</f>
        <v>3.6113912956768188</v>
      </c>
      <c r="E162" s="279"/>
      <c r="F162" s="279">
        <f>SUM(F160:F161)</f>
        <v>3.6304906951706233</v>
      </c>
      <c r="G162" s="279"/>
      <c r="H162" s="279">
        <f>SUM(H160:H161)</f>
        <v>3.6498077516387166</v>
      </c>
      <c r="I162" s="279"/>
      <c r="J162" s="279">
        <f t="shared" ref="J162" si="36">SUM(J160:J161)</f>
        <v>3.6693462070348111</v>
      </c>
      <c r="K162" s="279"/>
      <c r="L162" s="279">
        <f>SUM(L160:L161)</f>
        <v>3.6932930090862</v>
      </c>
      <c r="M162" s="279"/>
      <c r="N162" s="279">
        <f>SUM(N160:N161)</f>
        <v>3.7293286954665521</v>
      </c>
    </row>
    <row r="163" spans="1:14" x14ac:dyDescent="0.2">
      <c r="A163" s="249"/>
      <c r="B163" s="252"/>
      <c r="C163" s="252"/>
      <c r="D163" s="252"/>
      <c r="E163" s="252"/>
      <c r="F163"/>
      <c r="G163"/>
      <c r="H163"/>
      <c r="I163"/>
      <c r="J163"/>
      <c r="K163"/>
      <c r="L163"/>
      <c r="M163"/>
      <c r="N163"/>
    </row>
    <row r="164" spans="1:14" ht="14.25" customHeight="1" x14ac:dyDescent="0.2">
      <c r="A164" s="1025" t="s">
        <v>583</v>
      </c>
      <c r="B164" s="1025"/>
      <c r="C164" s="1025" t="s">
        <v>568</v>
      </c>
      <c r="D164" s="1025"/>
      <c r="E164" s="1026" t="s">
        <v>569</v>
      </c>
      <c r="F164" s="1027"/>
      <c r="G164" s="1025" t="s">
        <v>570</v>
      </c>
      <c r="H164" s="1025"/>
      <c r="I164" s="1028" t="s">
        <v>622</v>
      </c>
      <c r="J164" s="1028"/>
      <c r="K164" s="1025" t="s">
        <v>571</v>
      </c>
      <c r="L164" s="1025"/>
      <c r="M164" s="1025" t="s">
        <v>572</v>
      </c>
      <c r="N164" s="1025"/>
    </row>
    <row r="165" spans="1:14" ht="38.25" x14ac:dyDescent="0.2">
      <c r="A165" s="271" t="s">
        <v>573</v>
      </c>
      <c r="B165" s="272" t="s">
        <v>581</v>
      </c>
      <c r="C165" s="272" t="s">
        <v>575</v>
      </c>
      <c r="D165" s="272" t="s">
        <v>576</v>
      </c>
      <c r="E165" s="272" t="s">
        <v>575</v>
      </c>
      <c r="F165" s="272" t="s">
        <v>576</v>
      </c>
      <c r="G165" s="272" t="s">
        <v>575</v>
      </c>
      <c r="H165" s="272" t="s">
        <v>576</v>
      </c>
      <c r="I165" s="272" t="s">
        <v>575</v>
      </c>
      <c r="J165" s="272" t="s">
        <v>576</v>
      </c>
      <c r="K165" s="272" t="s">
        <v>575</v>
      </c>
      <c r="L165" s="272" t="s">
        <v>576</v>
      </c>
      <c r="M165" s="272" t="s">
        <v>575</v>
      </c>
      <c r="N165" s="272" t="s">
        <v>576</v>
      </c>
    </row>
    <row r="166" spans="1:14" x14ac:dyDescent="0.2">
      <c r="A166" s="273" t="s">
        <v>577</v>
      </c>
      <c r="B166" s="280">
        <f>1/'Prod. GEXJVL'!E15</f>
        <v>1E-3</v>
      </c>
      <c r="C166" s="281">
        <f>C139</f>
        <v>5056.5660159848067</v>
      </c>
      <c r="D166" s="275">
        <f>B166*C166</f>
        <v>5.0565660159848065</v>
      </c>
      <c r="E166" s="275">
        <f>C140</f>
        <v>5085.2151152255137</v>
      </c>
      <c r="F166" s="275">
        <f>B166*E166</f>
        <v>5.0852151152255134</v>
      </c>
      <c r="G166" s="275">
        <f>C141</f>
        <v>5114.1906999276534</v>
      </c>
      <c r="H166" s="275">
        <f>B166*G166</f>
        <v>5.1141906999276534</v>
      </c>
      <c r="I166" s="275">
        <f>C142</f>
        <v>5143.4983830217952</v>
      </c>
      <c r="J166" s="275">
        <f>B166*I166</f>
        <v>5.1434983830217957</v>
      </c>
      <c r="K166" s="275">
        <f>C143</f>
        <v>5173.1439068432464</v>
      </c>
      <c r="L166" s="275">
        <f>B166*K166</f>
        <v>5.1731439068432463</v>
      </c>
      <c r="M166" s="275">
        <f>C144</f>
        <v>5233.4721156694068</v>
      </c>
      <c r="N166" s="275">
        <f>B166*M166</f>
        <v>5.2334721156694073</v>
      </c>
    </row>
    <row r="167" spans="1:14" x14ac:dyDescent="0.2">
      <c r="A167" s="276" t="s">
        <v>578</v>
      </c>
      <c r="B167" s="274">
        <f>B166/'Prod. GEXJVL'!O15</f>
        <v>6.2500000000000001E-5</v>
      </c>
      <c r="C167" s="275">
        <f>F140</f>
        <v>5768.3348404867402</v>
      </c>
      <c r="D167" s="275">
        <f>B167*C167</f>
        <v>0.36052092753042125</v>
      </c>
      <c r="E167" s="275">
        <f>F140</f>
        <v>5768.3348404867402</v>
      </c>
      <c r="F167" s="275">
        <f>B167*E167</f>
        <v>0.36052092753042125</v>
      </c>
      <c r="G167" s="275">
        <f>F140</f>
        <v>5768.3348404867402</v>
      </c>
      <c r="H167" s="275">
        <f>B167*G167</f>
        <v>0.36052092753042125</v>
      </c>
      <c r="I167" s="275">
        <f>F140</f>
        <v>5768.3348404867402</v>
      </c>
      <c r="J167" s="275">
        <f>B167*I167</f>
        <v>0.36052092753042125</v>
      </c>
      <c r="K167" s="275">
        <f>F143</f>
        <v>5868.7297085768605</v>
      </c>
      <c r="L167" s="275">
        <f>B167*K167</f>
        <v>0.36679560678605377</v>
      </c>
      <c r="M167" s="275">
        <f>F140</f>
        <v>5768.3348404867402</v>
      </c>
      <c r="N167" s="275">
        <f>B167*M167</f>
        <v>0.36052092753042125</v>
      </c>
    </row>
    <row r="168" spans="1:14" x14ac:dyDescent="0.2">
      <c r="A168" s="277" t="s">
        <v>582</v>
      </c>
      <c r="B168" s="278"/>
      <c r="C168" s="279"/>
      <c r="D168" s="279">
        <f>SUM(D166:D167)</f>
        <v>5.417086943515228</v>
      </c>
      <c r="E168" s="279"/>
      <c r="F168" s="279">
        <f>SUM(F166:F167)</f>
        <v>5.4457360427559349</v>
      </c>
      <c r="G168" s="279"/>
      <c r="H168" s="279">
        <f>SUM(H166:H167)</f>
        <v>5.4747116274580749</v>
      </c>
      <c r="I168" s="279"/>
      <c r="J168" s="279">
        <f t="shared" ref="J168" si="37">SUM(J166:J167)</f>
        <v>5.5040193105522173</v>
      </c>
      <c r="K168" s="279"/>
      <c r="L168" s="279">
        <f>SUM(L166:L167)</f>
        <v>5.5399395136293004</v>
      </c>
      <c r="M168" s="279"/>
      <c r="N168" s="279">
        <f>SUM(N166:N167)</f>
        <v>5.5939930431998288</v>
      </c>
    </row>
    <row r="169" spans="1:14" x14ac:dyDescent="0.2">
      <c r="A169" s="249"/>
      <c r="B169" s="252"/>
      <c r="C169" s="252"/>
      <c r="D169" s="252"/>
      <c r="E169" s="252"/>
      <c r="F169"/>
      <c r="G169"/>
      <c r="H169"/>
      <c r="I169"/>
      <c r="J169"/>
      <c r="K169"/>
      <c r="L169"/>
      <c r="M169"/>
      <c r="N169"/>
    </row>
    <row r="170" spans="1:14" ht="14.25" customHeight="1" x14ac:dyDescent="0.2">
      <c r="A170" s="1025" t="s">
        <v>584</v>
      </c>
      <c r="B170" s="1025"/>
      <c r="C170" s="1025" t="s">
        <v>568</v>
      </c>
      <c r="D170" s="1025"/>
      <c r="E170" s="1026" t="s">
        <v>569</v>
      </c>
      <c r="F170" s="1027"/>
      <c r="G170" s="1025" t="s">
        <v>570</v>
      </c>
      <c r="H170" s="1025"/>
      <c r="I170" s="1028" t="s">
        <v>622</v>
      </c>
      <c r="J170" s="1028"/>
      <c r="K170" s="1025" t="s">
        <v>571</v>
      </c>
      <c r="L170" s="1025"/>
      <c r="M170" s="1025" t="s">
        <v>572</v>
      </c>
      <c r="N170" s="1025"/>
    </row>
    <row r="171" spans="1:14" ht="38.25" x14ac:dyDescent="0.2">
      <c r="A171" s="271" t="s">
        <v>573</v>
      </c>
      <c r="B171" s="272" t="s">
        <v>581</v>
      </c>
      <c r="C171" s="272" t="s">
        <v>575</v>
      </c>
      <c r="D171" s="272" t="s">
        <v>576</v>
      </c>
      <c r="E171" s="272" t="s">
        <v>575</v>
      </c>
      <c r="F171" s="272" t="s">
        <v>576</v>
      </c>
      <c r="G171" s="272" t="s">
        <v>575</v>
      </c>
      <c r="H171" s="272" t="s">
        <v>576</v>
      </c>
      <c r="I171" s="272" t="s">
        <v>575</v>
      </c>
      <c r="J171" s="272" t="s">
        <v>576</v>
      </c>
      <c r="K171" s="272" t="s">
        <v>575</v>
      </c>
      <c r="L171" s="272" t="s">
        <v>576</v>
      </c>
      <c r="M171" s="272" t="s">
        <v>575</v>
      </c>
      <c r="N171" s="272" t="s">
        <v>576</v>
      </c>
    </row>
    <row r="172" spans="1:14" x14ac:dyDescent="0.2">
      <c r="A172" s="273" t="s">
        <v>577</v>
      </c>
      <c r="B172" s="280">
        <f>1/'Prod. GEXJVL'!F15</f>
        <v>5.0000000000000001E-3</v>
      </c>
      <c r="C172" s="275">
        <f>C139</f>
        <v>5056.5660159848067</v>
      </c>
      <c r="D172" s="275">
        <f>B172*C172</f>
        <v>25.282830079924032</v>
      </c>
      <c r="E172" s="275">
        <f>C140</f>
        <v>5085.2151152255137</v>
      </c>
      <c r="F172" s="275">
        <f>B172*E172</f>
        <v>25.42607557612757</v>
      </c>
      <c r="G172" s="275">
        <f>C141</f>
        <v>5114.1906999276534</v>
      </c>
      <c r="H172" s="275">
        <f>B172*G172</f>
        <v>25.570953499638268</v>
      </c>
      <c r="I172" s="275">
        <f>C142</f>
        <v>5143.4983830217952</v>
      </c>
      <c r="J172" s="275">
        <f>B172*I172</f>
        <v>25.717491915108976</v>
      </c>
      <c r="K172" s="275">
        <f>C143</f>
        <v>5173.1439068432464</v>
      </c>
      <c r="L172" s="275">
        <f>B172*K172</f>
        <v>25.865719534216232</v>
      </c>
      <c r="M172" s="275">
        <f>C144</f>
        <v>5233.4721156694068</v>
      </c>
      <c r="N172" s="275">
        <f>B172*M172</f>
        <v>26.167360578347033</v>
      </c>
    </row>
    <row r="173" spans="1:14" x14ac:dyDescent="0.2">
      <c r="A173" s="276" t="s">
        <v>578</v>
      </c>
      <c r="B173" s="274">
        <f>B172/'Prod. GEXJVL'!O15</f>
        <v>3.1250000000000001E-4</v>
      </c>
      <c r="C173" s="275">
        <f>F140</f>
        <v>5768.3348404867402</v>
      </c>
      <c r="D173" s="275">
        <f>C173*B173</f>
        <v>1.8026046376521063</v>
      </c>
      <c r="E173" s="275">
        <f>F140</f>
        <v>5768.3348404867402</v>
      </c>
      <c r="F173" s="275">
        <f>B173*E173</f>
        <v>1.8026046376521063</v>
      </c>
      <c r="G173" s="275">
        <f>F140</f>
        <v>5768.3348404867402</v>
      </c>
      <c r="H173" s="275">
        <f>B173*G173</f>
        <v>1.8026046376521063</v>
      </c>
      <c r="I173" s="275">
        <f>F140</f>
        <v>5768.3348404867402</v>
      </c>
      <c r="J173" s="275">
        <f>B173*I173</f>
        <v>1.8026046376521063</v>
      </c>
      <c r="K173" s="275">
        <f>F143</f>
        <v>5868.7297085768605</v>
      </c>
      <c r="L173" s="275">
        <f>B173*K173</f>
        <v>1.8339780339302689</v>
      </c>
      <c r="M173" s="275">
        <f>F140</f>
        <v>5768.3348404867402</v>
      </c>
      <c r="N173" s="275">
        <f>B173*M173</f>
        <v>1.8026046376521063</v>
      </c>
    </row>
    <row r="174" spans="1:14" x14ac:dyDescent="0.2">
      <c r="A174" s="277" t="s">
        <v>582</v>
      </c>
      <c r="B174" s="278"/>
      <c r="C174" s="279"/>
      <c r="D174" s="279">
        <f>SUM(D172:D173)</f>
        <v>27.085434717576138</v>
      </c>
      <c r="E174" s="279"/>
      <c r="F174" s="279">
        <f>SUM(F172:F173)</f>
        <v>27.228680213779676</v>
      </c>
      <c r="G174" s="279"/>
      <c r="H174" s="279">
        <f>SUM(H172:H173)</f>
        <v>27.373558137290374</v>
      </c>
      <c r="I174" s="279"/>
      <c r="J174" s="279">
        <f t="shared" ref="J174" si="38">SUM(J172:J173)</f>
        <v>27.520096552761082</v>
      </c>
      <c r="K174" s="279"/>
      <c r="L174" s="279">
        <f>SUM(L172:L173)</f>
        <v>27.699697568146501</v>
      </c>
      <c r="M174" s="279"/>
      <c r="N174" s="279">
        <f>SUM(N172:N173)</f>
        <v>27.969965215999139</v>
      </c>
    </row>
    <row r="175" spans="1:14" x14ac:dyDescent="0.2">
      <c r="A175" s="249"/>
      <c r="B175" s="253"/>
      <c r="C175" s="253"/>
      <c r="D175" s="253"/>
      <c r="E175" s="253"/>
    </row>
    <row r="176" spans="1:14" ht="14.25" customHeight="1" x14ac:dyDescent="0.2">
      <c r="A176" s="1020" t="s">
        <v>585</v>
      </c>
      <c r="B176" s="1020"/>
      <c r="C176" s="1020" t="s">
        <v>568</v>
      </c>
      <c r="D176" s="1020"/>
      <c r="E176" s="1023" t="s">
        <v>569</v>
      </c>
      <c r="F176" s="1024"/>
      <c r="G176" s="1020" t="s">
        <v>570</v>
      </c>
      <c r="H176" s="1020"/>
      <c r="I176" s="1020" t="s">
        <v>622</v>
      </c>
      <c r="J176" s="1020"/>
      <c r="K176" s="1020" t="s">
        <v>571</v>
      </c>
      <c r="L176" s="1020"/>
      <c r="M176" s="1020" t="s">
        <v>572</v>
      </c>
      <c r="N176" s="1020"/>
    </row>
    <row r="177" spans="1:16" ht="38.25" x14ac:dyDescent="0.2">
      <c r="A177" s="271" t="s">
        <v>573</v>
      </c>
      <c r="B177" s="272" t="s">
        <v>581</v>
      </c>
      <c r="C177" s="272" t="s">
        <v>575</v>
      </c>
      <c r="D177" s="272" t="s">
        <v>576</v>
      </c>
      <c r="E177" s="272" t="s">
        <v>575</v>
      </c>
      <c r="F177" s="272" t="s">
        <v>576</v>
      </c>
      <c r="G177" s="272" t="s">
        <v>575</v>
      </c>
      <c r="H177" s="272" t="s">
        <v>576</v>
      </c>
      <c r="I177" s="272" t="s">
        <v>575</v>
      </c>
      <c r="J177" s="272" t="s">
        <v>576</v>
      </c>
      <c r="K177" s="272" t="s">
        <v>575</v>
      </c>
      <c r="L177" s="272" t="s">
        <v>576</v>
      </c>
      <c r="M177" s="272" t="s">
        <v>575</v>
      </c>
      <c r="N177" s="272" t="s">
        <v>576</v>
      </c>
    </row>
    <row r="178" spans="1:16" x14ac:dyDescent="0.2">
      <c r="A178" s="273" t="s">
        <v>586</v>
      </c>
      <c r="B178" s="280">
        <f>1/'Prod. GEXJVL'!G15</f>
        <v>5.5555555555555556E-4</v>
      </c>
      <c r="C178" s="275">
        <f>C139</f>
        <v>5056.5660159848067</v>
      </c>
      <c r="D178" s="275">
        <f>B178*C178</f>
        <v>2.8092033422137814</v>
      </c>
      <c r="E178" s="275">
        <f>C140</f>
        <v>5085.2151152255137</v>
      </c>
      <c r="F178" s="275">
        <f>B178*E178</f>
        <v>2.8251195084586187</v>
      </c>
      <c r="G178" s="275">
        <f>C141</f>
        <v>5114.1906999276534</v>
      </c>
      <c r="H178" s="275">
        <f>B178*G178</f>
        <v>2.8412170555153629</v>
      </c>
      <c r="I178" s="275">
        <f>C142</f>
        <v>5143.4983830217952</v>
      </c>
      <c r="J178" s="275">
        <f>B178*I178</f>
        <v>2.857499101678775</v>
      </c>
      <c r="K178" s="275">
        <f>C143</f>
        <v>5173.1439068432464</v>
      </c>
      <c r="L178" s="275">
        <f>B178*K178</f>
        <v>2.8739688371351368</v>
      </c>
      <c r="M178" s="275">
        <f>C144</f>
        <v>5233.4721156694068</v>
      </c>
      <c r="N178" s="275">
        <f>B178*M178</f>
        <v>2.9074845087052261</v>
      </c>
    </row>
    <row r="179" spans="1:16" x14ac:dyDescent="0.2">
      <c r="A179" s="276" t="s">
        <v>578</v>
      </c>
      <c r="B179" s="274">
        <f>B178/'Prod. GEXJVL'!O15</f>
        <v>3.4722222222222222E-5</v>
      </c>
      <c r="C179" s="275">
        <f>F140</f>
        <v>5768.3348404867402</v>
      </c>
      <c r="D179" s="275">
        <f>B179*C179</f>
        <v>0.20028940418356736</v>
      </c>
      <c r="E179" s="275">
        <f>F140</f>
        <v>5768.3348404867402</v>
      </c>
      <c r="F179" s="275">
        <f>B179*E179</f>
        <v>0.20028940418356736</v>
      </c>
      <c r="G179" s="275">
        <f>F140</f>
        <v>5768.3348404867402</v>
      </c>
      <c r="H179" s="275">
        <f>B179*G179</f>
        <v>0.20028940418356736</v>
      </c>
      <c r="I179" s="275">
        <f>F140</f>
        <v>5768.3348404867402</v>
      </c>
      <c r="J179" s="275">
        <f>B179*I179</f>
        <v>0.20028940418356736</v>
      </c>
      <c r="K179" s="275">
        <f>F143</f>
        <v>5868.7297085768605</v>
      </c>
      <c r="L179" s="275">
        <f>B179*K179</f>
        <v>0.20377533710336321</v>
      </c>
      <c r="M179" s="275">
        <f>F140</f>
        <v>5768.3348404867402</v>
      </c>
      <c r="N179" s="275">
        <f>B179*M179</f>
        <v>0.20028940418356736</v>
      </c>
      <c r="O179" s="1018"/>
      <c r="P179" s="1019"/>
    </row>
    <row r="180" spans="1:16" x14ac:dyDescent="0.2">
      <c r="A180" s="282" t="s">
        <v>587</v>
      </c>
      <c r="B180" s="283"/>
      <c r="C180" s="284"/>
      <c r="D180" s="285">
        <f>SUM(D178:D179)</f>
        <v>3.0094927463973487</v>
      </c>
      <c r="E180" s="284"/>
      <c r="F180" s="285">
        <f>SUM(F178:F179)</f>
        <v>3.0254089126421859</v>
      </c>
      <c r="G180" s="284"/>
      <c r="H180" s="285">
        <f>SUM(H178:H179)</f>
        <v>3.0415064596989301</v>
      </c>
      <c r="I180" s="285"/>
      <c r="J180" s="285">
        <f>J178+J179</f>
        <v>3.0577885058623422</v>
      </c>
      <c r="K180" s="284"/>
      <c r="L180" s="285">
        <f>SUM(L178:L179)</f>
        <v>3.0777441742385001</v>
      </c>
      <c r="M180" s="284"/>
      <c r="N180" s="285">
        <f>SUM(N178:N179)</f>
        <v>3.1077739128887933</v>
      </c>
      <c r="O180" s="427"/>
      <c r="P180" s="428"/>
    </row>
    <row r="181" spans="1:16" x14ac:dyDescent="0.2">
      <c r="A181" s="273" t="s">
        <v>588</v>
      </c>
      <c r="B181" s="280">
        <f>1/'Prod. GEXJVL'!H15</f>
        <v>1.0000000000000001E-5</v>
      </c>
      <c r="C181" s="275">
        <f>C139</f>
        <v>5056.5660159848067</v>
      </c>
      <c r="D181" s="275">
        <f>B181*C181</f>
        <v>5.0565660159848071E-2</v>
      </c>
      <c r="E181" s="275">
        <f>C140</f>
        <v>5085.2151152255137</v>
      </c>
      <c r="F181" s="275">
        <f>B181*E181</f>
        <v>5.0852151152255144E-2</v>
      </c>
      <c r="G181" s="275">
        <f>C141</f>
        <v>5114.1906999276534</v>
      </c>
      <c r="H181" s="275">
        <f>B181*G181</f>
        <v>5.1141906999276537E-2</v>
      </c>
      <c r="I181" s="275">
        <f>C142</f>
        <v>5143.4983830217952</v>
      </c>
      <c r="J181" s="275">
        <f>B181*I181</f>
        <v>5.1434983830217954E-2</v>
      </c>
      <c r="K181" s="275">
        <f>C143</f>
        <v>5173.1439068432464</v>
      </c>
      <c r="L181" s="275">
        <f>B181*K181</f>
        <v>5.1731439068432472E-2</v>
      </c>
      <c r="M181" s="275">
        <f>C144</f>
        <v>5233.4721156694068</v>
      </c>
      <c r="N181" s="275">
        <f>B181*M181</f>
        <v>5.2334721156694075E-2</v>
      </c>
    </row>
    <row r="182" spans="1:16" x14ac:dyDescent="0.2">
      <c r="A182" s="276" t="s">
        <v>578</v>
      </c>
      <c r="B182" s="274">
        <f>B181/'Prod. GEXJVL'!O15</f>
        <v>6.2500000000000005E-7</v>
      </c>
      <c r="C182" s="275">
        <f>F140</f>
        <v>5768.3348404867402</v>
      </c>
      <c r="D182" s="275">
        <f>B182*C182</f>
        <v>3.6052092753042129E-3</v>
      </c>
      <c r="E182" s="275">
        <f>F140</f>
        <v>5768.3348404867402</v>
      </c>
      <c r="F182" s="275">
        <f>B182*E182</f>
        <v>3.6052092753042129E-3</v>
      </c>
      <c r="G182" s="275">
        <f>F140</f>
        <v>5768.3348404867402</v>
      </c>
      <c r="H182" s="275">
        <f>B182*G182</f>
        <v>3.6052092753042129E-3</v>
      </c>
      <c r="I182" s="275">
        <f>F140</f>
        <v>5768.3348404867402</v>
      </c>
      <c r="J182" s="275">
        <f>B182*I182</f>
        <v>3.6052092753042129E-3</v>
      </c>
      <c r="K182" s="275">
        <f>F143</f>
        <v>5868.7297085768605</v>
      </c>
      <c r="L182" s="275">
        <f>B182*K182</f>
        <v>3.6679560678605379E-3</v>
      </c>
      <c r="M182" s="275">
        <f>F140</f>
        <v>5768.3348404867402</v>
      </c>
      <c r="N182" s="275">
        <f>B182*M182</f>
        <v>3.6052092753042129E-3</v>
      </c>
    </row>
    <row r="183" spans="1:16" x14ac:dyDescent="0.2">
      <c r="A183" s="282" t="s">
        <v>589</v>
      </c>
      <c r="B183" s="286"/>
      <c r="C183" s="284"/>
      <c r="D183" s="285">
        <f>SUM(D181:D182)</f>
        <v>5.4170869435152286E-2</v>
      </c>
      <c r="E183" s="284"/>
      <c r="F183" s="285">
        <f>SUM(F181:F182)</f>
        <v>5.4457360427559359E-2</v>
      </c>
      <c r="G183" s="284"/>
      <c r="H183" s="285">
        <f>SUM(H181:H182)</f>
        <v>5.4747116274580752E-2</v>
      </c>
      <c r="I183" s="285"/>
      <c r="J183" s="285">
        <f>J181+J182</f>
        <v>5.5040193105522169E-2</v>
      </c>
      <c r="K183" s="284"/>
      <c r="L183" s="285">
        <f>SUM(L181:L182)</f>
        <v>5.5399395136293009E-2</v>
      </c>
      <c r="M183" s="284"/>
      <c r="N183" s="285">
        <f>SUM(N181:N182)</f>
        <v>5.593993043199829E-2</v>
      </c>
    </row>
    <row r="184" spans="1:16" x14ac:dyDescent="0.2">
      <c r="A184" s="273" t="s">
        <v>590</v>
      </c>
      <c r="B184" s="280">
        <f>1/'Prod. GEXJVL'!I15</f>
        <v>1.6666666666666666E-4</v>
      </c>
      <c r="C184" s="275">
        <f>C139</f>
        <v>5056.5660159848067</v>
      </c>
      <c r="D184" s="275">
        <f>B184*C184</f>
        <v>0.84276100266413445</v>
      </c>
      <c r="E184" s="275">
        <f>C140</f>
        <v>5085.2151152255137</v>
      </c>
      <c r="F184" s="275">
        <f>B184*E184</f>
        <v>0.84753585253758557</v>
      </c>
      <c r="G184" s="275">
        <f>C141</f>
        <v>5114.1906999276534</v>
      </c>
      <c r="H184" s="275">
        <f>B184*G184</f>
        <v>0.8523651166546089</v>
      </c>
      <c r="I184" s="275">
        <f>C142</f>
        <v>5143.4983830217952</v>
      </c>
      <c r="J184" s="275">
        <f>B184*I184</f>
        <v>0.85724973050363251</v>
      </c>
      <c r="K184" s="275">
        <f>C143</f>
        <v>5173.1439068432464</v>
      </c>
      <c r="L184" s="275">
        <f>B184*K184</f>
        <v>0.86219065114054105</v>
      </c>
      <c r="M184" s="275">
        <f>C144</f>
        <v>5233.4721156694068</v>
      </c>
      <c r="N184" s="275">
        <f>B184*M184</f>
        <v>0.87224535261156777</v>
      </c>
    </row>
    <row r="185" spans="1:16" x14ac:dyDescent="0.2">
      <c r="A185" s="276" t="s">
        <v>578</v>
      </c>
      <c r="B185" s="274">
        <f>B184/'Prod. GEXJVL'!O15</f>
        <v>1.0416666666666666E-5</v>
      </c>
      <c r="C185" s="275">
        <f>F140</f>
        <v>5768.3348404867402</v>
      </c>
      <c r="D185" s="275">
        <f>B185*C185</f>
        <v>6.0086821255070207E-2</v>
      </c>
      <c r="E185" s="275">
        <f>F140</f>
        <v>5768.3348404867402</v>
      </c>
      <c r="F185" s="275">
        <f>B185*E185</f>
        <v>6.0086821255070207E-2</v>
      </c>
      <c r="G185" s="275">
        <f>F140</f>
        <v>5768.3348404867402</v>
      </c>
      <c r="H185" s="275">
        <f>B185*G185</f>
        <v>6.0086821255070207E-2</v>
      </c>
      <c r="I185" s="275">
        <f>F140</f>
        <v>5768.3348404867402</v>
      </c>
      <c r="J185" s="275">
        <f>B185*I185</f>
        <v>6.0086821255070207E-2</v>
      </c>
      <c r="K185" s="275">
        <f>F143</f>
        <v>5868.7297085768605</v>
      </c>
      <c r="L185" s="275">
        <f>B185*K185</f>
        <v>6.1132601131008962E-2</v>
      </c>
      <c r="M185" s="275">
        <f>F140</f>
        <v>5768.3348404867402</v>
      </c>
      <c r="N185" s="275">
        <f>B185*M185</f>
        <v>6.0086821255070207E-2</v>
      </c>
    </row>
    <row r="186" spans="1:16" x14ac:dyDescent="0.2">
      <c r="A186" s="282" t="s">
        <v>591</v>
      </c>
      <c r="B186" s="286"/>
      <c r="C186" s="284"/>
      <c r="D186" s="285">
        <f>SUM(D184:D185)</f>
        <v>0.90284782391920471</v>
      </c>
      <c r="E186" s="284"/>
      <c r="F186" s="285">
        <f>SUM(F184:F185)</f>
        <v>0.90762267379265582</v>
      </c>
      <c r="G186" s="284"/>
      <c r="H186" s="285">
        <f>SUM(H184:H185)</f>
        <v>0.91245193790967916</v>
      </c>
      <c r="I186" s="285"/>
      <c r="J186" s="285">
        <f>J184+J185</f>
        <v>0.91733655175870277</v>
      </c>
      <c r="K186" s="284"/>
      <c r="L186" s="285">
        <f>SUM(L184:L185)</f>
        <v>0.92332325227154999</v>
      </c>
      <c r="M186" s="284"/>
      <c r="N186" s="285">
        <f>SUM(N184:N185)</f>
        <v>0.93233217386663803</v>
      </c>
    </row>
    <row r="187" spans="1:16" x14ac:dyDescent="0.2">
      <c r="A187" s="249"/>
      <c r="B187" s="252"/>
      <c r="C187" s="252"/>
      <c r="D187" s="252"/>
      <c r="E187" s="252"/>
    </row>
    <row r="188" spans="1:16" ht="14.25" customHeight="1" x14ac:dyDescent="0.2">
      <c r="A188" s="1012" t="s">
        <v>592</v>
      </c>
      <c r="B188" s="1012"/>
      <c r="C188" s="1012" t="s">
        <v>568</v>
      </c>
      <c r="D188" s="1012"/>
      <c r="E188" s="1021" t="s">
        <v>569</v>
      </c>
      <c r="F188" s="1022"/>
      <c r="G188" s="1012" t="s">
        <v>570</v>
      </c>
      <c r="H188" s="1012"/>
      <c r="I188" s="1012" t="s">
        <v>622</v>
      </c>
      <c r="J188" s="1012"/>
      <c r="K188" s="1012" t="s">
        <v>571</v>
      </c>
      <c r="L188" s="1012"/>
      <c r="M188" s="1012" t="s">
        <v>572</v>
      </c>
      <c r="N188" s="1012"/>
    </row>
    <row r="189" spans="1:16" ht="38.25" x14ac:dyDescent="0.2">
      <c r="A189" s="271" t="s">
        <v>573</v>
      </c>
      <c r="B189" s="272" t="s">
        <v>581</v>
      </c>
      <c r="C189" s="272" t="s">
        <v>575</v>
      </c>
      <c r="D189" s="272" t="s">
        <v>576</v>
      </c>
      <c r="E189" s="272" t="s">
        <v>575</v>
      </c>
      <c r="F189" s="272" t="s">
        <v>576</v>
      </c>
      <c r="G189" s="272" t="s">
        <v>575</v>
      </c>
      <c r="H189" s="272" t="s">
        <v>576</v>
      </c>
      <c r="I189" s="272" t="s">
        <v>575</v>
      </c>
      <c r="J189" s="272" t="s">
        <v>576</v>
      </c>
      <c r="K189" s="272" t="s">
        <v>575</v>
      </c>
      <c r="L189" s="272" t="s">
        <v>576</v>
      </c>
      <c r="M189" s="272" t="s">
        <v>575</v>
      </c>
      <c r="N189" s="272" t="s">
        <v>576</v>
      </c>
    </row>
    <row r="190" spans="1:16" x14ac:dyDescent="0.2">
      <c r="A190" s="287" t="s">
        <v>593</v>
      </c>
      <c r="B190" s="280">
        <f>(1/'Prod. GEXJVL'!J15)*(1/(30/7*44*6))*8</f>
        <v>4.4191919191919199E-5</v>
      </c>
      <c r="C190" s="275">
        <f>E139</f>
        <v>5209.255049255793</v>
      </c>
      <c r="D190" s="275">
        <f>B190*C190</f>
        <v>0.23020697818680907</v>
      </c>
      <c r="E190" s="275">
        <f>E140</f>
        <v>5238.7692421694237</v>
      </c>
      <c r="F190" s="275">
        <f>B190*E190</f>
        <v>0.23151126701506294</v>
      </c>
      <c r="G190" s="275">
        <f>E141</f>
        <v>5268.6197791618424</v>
      </c>
      <c r="H190" s="275">
        <f>B190*G190</f>
        <v>0.23283041953366732</v>
      </c>
      <c r="I190" s="275">
        <f>E142</f>
        <v>5298.8124426527411</v>
      </c>
      <c r="J190" s="275">
        <f>B190*I190</f>
        <v>0.23416469127884593</v>
      </c>
      <c r="K190" s="275">
        <f>E143</f>
        <v>5329.3531483740826</v>
      </c>
      <c r="L190" s="275">
        <f>B190*K190</f>
        <v>0.23551434367814764</v>
      </c>
      <c r="M190" s="275">
        <f>E144</f>
        <v>5391.5030393172201</v>
      </c>
      <c r="N190" s="275">
        <f>B190*M190</f>
        <v>0.23826086663649335</v>
      </c>
    </row>
    <row r="191" spans="1:16" x14ac:dyDescent="0.2">
      <c r="A191" s="276" t="s">
        <v>578</v>
      </c>
      <c r="B191" s="280">
        <f>B190/4</f>
        <v>1.10479797979798E-5</v>
      </c>
      <c r="C191" s="275">
        <f>F140</f>
        <v>5768.3348404867402</v>
      </c>
      <c r="D191" s="275">
        <f>B191*C191</f>
        <v>6.3728446785680543E-2</v>
      </c>
      <c r="E191" s="275">
        <f>F140</f>
        <v>5768.3348404867402</v>
      </c>
      <c r="F191" s="275">
        <f>B191*E191</f>
        <v>6.3728446785680543E-2</v>
      </c>
      <c r="G191" s="275">
        <f>F140</f>
        <v>5768.3348404867402</v>
      </c>
      <c r="H191" s="275">
        <f>B191*G191</f>
        <v>6.3728446785680543E-2</v>
      </c>
      <c r="I191" s="275">
        <f>F140</f>
        <v>5768.3348404867402</v>
      </c>
      <c r="J191" s="275">
        <f>B191*I191</f>
        <v>6.3728446785680543E-2</v>
      </c>
      <c r="K191" s="275">
        <f>F143</f>
        <v>5868.7297085768605</v>
      </c>
      <c r="L191" s="275">
        <f>B191*K191</f>
        <v>6.4837607260161037E-2</v>
      </c>
      <c r="M191" s="275">
        <f>F140</f>
        <v>5768.3348404867402</v>
      </c>
      <c r="N191" s="275">
        <f>B191*M191</f>
        <v>6.3728446785680543E-2</v>
      </c>
      <c r="O191" s="1018"/>
      <c r="P191" s="1019"/>
    </row>
    <row r="192" spans="1:16" x14ac:dyDescent="0.2">
      <c r="A192" s="288" t="s">
        <v>594</v>
      </c>
      <c r="B192" s="289"/>
      <c r="C192" s="290"/>
      <c r="D192" s="291">
        <f>SUM(D190:D191)</f>
        <v>0.29393542497248959</v>
      </c>
      <c r="E192" s="290"/>
      <c r="F192" s="291">
        <f>SUM(F190:F191)</f>
        <v>0.29523971380074349</v>
      </c>
      <c r="G192" s="290"/>
      <c r="H192" s="291">
        <f>SUM(H190:H191)</f>
        <v>0.29655886631934786</v>
      </c>
      <c r="I192" s="291"/>
      <c r="J192" s="291">
        <f>J190+J191</f>
        <v>0.29789313806452644</v>
      </c>
      <c r="K192" s="290"/>
      <c r="L192" s="291">
        <f>SUM(L190:L191)</f>
        <v>0.30035195093830869</v>
      </c>
      <c r="M192" s="290"/>
      <c r="N192" s="291">
        <f>SUM(N190:N191)</f>
        <v>0.30198931342217389</v>
      </c>
      <c r="O192" s="427"/>
      <c r="P192" s="428"/>
    </row>
    <row r="193" spans="1:16" x14ac:dyDescent="0.2">
      <c r="A193" s="287" t="s">
        <v>595</v>
      </c>
      <c r="B193" s="280">
        <f>1/'Prod. GEXJVL'!K15*16*(1/188.76)</f>
        <v>2.8254573709119167E-4</v>
      </c>
      <c r="C193" s="275">
        <f>C139</f>
        <v>5056.5660159848067</v>
      </c>
      <c r="D193" s="275">
        <f>B193*C193</f>
        <v>1.4287111721366976</v>
      </c>
      <c r="E193" s="275">
        <f>C140</f>
        <v>5085.2151152255137</v>
      </c>
      <c r="F193" s="275">
        <f>B193*E193</f>
        <v>1.436805852998662</v>
      </c>
      <c r="G193" s="275">
        <f>C141</f>
        <v>5114.1906999276534</v>
      </c>
      <c r="H193" s="275">
        <f>B193*G193</f>
        <v>1.4449927809359764</v>
      </c>
      <c r="I193" s="275">
        <f>C142</f>
        <v>5143.4983830217952</v>
      </c>
      <c r="J193" s="275">
        <f>B193*I193</f>
        <v>1.4532735418582456</v>
      </c>
      <c r="K193" s="275">
        <f>C143</f>
        <v>5173.1439068432464</v>
      </c>
      <c r="L193" s="275">
        <f>B193*K193</f>
        <v>1.4616497582378321</v>
      </c>
      <c r="M193" s="275">
        <f>C144</f>
        <v>5233.4721156694068</v>
      </c>
      <c r="N193" s="275">
        <f>B193*M193</f>
        <v>1.4786952364680108</v>
      </c>
    </row>
    <row r="194" spans="1:16" x14ac:dyDescent="0.2">
      <c r="A194" s="276" t="s">
        <v>578</v>
      </c>
      <c r="B194" s="280">
        <f>1/('Prod. GEXJVL'!K15*'Prod. GEXJVL'!O15)*16*(1/188.76)</f>
        <v>1.7659108568199479E-5</v>
      </c>
      <c r="C194" s="275">
        <f>F140</f>
        <v>5768.3348404867402</v>
      </c>
      <c r="D194" s="275">
        <f>B194*C194</f>
        <v>0.10186365120588298</v>
      </c>
      <c r="E194" s="275">
        <f>F140</f>
        <v>5768.3348404867402</v>
      </c>
      <c r="F194" s="275">
        <f>B194*E194</f>
        <v>0.10186365120588298</v>
      </c>
      <c r="G194" s="275">
        <f>F140</f>
        <v>5768.3348404867402</v>
      </c>
      <c r="H194" s="275">
        <f>B194*G194</f>
        <v>0.10186365120588298</v>
      </c>
      <c r="I194" s="275">
        <f>F140</f>
        <v>5768.3348404867402</v>
      </c>
      <c r="J194" s="275">
        <f>B194*I194</f>
        <v>0.10186365120588298</v>
      </c>
      <c r="K194" s="275">
        <f>F140</f>
        <v>5768.3348404867402</v>
      </c>
      <c r="L194" s="275">
        <f>B194*K194</f>
        <v>0.10186365120588298</v>
      </c>
      <c r="M194" s="275">
        <f>F140</f>
        <v>5768.3348404867402</v>
      </c>
      <c r="N194" s="275">
        <f>B194*M194</f>
        <v>0.10186365120588298</v>
      </c>
      <c r="O194" s="1018"/>
      <c r="P194" s="1019"/>
    </row>
    <row r="195" spans="1:16" x14ac:dyDescent="0.2">
      <c r="A195" s="288" t="s">
        <v>596</v>
      </c>
      <c r="B195" s="289"/>
      <c r="C195" s="290"/>
      <c r="D195" s="291">
        <f>SUM(D193:D194)</f>
        <v>1.5305748233425807</v>
      </c>
      <c r="E195" s="290"/>
      <c r="F195" s="291">
        <f>SUM(F193:F194)</f>
        <v>1.5386695042045451</v>
      </c>
      <c r="G195" s="290"/>
      <c r="H195" s="291">
        <f>SUM(H193:H194)</f>
        <v>1.5468564321418594</v>
      </c>
      <c r="I195" s="291"/>
      <c r="J195" s="291">
        <f>J193+J194</f>
        <v>1.5551371930641287</v>
      </c>
      <c r="K195" s="290"/>
      <c r="L195" s="291">
        <f>SUM(L193:L194)</f>
        <v>1.5635134094437151</v>
      </c>
      <c r="M195" s="290"/>
      <c r="N195" s="291">
        <f>SUM(N193:N194)</f>
        <v>1.5805588876738939</v>
      </c>
      <c r="O195" s="427"/>
      <c r="P195" s="428"/>
    </row>
    <row r="196" spans="1:16" x14ac:dyDescent="0.2">
      <c r="A196" s="273" t="s">
        <v>597</v>
      </c>
      <c r="B196" s="280">
        <f>1/'Prod. GEXJVL'!L15*16*(1/188.76)</f>
        <v>2.8254573709119167E-4</v>
      </c>
      <c r="C196" s="275">
        <f>C139</f>
        <v>5056.5660159848067</v>
      </c>
      <c r="D196" s="275">
        <f>B196*C196</f>
        <v>1.4287111721366976</v>
      </c>
      <c r="E196" s="275">
        <f>C140</f>
        <v>5085.2151152255137</v>
      </c>
      <c r="F196" s="275">
        <f>B196*E196</f>
        <v>1.436805852998662</v>
      </c>
      <c r="G196" s="275">
        <f>C141</f>
        <v>5114.1906999276534</v>
      </c>
      <c r="H196" s="275">
        <f>B196*G196</f>
        <v>1.4449927809359764</v>
      </c>
      <c r="I196" s="275">
        <f>C142</f>
        <v>5143.4983830217952</v>
      </c>
      <c r="J196" s="275">
        <f>B196*I196</f>
        <v>1.4532735418582456</v>
      </c>
      <c r="K196" s="275">
        <f>C143</f>
        <v>5173.1439068432464</v>
      </c>
      <c r="L196" s="275">
        <f>B196*K196</f>
        <v>1.4616497582378321</v>
      </c>
      <c r="M196" s="275">
        <f>C144</f>
        <v>5233.4721156694068</v>
      </c>
      <c r="N196" s="275">
        <f>B196*M196</f>
        <v>1.4786952364680108</v>
      </c>
    </row>
    <row r="197" spans="1:16" x14ac:dyDescent="0.2">
      <c r="A197" s="276" t="s">
        <v>578</v>
      </c>
      <c r="B197" s="280">
        <f>1/('Prod. GEXJVL'!L15*'Prod. GEXJVL'!O15)*16*(1/188.76)</f>
        <v>1.7659108568199479E-5</v>
      </c>
      <c r="C197" s="275">
        <f>F140</f>
        <v>5768.3348404867402</v>
      </c>
      <c r="D197" s="275">
        <f>B197*C197</f>
        <v>0.10186365120588298</v>
      </c>
      <c r="E197" s="275">
        <f>F140</f>
        <v>5768.3348404867402</v>
      </c>
      <c r="F197" s="275">
        <f>B197*E197</f>
        <v>0.10186365120588298</v>
      </c>
      <c r="G197" s="275">
        <f>F140</f>
        <v>5768.3348404867402</v>
      </c>
      <c r="H197" s="275">
        <f>B197*G197</f>
        <v>0.10186365120588298</v>
      </c>
      <c r="I197" s="275">
        <f>F140</f>
        <v>5768.3348404867402</v>
      </c>
      <c r="J197" s="275">
        <f>B197*I197</f>
        <v>0.10186365120588298</v>
      </c>
      <c r="K197" s="275">
        <f>F140</f>
        <v>5768.3348404867402</v>
      </c>
      <c r="L197" s="275">
        <f>B197*K197</f>
        <v>0.10186365120588298</v>
      </c>
      <c r="M197" s="275">
        <f>F140</f>
        <v>5768.3348404867402</v>
      </c>
      <c r="N197" s="275">
        <f>B197*M197</f>
        <v>0.10186365120588298</v>
      </c>
      <c r="O197" s="1018"/>
      <c r="P197" s="1019"/>
    </row>
    <row r="198" spans="1:16" x14ac:dyDescent="0.2">
      <c r="A198" s="288" t="s">
        <v>598</v>
      </c>
      <c r="B198" s="289"/>
      <c r="C198" s="290"/>
      <c r="D198" s="291">
        <f>SUM(D196:D197)</f>
        <v>1.5305748233425807</v>
      </c>
      <c r="E198" s="290"/>
      <c r="F198" s="291">
        <f>SUM(F196:F197)</f>
        <v>1.5386695042045451</v>
      </c>
      <c r="G198" s="290"/>
      <c r="H198" s="291">
        <f>SUM(H196:H197)</f>
        <v>1.5468564321418594</v>
      </c>
      <c r="I198" s="291"/>
      <c r="J198" s="291">
        <f>J196+J197</f>
        <v>1.5551371930641287</v>
      </c>
      <c r="K198" s="290"/>
      <c r="L198" s="291">
        <f>SUM(L196:L197)</f>
        <v>1.5635134094437151</v>
      </c>
      <c r="M198" s="290"/>
      <c r="N198" s="291">
        <f>SUM(N196:N197)</f>
        <v>1.5805588876738939</v>
      </c>
      <c r="O198" s="427"/>
      <c r="P198" s="428"/>
    </row>
    <row r="199" spans="1:16" x14ac:dyDescent="0.2">
      <c r="A199" s="248"/>
    </row>
  </sheetData>
  <mergeCells count="75">
    <mergeCell ref="O191:P191"/>
    <mergeCell ref="O194:P194"/>
    <mergeCell ref="O197:P197"/>
    <mergeCell ref="O179:P179"/>
    <mergeCell ref="A188:B188"/>
    <mergeCell ref="C188:D188"/>
    <mergeCell ref="E188:F188"/>
    <mergeCell ref="G188:H188"/>
    <mergeCell ref="I188:J188"/>
    <mergeCell ref="K188:L188"/>
    <mergeCell ref="M188:N188"/>
    <mergeCell ref="M170:N170"/>
    <mergeCell ref="A176:B176"/>
    <mergeCell ref="C176:D176"/>
    <mergeCell ref="E176:F176"/>
    <mergeCell ref="G176:H176"/>
    <mergeCell ref="I176:J176"/>
    <mergeCell ref="K176:L176"/>
    <mergeCell ref="M176:N176"/>
    <mergeCell ref="A170:B170"/>
    <mergeCell ref="C170:D170"/>
    <mergeCell ref="E170:F170"/>
    <mergeCell ref="G170:H170"/>
    <mergeCell ref="I170:J170"/>
    <mergeCell ref="K170:L170"/>
    <mergeCell ref="M158:N158"/>
    <mergeCell ref="A164:B164"/>
    <mergeCell ref="C164:D164"/>
    <mergeCell ref="E164:F164"/>
    <mergeCell ref="G164:H164"/>
    <mergeCell ref="I164:J164"/>
    <mergeCell ref="K164:L164"/>
    <mergeCell ref="M164:N164"/>
    <mergeCell ref="A158:B158"/>
    <mergeCell ref="C158:D158"/>
    <mergeCell ref="E158:F158"/>
    <mergeCell ref="G158:H158"/>
    <mergeCell ref="I158:J158"/>
    <mergeCell ref="K158:L158"/>
    <mergeCell ref="O155:P155"/>
    <mergeCell ref="A135:B135"/>
    <mergeCell ref="A136:B136"/>
    <mergeCell ref="A137:B137"/>
    <mergeCell ref="A138:B138"/>
    <mergeCell ref="A152:B152"/>
    <mergeCell ref="C152:D152"/>
    <mergeCell ref="E152:F152"/>
    <mergeCell ref="G152:H152"/>
    <mergeCell ref="I152:J152"/>
    <mergeCell ref="K152:L152"/>
    <mergeCell ref="M152:N152"/>
    <mergeCell ref="A134:B134"/>
    <mergeCell ref="A123:F123"/>
    <mergeCell ref="A124:F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15:A120"/>
    <mergeCell ref="A1:F1"/>
    <mergeCell ref="A2:F2"/>
    <mergeCell ref="A3:F3"/>
    <mergeCell ref="A9:F9"/>
    <mergeCell ref="A20:B20"/>
    <mergeCell ref="A21:F21"/>
    <mergeCell ref="A50:B50"/>
    <mergeCell ref="A51:F51"/>
    <mergeCell ref="A61:B61"/>
    <mergeCell ref="A62:F62"/>
    <mergeCell ref="A92:B92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C2E6"/>
  </sheetPr>
  <dimension ref="A1:AME151"/>
  <sheetViews>
    <sheetView zoomScale="80" zoomScaleNormal="80" workbookViewId="0">
      <selection activeCell="W7" sqref="W7"/>
    </sheetView>
  </sheetViews>
  <sheetFormatPr defaultRowHeight="14.25" x14ac:dyDescent="0.2"/>
  <cols>
    <col min="1" max="1" width="55.5" style="92" customWidth="1"/>
    <col min="2" max="2" width="17" style="92" customWidth="1"/>
    <col min="3" max="3" width="15.25" style="92" customWidth="1"/>
    <col min="4" max="4" width="16.25" style="92" customWidth="1"/>
    <col min="5" max="1019" width="9" style="92"/>
  </cols>
  <sheetData>
    <row r="1" spans="1:4" ht="15.75" x14ac:dyDescent="0.2">
      <c r="A1" s="1060" t="s">
        <v>456</v>
      </c>
      <c r="B1" s="1061"/>
      <c r="C1" s="1061"/>
      <c r="D1" s="1062"/>
    </row>
    <row r="2" spans="1:4" ht="15.75" x14ac:dyDescent="0.2">
      <c r="A2" s="1063" t="s">
        <v>457</v>
      </c>
      <c r="B2" s="1044"/>
      <c r="C2" s="1044"/>
      <c r="D2" s="1064"/>
    </row>
    <row r="3" spans="1:4" ht="15.75" customHeight="1" x14ac:dyDescent="0.2">
      <c r="A3" s="1063" t="s">
        <v>458</v>
      </c>
      <c r="B3" s="1044"/>
      <c r="C3" s="1044"/>
      <c r="D3" s="1064"/>
    </row>
    <row r="4" spans="1:4" ht="15.75" x14ac:dyDescent="0.2">
      <c r="A4" s="351"/>
      <c r="B4" s="94"/>
      <c r="C4" s="95" t="s">
        <v>459</v>
      </c>
      <c r="D4" s="352" t="s">
        <v>460</v>
      </c>
    </row>
    <row r="5" spans="1:4" x14ac:dyDescent="0.2">
      <c r="A5" s="353"/>
      <c r="B5" s="97" t="s">
        <v>463</v>
      </c>
      <c r="C5" s="98">
        <f>MC!C11</f>
        <v>1322.72</v>
      </c>
      <c r="D5" s="354">
        <f>MC!E11</f>
        <v>1082.2254545454546</v>
      </c>
    </row>
    <row r="6" spans="1:4" x14ac:dyDescent="0.2">
      <c r="A6" s="353"/>
      <c r="B6" s="97" t="s">
        <v>464</v>
      </c>
      <c r="C6" s="99">
        <f>MC!D8</f>
        <v>44593</v>
      </c>
      <c r="D6" s="355">
        <f>MC!D8</f>
        <v>44593</v>
      </c>
    </row>
    <row r="7" spans="1:4" x14ac:dyDescent="0.2">
      <c r="A7" s="353"/>
      <c r="B7" s="97" t="s">
        <v>465</v>
      </c>
      <c r="C7" s="99" t="str">
        <f>MC!C8</f>
        <v>SC000316/2022</v>
      </c>
      <c r="D7" s="355" t="str">
        <f>MC!C8</f>
        <v>SC000316/2022</v>
      </c>
    </row>
    <row r="8" spans="1:4" x14ac:dyDescent="0.2">
      <c r="A8" s="353"/>
      <c r="B8" s="97" t="s">
        <v>466</v>
      </c>
      <c r="C8" s="100" t="str">
        <f>MC!E8</f>
        <v>5143-20</v>
      </c>
      <c r="D8" s="356" t="str">
        <f>MC!E8</f>
        <v>5143-20</v>
      </c>
    </row>
    <row r="9" spans="1:4" x14ac:dyDescent="0.2">
      <c r="A9" s="1065"/>
      <c r="B9" s="1045"/>
      <c r="C9" s="1045"/>
      <c r="D9" s="1066"/>
    </row>
    <row r="10" spans="1:4" ht="66.75" customHeight="1" x14ac:dyDescent="0.2">
      <c r="A10" s="357" t="s">
        <v>467</v>
      </c>
      <c r="B10" s="188" t="s">
        <v>468</v>
      </c>
      <c r="C10" s="188" t="s">
        <v>599</v>
      </c>
      <c r="D10" s="358" t="s">
        <v>600</v>
      </c>
    </row>
    <row r="11" spans="1:4" ht="14.25" customHeight="1" x14ac:dyDescent="0.2">
      <c r="A11" s="359" t="s">
        <v>471</v>
      </c>
      <c r="B11" s="321"/>
      <c r="C11" s="321"/>
      <c r="D11" s="360"/>
    </row>
    <row r="12" spans="1:4" ht="14.25" customHeight="1" x14ac:dyDescent="0.2">
      <c r="A12" s="361" t="s">
        <v>472</v>
      </c>
      <c r="B12" s="102" t="s">
        <v>473</v>
      </c>
      <c r="C12" s="102" t="s">
        <v>474</v>
      </c>
      <c r="D12" s="362" t="s">
        <v>474</v>
      </c>
    </row>
    <row r="13" spans="1:4" ht="14.25" customHeight="1" x14ac:dyDescent="0.2">
      <c r="A13" s="363" t="s">
        <v>475</v>
      </c>
      <c r="B13" s="105"/>
      <c r="C13" s="106">
        <f>C5</f>
        <v>1322.72</v>
      </c>
      <c r="D13" s="364">
        <f>D5</f>
        <v>1082.2254545454546</v>
      </c>
    </row>
    <row r="14" spans="1:4" ht="14.25" customHeight="1" x14ac:dyDescent="0.2">
      <c r="A14" s="363" t="s">
        <v>476</v>
      </c>
      <c r="B14" s="417">
        <v>0.2</v>
      </c>
      <c r="C14" s="106">
        <f>C13*$B$14</f>
        <v>264.54400000000004</v>
      </c>
      <c r="D14" s="364">
        <f>D13*$B$14</f>
        <v>216.44509090909094</v>
      </c>
    </row>
    <row r="15" spans="1:4" ht="14.25" customHeight="1" x14ac:dyDescent="0.2">
      <c r="A15" s="363" t="s">
        <v>477</v>
      </c>
      <c r="B15" s="109"/>
      <c r="C15" s="106"/>
      <c r="D15" s="364"/>
    </row>
    <row r="16" spans="1:4" ht="14.25" customHeight="1" x14ac:dyDescent="0.2">
      <c r="A16" s="363" t="s">
        <v>478</v>
      </c>
      <c r="B16" s="109"/>
      <c r="C16" s="106"/>
      <c r="D16" s="364"/>
    </row>
    <row r="17" spans="1:4" ht="14.25" customHeight="1" x14ac:dyDescent="0.2">
      <c r="A17" s="363" t="s">
        <v>479</v>
      </c>
      <c r="B17" s="109"/>
      <c r="C17" s="106"/>
      <c r="D17" s="364"/>
    </row>
    <row r="18" spans="1:4" ht="14.25" customHeight="1" x14ac:dyDescent="0.2">
      <c r="A18" s="363" t="s">
        <v>601</v>
      </c>
      <c r="B18" s="110"/>
      <c r="C18" s="106"/>
      <c r="D18" s="364"/>
    </row>
    <row r="19" spans="1:4" ht="14.25" customHeight="1" x14ac:dyDescent="0.2">
      <c r="A19" s="365" t="s">
        <v>481</v>
      </c>
      <c r="B19" s="112"/>
      <c r="C19" s="121">
        <f>SUM(C13:C18)</f>
        <v>1587.2640000000001</v>
      </c>
      <c r="D19" s="366">
        <f>SUM(D13:D18)</f>
        <v>1298.6705454545454</v>
      </c>
    </row>
    <row r="20" spans="1:4" ht="14.25" customHeight="1" x14ac:dyDescent="0.2">
      <c r="A20" s="1049"/>
      <c r="B20" s="1037"/>
      <c r="C20" s="114"/>
      <c r="D20" s="368"/>
    </row>
    <row r="21" spans="1:4" ht="14.25" customHeight="1" x14ac:dyDescent="0.2">
      <c r="A21" s="1050" t="s">
        <v>482</v>
      </c>
      <c r="B21" s="1042"/>
      <c r="C21" s="1042"/>
      <c r="D21" s="1051"/>
    </row>
    <row r="22" spans="1:4" ht="14.25" customHeight="1" x14ac:dyDescent="0.2">
      <c r="A22" s="369" t="s">
        <v>483</v>
      </c>
      <c r="B22" s="117" t="s">
        <v>473</v>
      </c>
      <c r="C22" s="117" t="s">
        <v>474</v>
      </c>
      <c r="D22" s="370" t="s">
        <v>474</v>
      </c>
    </row>
    <row r="23" spans="1:4" ht="14.25" customHeight="1" x14ac:dyDescent="0.2">
      <c r="A23" s="371" t="s">
        <v>484</v>
      </c>
      <c r="B23" s="108">
        <f>1/12</f>
        <v>8.3333333333333329E-2</v>
      </c>
      <c r="C23" s="106">
        <f>ROUND($B23*C$19,2)</f>
        <v>132.27000000000001</v>
      </c>
      <c r="D23" s="364">
        <f>ROUND($B23*D$19,2)</f>
        <v>108.22</v>
      </c>
    </row>
    <row r="24" spans="1:4" ht="14.25" customHeight="1" x14ac:dyDescent="0.2">
      <c r="A24" s="371" t="s">
        <v>485</v>
      </c>
      <c r="B24" s="108">
        <f>1/3*1/12</f>
        <v>2.7777777777777776E-2</v>
      </c>
      <c r="C24" s="106">
        <f>C$19*$B$24</f>
        <v>44.090666666666671</v>
      </c>
      <c r="D24" s="364">
        <f>D$19*$B$24</f>
        <v>36.074181818181813</v>
      </c>
    </row>
    <row r="25" spans="1:4" ht="14.25" customHeight="1" x14ac:dyDescent="0.2">
      <c r="A25" s="365" t="s">
        <v>481</v>
      </c>
      <c r="B25" s="120">
        <f>SUM(B23:B24)</f>
        <v>0.1111111111111111</v>
      </c>
      <c r="C25" s="121">
        <f>SUM(C23:C24)</f>
        <v>176.36066666666667</v>
      </c>
      <c r="D25" s="366">
        <f>SUM(D23:D24)</f>
        <v>144.29418181818181</v>
      </c>
    </row>
    <row r="26" spans="1:4" ht="14.25" customHeight="1" x14ac:dyDescent="0.2">
      <c r="A26" s="369" t="s">
        <v>486</v>
      </c>
      <c r="B26" s="117" t="s">
        <v>473</v>
      </c>
      <c r="C26" s="117" t="s">
        <v>474</v>
      </c>
      <c r="D26" s="370" t="s">
        <v>474</v>
      </c>
    </row>
    <row r="27" spans="1:4" ht="14.25" customHeight="1" x14ac:dyDescent="0.2">
      <c r="A27" s="369" t="s">
        <v>487</v>
      </c>
      <c r="B27" s="123"/>
      <c r="C27" s="123"/>
      <c r="D27" s="372"/>
    </row>
    <row r="28" spans="1:4" ht="14.25" customHeight="1" x14ac:dyDescent="0.2">
      <c r="A28" s="371" t="s">
        <v>488</v>
      </c>
      <c r="B28" s="108">
        <v>0.2</v>
      </c>
      <c r="C28" s="125">
        <f t="shared" ref="C28:C35" si="0">ROUND(($C$19+$C$25)*B28,2)</f>
        <v>352.72</v>
      </c>
      <c r="D28" s="373">
        <f t="shared" ref="D28:D35" si="1">ROUND(($D$19+$D$25)*B28,2)</f>
        <v>288.58999999999997</v>
      </c>
    </row>
    <row r="29" spans="1:4" ht="14.25" customHeight="1" x14ac:dyDescent="0.2">
      <c r="A29" s="371" t="s">
        <v>489</v>
      </c>
      <c r="B29" s="108">
        <v>2.5000000000000001E-2</v>
      </c>
      <c r="C29" s="125">
        <f t="shared" si="0"/>
        <v>44.09</v>
      </c>
      <c r="D29" s="373">
        <f t="shared" si="1"/>
        <v>36.07</v>
      </c>
    </row>
    <row r="30" spans="1:4" ht="14.25" customHeight="1" x14ac:dyDescent="0.2">
      <c r="A30" s="371" t="s">
        <v>490</v>
      </c>
      <c r="B30" s="108">
        <v>0.03</v>
      </c>
      <c r="C30" s="125">
        <f t="shared" si="0"/>
        <v>52.91</v>
      </c>
      <c r="D30" s="373">
        <f t="shared" si="1"/>
        <v>43.29</v>
      </c>
    </row>
    <row r="31" spans="1:4" ht="14.25" customHeight="1" x14ac:dyDescent="0.2">
      <c r="A31" s="371" t="s">
        <v>491</v>
      </c>
      <c r="B31" s="108">
        <v>1.4999999999999999E-2</v>
      </c>
      <c r="C31" s="125">
        <f t="shared" si="0"/>
        <v>26.45</v>
      </c>
      <c r="D31" s="373">
        <f t="shared" si="1"/>
        <v>21.64</v>
      </c>
    </row>
    <row r="32" spans="1:4" ht="14.25" customHeight="1" x14ac:dyDescent="0.2">
      <c r="A32" s="371" t="s">
        <v>492</v>
      </c>
      <c r="B32" s="108">
        <v>0.01</v>
      </c>
      <c r="C32" s="125">
        <f t="shared" si="0"/>
        <v>17.64</v>
      </c>
      <c r="D32" s="373">
        <f t="shared" si="1"/>
        <v>14.43</v>
      </c>
    </row>
    <row r="33" spans="1:4" ht="14.25" customHeight="1" x14ac:dyDescent="0.2">
      <c r="A33" s="371" t="s">
        <v>493</v>
      </c>
      <c r="B33" s="108">
        <v>6.0000000000000001E-3</v>
      </c>
      <c r="C33" s="125">
        <f t="shared" si="0"/>
        <v>10.58</v>
      </c>
      <c r="D33" s="373">
        <f t="shared" si="1"/>
        <v>8.66</v>
      </c>
    </row>
    <row r="34" spans="1:4" ht="14.25" customHeight="1" x14ac:dyDescent="0.2">
      <c r="A34" s="371" t="s">
        <v>494</v>
      </c>
      <c r="B34" s="108">
        <v>2E-3</v>
      </c>
      <c r="C34" s="125">
        <f t="shared" si="0"/>
        <v>3.53</v>
      </c>
      <c r="D34" s="373">
        <f t="shared" si="1"/>
        <v>2.89</v>
      </c>
    </row>
    <row r="35" spans="1:4" ht="14.25" customHeight="1" x14ac:dyDescent="0.2">
      <c r="A35" s="371" t="s">
        <v>495</v>
      </c>
      <c r="B35" s="108">
        <v>0.08</v>
      </c>
      <c r="C35" s="125">
        <f t="shared" si="0"/>
        <v>141.09</v>
      </c>
      <c r="D35" s="373">
        <f t="shared" si="1"/>
        <v>115.44</v>
      </c>
    </row>
    <row r="36" spans="1:4" ht="14.25" customHeight="1" x14ac:dyDescent="0.2">
      <c r="A36" s="365" t="s">
        <v>481</v>
      </c>
      <c r="B36" s="120">
        <f>SUM(B28:B35)</f>
        <v>0.36800000000000005</v>
      </c>
      <c r="C36" s="121">
        <f>SUM(C27:C35)</f>
        <v>649.01</v>
      </c>
      <c r="D36" s="366">
        <f>SUM(D27:D35)</f>
        <v>531.01</v>
      </c>
    </row>
    <row r="37" spans="1:4" ht="14.25" customHeight="1" x14ac:dyDescent="0.2">
      <c r="A37" s="369" t="s">
        <v>496</v>
      </c>
      <c r="B37" s="117" t="s">
        <v>497</v>
      </c>
      <c r="C37" s="117" t="s">
        <v>474</v>
      </c>
      <c r="D37" s="370" t="s">
        <v>474</v>
      </c>
    </row>
    <row r="38" spans="1:4" ht="14.25" customHeight="1" x14ac:dyDescent="0.2">
      <c r="A38" s="119" t="s">
        <v>498</v>
      </c>
      <c r="B38" s="127">
        <f>MC!P84</f>
        <v>4.3500000000000014</v>
      </c>
      <c r="C38" s="106">
        <f>ROUND(((2*22*$B$38)-0.06*C$13),2)</f>
        <v>112.04</v>
      </c>
      <c r="D38" s="364">
        <f>ROUND(((2*22*$B$38)-0.06*D$13),2)</f>
        <v>126.47</v>
      </c>
    </row>
    <row r="39" spans="1:4" ht="14.25" customHeight="1" x14ac:dyDescent="0.2">
      <c r="A39" s="478" t="s">
        <v>499</v>
      </c>
      <c r="B39" s="128"/>
      <c r="C39" s="125">
        <f>MC!E21</f>
        <v>437.34</v>
      </c>
      <c r="D39" s="373">
        <f>MC!E22</f>
        <v>359.59</v>
      </c>
    </row>
    <row r="40" spans="1:4" ht="14.25" customHeight="1" x14ac:dyDescent="0.2">
      <c r="A40" s="119" t="s">
        <v>500</v>
      </c>
      <c r="B40" s="108">
        <f>MC!C26</f>
        <v>0</v>
      </c>
      <c r="C40" s="125"/>
      <c r="D40" s="373"/>
    </row>
    <row r="41" spans="1:4" ht="14.25" customHeight="1" x14ac:dyDescent="0.2">
      <c r="A41" s="119" t="s">
        <v>501</v>
      </c>
      <c r="B41" s="129">
        <f>MC!E25</f>
        <v>11</v>
      </c>
      <c r="C41" s="125">
        <f>B41</f>
        <v>11</v>
      </c>
      <c r="D41" s="373">
        <f>B41</f>
        <v>11</v>
      </c>
    </row>
    <row r="42" spans="1:4" ht="14.25" customHeight="1" x14ac:dyDescent="0.2">
      <c r="A42" s="119" t="s">
        <v>502</v>
      </c>
      <c r="B42" s="567">
        <f>MC!C24</f>
        <v>7.0000000000000007E-2</v>
      </c>
      <c r="C42" s="125">
        <f>$B$42*C19</f>
        <v>111.10848000000001</v>
      </c>
      <c r="D42" s="125">
        <f>$B$42*D19</f>
        <v>90.906938181818191</v>
      </c>
    </row>
    <row r="43" spans="1:4" ht="14.25" customHeight="1" x14ac:dyDescent="0.2">
      <c r="A43" s="119" t="s">
        <v>503</v>
      </c>
      <c r="B43" s="108"/>
      <c r="C43" s="125"/>
      <c r="D43" s="373"/>
    </row>
    <row r="44" spans="1:4" ht="14.25" customHeight="1" x14ac:dyDescent="0.2">
      <c r="A44" s="365" t="s">
        <v>481</v>
      </c>
      <c r="B44" s="112"/>
      <c r="C44" s="121">
        <f>SUM(C38:C43)</f>
        <v>671.48847999999998</v>
      </c>
      <c r="D44" s="366">
        <f>SUM(D38:D43)</f>
        <v>587.96693818181814</v>
      </c>
    </row>
    <row r="45" spans="1:4" ht="14.25" customHeight="1" x14ac:dyDescent="0.2">
      <c r="A45" s="361" t="s">
        <v>504</v>
      </c>
      <c r="B45" s="102" t="s">
        <v>473</v>
      </c>
      <c r="C45" s="102" t="s">
        <v>474</v>
      </c>
      <c r="D45" s="362" t="s">
        <v>474</v>
      </c>
    </row>
    <row r="46" spans="1:4" ht="14.25" customHeight="1" x14ac:dyDescent="0.2">
      <c r="A46" s="371" t="s">
        <v>483</v>
      </c>
      <c r="B46" s="130">
        <f>B25</f>
        <v>0.1111111111111111</v>
      </c>
      <c r="C46" s="131">
        <f>C25</f>
        <v>176.36066666666667</v>
      </c>
      <c r="D46" s="374">
        <f>D25</f>
        <v>144.29418181818181</v>
      </c>
    </row>
    <row r="47" spans="1:4" ht="14.25" customHeight="1" x14ac:dyDescent="0.2">
      <c r="A47" s="371" t="s">
        <v>505</v>
      </c>
      <c r="B47" s="130">
        <f>B36</f>
        <v>0.36800000000000005</v>
      </c>
      <c r="C47" s="131">
        <f>C36</f>
        <v>649.01</v>
      </c>
      <c r="D47" s="374">
        <f>D36</f>
        <v>531.01</v>
      </c>
    </row>
    <row r="48" spans="1:4" ht="14.25" customHeight="1" x14ac:dyDescent="0.2">
      <c r="A48" s="371" t="s">
        <v>496</v>
      </c>
      <c r="B48" s="130"/>
      <c r="C48" s="131">
        <f>C44</f>
        <v>671.48847999999998</v>
      </c>
      <c r="D48" s="374">
        <f>D44</f>
        <v>587.96693818181814</v>
      </c>
    </row>
    <row r="49" spans="1:4" ht="14.25" customHeight="1" x14ac:dyDescent="0.2">
      <c r="A49" s="365" t="s">
        <v>481</v>
      </c>
      <c r="B49" s="112"/>
      <c r="C49" s="121">
        <f>SUM(C46:C48)</f>
        <v>1496.8591466666667</v>
      </c>
      <c r="D49" s="366">
        <f>SUM(D46:D48)</f>
        <v>1263.2711199999999</v>
      </c>
    </row>
    <row r="50" spans="1:4" ht="14.25" customHeight="1" x14ac:dyDescent="0.2">
      <c r="A50" s="1049"/>
      <c r="B50" s="1037"/>
      <c r="C50" s="114"/>
      <c r="D50" s="368"/>
    </row>
    <row r="51" spans="1:4" s="133" customFormat="1" ht="14.25" customHeight="1" x14ac:dyDescent="0.2">
      <c r="A51" s="1050" t="s">
        <v>506</v>
      </c>
      <c r="B51" s="1042"/>
      <c r="C51" s="1042"/>
      <c r="D51" s="1051"/>
    </row>
    <row r="52" spans="1:4" ht="14.25" customHeight="1" x14ac:dyDescent="0.2">
      <c r="A52" s="361" t="s">
        <v>507</v>
      </c>
      <c r="B52" s="102" t="s">
        <v>473</v>
      </c>
      <c r="C52" s="102" t="s">
        <v>474</v>
      </c>
      <c r="D52" s="362" t="s">
        <v>474</v>
      </c>
    </row>
    <row r="53" spans="1:4" ht="14.25" customHeight="1" x14ac:dyDescent="0.2">
      <c r="A53" s="369" t="s">
        <v>508</v>
      </c>
      <c r="B53" s="134"/>
      <c r="C53" s="134"/>
      <c r="D53" s="375"/>
    </row>
    <row r="54" spans="1:4" ht="14.25" customHeight="1" x14ac:dyDescent="0.2">
      <c r="A54" s="371" t="s">
        <v>509</v>
      </c>
      <c r="B54" s="130">
        <f>1/12*0.05</f>
        <v>4.1666666666666666E-3</v>
      </c>
      <c r="C54" s="136">
        <f>C19*$B54</f>
        <v>6.6136000000000008</v>
      </c>
      <c r="D54" s="376">
        <f t="shared" ref="D54" si="2">D19*$B54</f>
        <v>5.4111272727272723</v>
      </c>
    </row>
    <row r="55" spans="1:4" ht="14.25" customHeight="1" x14ac:dyDescent="0.2">
      <c r="A55" s="371" t="s">
        <v>510</v>
      </c>
      <c r="B55" s="130">
        <f>B35*B54</f>
        <v>3.3333333333333332E-4</v>
      </c>
      <c r="C55" s="136">
        <f>$B$55*C19</f>
        <v>0.529088</v>
      </c>
      <c r="D55" s="376">
        <f t="shared" ref="D55" si="3">$B$55*D19</f>
        <v>0.43289018181818179</v>
      </c>
    </row>
    <row r="56" spans="1:4" ht="14.25" customHeight="1" x14ac:dyDescent="0.2">
      <c r="A56" s="371" t="s">
        <v>511</v>
      </c>
      <c r="B56" s="130">
        <v>0</v>
      </c>
      <c r="C56" s="136">
        <f>C35*$B56</f>
        <v>0</v>
      </c>
      <c r="D56" s="376">
        <f t="shared" ref="D56" si="4">D35*$B56</f>
        <v>0</v>
      </c>
    </row>
    <row r="57" spans="1:4" ht="14.25" customHeight="1" x14ac:dyDescent="0.2">
      <c r="A57" s="371" t="s">
        <v>512</v>
      </c>
      <c r="B57" s="130">
        <f>1/12*1/30*7</f>
        <v>1.9444444444444441E-2</v>
      </c>
      <c r="C57" s="131">
        <f>C19*$B57</f>
        <v>30.863466666666664</v>
      </c>
      <c r="D57" s="374">
        <f t="shared" ref="D57" si="5">D19*$B57</f>
        <v>25.251927272727269</v>
      </c>
    </row>
    <row r="58" spans="1:4" ht="14.25" customHeight="1" x14ac:dyDescent="0.2">
      <c r="A58" s="371" t="s">
        <v>513</v>
      </c>
      <c r="B58" s="130">
        <f>B36*B57</f>
        <v>7.1555555555555556E-3</v>
      </c>
      <c r="C58" s="131">
        <f>$B58*C19</f>
        <v>11.357755733333335</v>
      </c>
      <c r="D58" s="374">
        <f t="shared" ref="D58" si="6">$B58*D19</f>
        <v>9.2927092363636365</v>
      </c>
    </row>
    <row r="59" spans="1:4" ht="14.25" customHeight="1" x14ac:dyDescent="0.2">
      <c r="A59" s="371" t="s">
        <v>514</v>
      </c>
      <c r="B59" s="130">
        <f>B35*40/100*90/100*(1+1/12+1/12+1/3*1/12)</f>
        <v>3.4399999999999993E-2</v>
      </c>
      <c r="C59" s="131">
        <f>C19*$B59</f>
        <v>54.601881599999992</v>
      </c>
      <c r="D59" s="374">
        <f t="shared" ref="D59" si="7">D19*$B59</f>
        <v>44.674266763636354</v>
      </c>
    </row>
    <row r="60" spans="1:4" ht="14.25" customHeight="1" x14ac:dyDescent="0.2">
      <c r="A60" s="365" t="s">
        <v>481</v>
      </c>
      <c r="B60" s="120">
        <f>SUM(B54:B59)</f>
        <v>6.5499999999999989E-2</v>
      </c>
      <c r="C60" s="137">
        <f>SUM(C54:C59)</f>
        <v>103.96579199999999</v>
      </c>
      <c r="D60" s="377">
        <f>SUM(D54:D59)</f>
        <v>85.062920727272711</v>
      </c>
    </row>
    <row r="61" spans="1:4" ht="14.25" customHeight="1" x14ac:dyDescent="0.2">
      <c r="A61" s="1049"/>
      <c r="B61" s="1037"/>
      <c r="C61" s="322"/>
      <c r="D61" s="378"/>
    </row>
    <row r="62" spans="1:4" ht="14.25" customHeight="1" x14ac:dyDescent="0.2">
      <c r="A62" s="1050" t="s">
        <v>515</v>
      </c>
      <c r="B62" s="1042"/>
      <c r="C62" s="1042"/>
      <c r="D62" s="1051"/>
    </row>
    <row r="63" spans="1:4" ht="14.25" customHeight="1" x14ac:dyDescent="0.2">
      <c r="A63" s="369" t="s">
        <v>49</v>
      </c>
      <c r="B63" s="117"/>
      <c r="C63" s="117"/>
      <c r="D63" s="370"/>
    </row>
    <row r="64" spans="1:4" ht="14.25" customHeight="1" x14ac:dyDescent="0.2">
      <c r="A64" s="371" t="s">
        <v>50</v>
      </c>
      <c r="B64" s="108">
        <f>1/12</f>
        <v>8.3333333333333329E-2</v>
      </c>
      <c r="C64" s="125">
        <f>B64*($C$19+$C$49+$C$60)</f>
        <v>265.67407822222219</v>
      </c>
      <c r="D64" s="373">
        <f>B64*($D$19+$D$49+$D$60)</f>
        <v>220.58371551515148</v>
      </c>
    </row>
    <row r="65" spans="1:4" ht="14.25" customHeight="1" x14ac:dyDescent="0.2">
      <c r="A65" s="371" t="s">
        <v>516</v>
      </c>
      <c r="B65" s="108">
        <f>MC!E56/30/12</f>
        <v>1.3538888888888885E-2</v>
      </c>
      <c r="C65" s="125">
        <f>B65*($C$19+$C$49+$C$60)</f>
        <v>43.163181908503695</v>
      </c>
      <c r="D65" s="373">
        <f>B65*($D$19+$D$49+$D$60)</f>
        <v>35.837500980694934</v>
      </c>
    </row>
    <row r="66" spans="1:4" ht="14.25" customHeight="1" x14ac:dyDescent="0.2">
      <c r="A66" s="371" t="s">
        <v>517</v>
      </c>
      <c r="B66" s="139">
        <f>(5/30)/12*MC!F58*MC!C59</f>
        <v>1.0764583333333333E-4</v>
      </c>
      <c r="C66" s="125">
        <f>B66*($C$19+$C$49+$C$60)</f>
        <v>0.34318449054355554</v>
      </c>
      <c r="D66" s="373">
        <f>B66*($D$19+$D$49+$D$60)</f>
        <v>0.28493901451669695</v>
      </c>
    </row>
    <row r="67" spans="1:4" ht="14.25" customHeight="1" x14ac:dyDescent="0.2">
      <c r="A67" s="371" t="s">
        <v>518</v>
      </c>
      <c r="B67" s="139">
        <f>MC!C61/30/12</f>
        <v>2.6830555555555553E-3</v>
      </c>
      <c r="C67" s="125">
        <f>B67*($C$19+$C$49+$C$60)</f>
        <v>8.5538197384948145</v>
      </c>
      <c r="D67" s="373">
        <f>B67*($D$19+$D$49+$D$60)</f>
        <v>7.1020603605361607</v>
      </c>
    </row>
    <row r="68" spans="1:4" ht="14.25" customHeight="1" x14ac:dyDescent="0.2">
      <c r="A68" s="371" t="s">
        <v>519</v>
      </c>
      <c r="B68" s="108"/>
      <c r="C68" s="125"/>
      <c r="D68" s="373"/>
    </row>
    <row r="69" spans="1:4" ht="14.25" customHeight="1" x14ac:dyDescent="0.2">
      <c r="A69" s="379" t="s">
        <v>520</v>
      </c>
      <c r="B69" s="141">
        <f>SUM(B64:B68)</f>
        <v>9.9662923611111107E-2</v>
      </c>
      <c r="C69" s="142">
        <f>SUM(C64:C68)</f>
        <v>317.73426435976427</v>
      </c>
      <c r="D69" s="380">
        <f>SUM(D64:D68)</f>
        <v>263.80821587089923</v>
      </c>
    </row>
    <row r="70" spans="1:4" ht="14.25" customHeight="1" x14ac:dyDescent="0.2">
      <c r="A70" s="369" t="s">
        <v>521</v>
      </c>
      <c r="B70" s="117"/>
      <c r="C70" s="117"/>
      <c r="D70" s="370"/>
    </row>
    <row r="71" spans="1:4" ht="14.25" customHeight="1" x14ac:dyDescent="0.2">
      <c r="A71" s="371" t="s">
        <v>522</v>
      </c>
      <c r="B71" s="108"/>
      <c r="C71" s="125"/>
      <c r="D71" s="373"/>
    </row>
    <row r="72" spans="1:4" ht="14.25" customHeight="1" x14ac:dyDescent="0.2">
      <c r="A72" s="379" t="s">
        <v>520</v>
      </c>
      <c r="B72" s="141"/>
      <c r="C72" s="142">
        <f>C71</f>
        <v>0</v>
      </c>
      <c r="D72" s="380"/>
    </row>
    <row r="73" spans="1:4" ht="14.25" customHeight="1" x14ac:dyDescent="0.2">
      <c r="A73" s="369" t="s">
        <v>71</v>
      </c>
      <c r="B73" s="117"/>
      <c r="C73" s="117"/>
      <c r="D73" s="370"/>
    </row>
    <row r="74" spans="1:4" ht="14.25" customHeight="1" x14ac:dyDescent="0.2">
      <c r="A74" s="371" t="s">
        <v>72</v>
      </c>
      <c r="B74" s="108">
        <f>120/30*MC!C64*MC!C65</f>
        <v>6.18624E-3</v>
      </c>
      <c r="C74" s="125">
        <f>(((C19*2)+ (C19*1/3))+(C36)+(C44-C38-C39))*$B$74</f>
        <v>27.681781429555201</v>
      </c>
      <c r="D74" s="373">
        <f>(((D19*2)+ (D19*1/3))+(D36)+(D44-D38-D39))*$B$74</f>
        <v>22.66111398825425</v>
      </c>
    </row>
    <row r="75" spans="1:4" ht="14.25" customHeight="1" x14ac:dyDescent="0.2">
      <c r="A75" s="379" t="s">
        <v>481</v>
      </c>
      <c r="B75" s="141"/>
      <c r="C75" s="142"/>
      <c r="D75" s="380"/>
    </row>
    <row r="76" spans="1:4" ht="14.25" customHeight="1" x14ac:dyDescent="0.2">
      <c r="A76" s="361" t="s">
        <v>523</v>
      </c>
      <c r="B76" s="102"/>
      <c r="C76" s="102"/>
      <c r="D76" s="362"/>
    </row>
    <row r="77" spans="1:4" ht="14.25" customHeight="1" x14ac:dyDescent="0.2">
      <c r="A77" s="371" t="s">
        <v>49</v>
      </c>
      <c r="B77" s="130">
        <f>B69</f>
        <v>9.9662923611111107E-2</v>
      </c>
      <c r="C77" s="131">
        <f>C69</f>
        <v>317.73426435976427</v>
      </c>
      <c r="D77" s="374">
        <f>D69</f>
        <v>263.80821587089923</v>
      </c>
    </row>
    <row r="78" spans="1:4" ht="14.25" customHeight="1" x14ac:dyDescent="0.2">
      <c r="A78" s="371" t="s">
        <v>521</v>
      </c>
      <c r="B78" s="130">
        <f>B72</f>
        <v>0</v>
      </c>
      <c r="C78" s="131">
        <f>C72</f>
        <v>0</v>
      </c>
      <c r="D78" s="374">
        <f>D72</f>
        <v>0</v>
      </c>
    </row>
    <row r="79" spans="1:4" ht="14.25" customHeight="1" x14ac:dyDescent="0.2">
      <c r="A79" s="371" t="s">
        <v>71</v>
      </c>
      <c r="B79" s="130">
        <f>B74</f>
        <v>6.18624E-3</v>
      </c>
      <c r="C79" s="131">
        <f>C74</f>
        <v>27.681781429555201</v>
      </c>
      <c r="D79" s="374">
        <f>D74</f>
        <v>22.66111398825425</v>
      </c>
    </row>
    <row r="80" spans="1:4" ht="14.25" customHeight="1" x14ac:dyDescent="0.2">
      <c r="A80" s="365" t="s">
        <v>481</v>
      </c>
      <c r="B80" s="112"/>
      <c r="C80" s="121">
        <f>SUM(C77:C79)</f>
        <v>345.41604578931947</v>
      </c>
      <c r="D80" s="366">
        <f>SUM(D77:D79)</f>
        <v>286.4693298591535</v>
      </c>
    </row>
    <row r="81" spans="1:4" ht="14.25" customHeight="1" x14ac:dyDescent="0.2">
      <c r="A81" s="367"/>
      <c r="B81" s="114"/>
      <c r="C81" s="114"/>
      <c r="D81" s="368"/>
    </row>
    <row r="82" spans="1:4" ht="14.25" customHeight="1" x14ac:dyDescent="0.2">
      <c r="A82" s="381" t="s">
        <v>524</v>
      </c>
      <c r="B82" s="200"/>
      <c r="C82" s="200"/>
      <c r="D82" s="382"/>
    </row>
    <row r="83" spans="1:4" ht="14.25" customHeight="1" x14ac:dyDescent="0.2">
      <c r="A83" s="361" t="s">
        <v>525</v>
      </c>
      <c r="B83" s="102" t="s">
        <v>497</v>
      </c>
      <c r="C83" s="102" t="s">
        <v>474</v>
      </c>
      <c r="D83" s="362" t="s">
        <v>474</v>
      </c>
    </row>
    <row r="84" spans="1:4" ht="14.25" customHeight="1" x14ac:dyDescent="0.2">
      <c r="A84" s="371" t="s">
        <v>526</v>
      </c>
      <c r="B84" s="414">
        <f>Insumos!G117</f>
        <v>27.875416666666666</v>
      </c>
      <c r="C84" s="106">
        <f>B84</f>
        <v>27.875416666666666</v>
      </c>
      <c r="D84" s="364">
        <f>B84</f>
        <v>27.875416666666666</v>
      </c>
    </row>
    <row r="85" spans="1:4" ht="14.25" customHeight="1" x14ac:dyDescent="0.2">
      <c r="A85" s="383" t="s">
        <v>527</v>
      </c>
      <c r="B85" s="414">
        <f>Insumos!G69</f>
        <v>247.1166666666667</v>
      </c>
      <c r="C85" s="106">
        <f>B85</f>
        <v>247.1166666666667</v>
      </c>
      <c r="D85" s="364">
        <f>B85</f>
        <v>247.1166666666667</v>
      </c>
    </row>
    <row r="86" spans="1:4" ht="14.25" customHeight="1" x14ac:dyDescent="0.2">
      <c r="A86" s="383" t="s">
        <v>528</v>
      </c>
      <c r="B86" s="415">
        <v>0</v>
      </c>
      <c r="C86" s="106"/>
      <c r="D86" s="364"/>
    </row>
    <row r="87" spans="1:4" ht="14.25" customHeight="1" x14ac:dyDescent="0.2">
      <c r="A87" s="383" t="s">
        <v>529</v>
      </c>
      <c r="B87" s="416"/>
      <c r="C87" s="106">
        <f>Insumos!I122</f>
        <v>142.21333333333334</v>
      </c>
      <c r="D87" s="364">
        <f>Insumos!H122</f>
        <v>122.52333333333333</v>
      </c>
    </row>
    <row r="88" spans="1:4" ht="14.25" customHeight="1" x14ac:dyDescent="0.2">
      <c r="A88" s="383" t="s">
        <v>530</v>
      </c>
      <c r="B88" s="417">
        <v>0</v>
      </c>
      <c r="C88" s="106"/>
      <c r="D88" s="364"/>
    </row>
    <row r="89" spans="1:4" ht="14.25" customHeight="1" x14ac:dyDescent="0.2">
      <c r="A89" s="383" t="s">
        <v>602</v>
      </c>
      <c r="B89" s="414">
        <v>0</v>
      </c>
      <c r="C89" s="106"/>
      <c r="D89" s="364"/>
    </row>
    <row r="90" spans="1:4" ht="14.25" customHeight="1" x14ac:dyDescent="0.2">
      <c r="A90" s="383" t="s">
        <v>603</v>
      </c>
      <c r="B90" s="414">
        <v>0</v>
      </c>
      <c r="C90" s="106"/>
      <c r="D90" s="364"/>
    </row>
    <row r="91" spans="1:4" ht="14.25" customHeight="1" x14ac:dyDescent="0.2">
      <c r="A91" s="379" t="s">
        <v>481</v>
      </c>
      <c r="B91" s="147"/>
      <c r="C91" s="142">
        <f>SUM(C84:C90)</f>
        <v>417.20541666666668</v>
      </c>
      <c r="D91" s="380">
        <f t="shared" ref="D91" si="8">SUM(D84:D90)</f>
        <v>397.51541666666668</v>
      </c>
    </row>
    <row r="92" spans="1:4" ht="14.25" customHeight="1" x14ac:dyDescent="0.2">
      <c r="A92" s="1049"/>
      <c r="B92" s="1037"/>
      <c r="C92" s="148"/>
      <c r="D92" s="384"/>
    </row>
    <row r="93" spans="1:4" ht="14.25" customHeight="1" x14ac:dyDescent="0.2">
      <c r="A93" s="381" t="s">
        <v>533</v>
      </c>
      <c r="B93" s="200"/>
      <c r="C93" s="200"/>
      <c r="D93" s="382"/>
    </row>
    <row r="94" spans="1:4" ht="14.25" customHeight="1" x14ac:dyDescent="0.2">
      <c r="A94" s="361" t="s">
        <v>534</v>
      </c>
      <c r="B94" s="102" t="s">
        <v>473</v>
      </c>
      <c r="C94" s="102" t="s">
        <v>474</v>
      </c>
      <c r="D94" s="362" t="s">
        <v>474</v>
      </c>
    </row>
    <row r="95" spans="1:4" ht="14.25" customHeight="1" x14ac:dyDescent="0.2">
      <c r="A95" s="363" t="s">
        <v>77</v>
      </c>
      <c r="B95" s="108">
        <v>0.03</v>
      </c>
      <c r="C95" s="125">
        <f>($C$19+$C$49+$C$60+$C$80+$C$91)*$B$95</f>
        <v>118.52131203367958</v>
      </c>
      <c r="D95" s="373">
        <f>($D$19+$D$49+$D$60+$D$80+$D$91)*$B$95</f>
        <v>99.929679981229143</v>
      </c>
    </row>
    <row r="96" spans="1:4" ht="14.25" customHeight="1" x14ac:dyDescent="0.2">
      <c r="A96" s="363" t="s">
        <v>78</v>
      </c>
      <c r="B96" s="108">
        <v>6.7900000000000002E-2</v>
      </c>
      <c r="C96" s="125">
        <f>($C$19+$C$49+$C$60+$C$80+$C$91+C95)*B96</f>
        <v>276.30083332331498</v>
      </c>
      <c r="D96" s="373">
        <f>($D$19+$D$49+$D$60+$D$80+$D$91+$D$95)*$B$96</f>
        <v>232.95940096157412</v>
      </c>
    </row>
    <row r="97" spans="1:5" ht="14.25" customHeight="1" x14ac:dyDescent="0.2">
      <c r="A97" s="385" t="s">
        <v>535</v>
      </c>
      <c r="B97" s="204">
        <f>B98+B99</f>
        <v>0.1125</v>
      </c>
      <c r="C97" s="205">
        <f>((C19+C49+C60+C80+C91+C95+C96)/(1-($B$97)))*$B$97</f>
        <v>550.84215377911016</v>
      </c>
      <c r="D97" s="386">
        <f>((D19+D49+D60+D80+D91+D95+D96)/(1-($B$97)))*$B$97</f>
        <v>464.4352918711827</v>
      </c>
    </row>
    <row r="98" spans="1:5" ht="14.25" customHeight="1" x14ac:dyDescent="0.2">
      <c r="A98" s="363" t="s">
        <v>536</v>
      </c>
      <c r="B98" s="108">
        <f>0.0165+0.076</f>
        <v>9.2499999999999999E-2</v>
      </c>
      <c r="C98" s="206">
        <f>((C$19+C$49+C$60+C$80+C$91+C$95+C$96)/(1-($B$97)))*$B$98</f>
        <v>452.914659773935</v>
      </c>
      <c r="D98" s="387">
        <f t="shared" ref="D98" si="9">((D$19+D$49+D$60+D$80+D$91+D$95+D$96)/(1-($B$97)))*$B$98</f>
        <v>381.86901776075018</v>
      </c>
    </row>
    <row r="99" spans="1:5" ht="14.25" customHeight="1" x14ac:dyDescent="0.2">
      <c r="A99" s="363" t="s">
        <v>537</v>
      </c>
      <c r="B99" s="108">
        <v>0.02</v>
      </c>
      <c r="C99" s="207">
        <f>((C$19+C$49+C$60+C$80+C$91+C$95+C$96)/(1-($B$97)))*$B$99</f>
        <v>97.927494005175149</v>
      </c>
      <c r="D99" s="388">
        <f t="shared" ref="D99" si="10">((D$19+D$49+D$60+D$80+D$91+D$95+D$96)/(1-($B$97)))*$B$99</f>
        <v>82.566274110432474</v>
      </c>
    </row>
    <row r="100" spans="1:5" ht="14.25" customHeight="1" x14ac:dyDescent="0.2">
      <c r="A100" s="385" t="s">
        <v>538</v>
      </c>
      <c r="B100" s="204">
        <f>B101+B102</f>
        <v>0.11749999999999999</v>
      </c>
      <c r="C100" s="205">
        <f>((C19+C49+C60+C80+C91+C95+C96)/(1-($B$100)))*$B$100</f>
        <v>578.58365349729002</v>
      </c>
      <c r="D100" s="386">
        <f t="shared" ref="D100" si="11">((D19+D49+D60+D80+D91+D95+D96)/(1-($B$100)))*$B$100</f>
        <v>487.82517122257997</v>
      </c>
    </row>
    <row r="101" spans="1:5" ht="14.25" customHeight="1" x14ac:dyDescent="0.2">
      <c r="A101" s="363" t="s">
        <v>536</v>
      </c>
      <c r="B101" s="108">
        <f>0.0165+0.076</f>
        <v>9.2499999999999999E-2</v>
      </c>
      <c r="C101" s="206">
        <f>((C19+C49+C60+C80+C91+C95+C96)/(1-($B$100)))*$B$101</f>
        <v>455.48074849786661</v>
      </c>
      <c r="D101" s="387">
        <f t="shared" ref="D101" si="12">((D19+D49+D60+D80+D91+D95+D96)/(1-($B$100)))*$B$101</f>
        <v>384.03258160075444</v>
      </c>
    </row>
    <row r="102" spans="1:5" ht="14.25" customHeight="1" x14ac:dyDescent="0.2">
      <c r="A102" s="363" t="s">
        <v>537</v>
      </c>
      <c r="B102" s="108">
        <v>2.5000000000000001E-2</v>
      </c>
      <c r="C102" s="207">
        <f>((C$19+C$49+C$60+C$80+C$91+C$95+C$96)/(1-($B$100)))*$B$102</f>
        <v>123.10290499942342</v>
      </c>
      <c r="D102" s="388">
        <f t="shared" ref="D102" si="13">((D$19+D$49+D$60+D$80+D$91+D$95+D$96)/(1-($B$100)))*$B$102</f>
        <v>103.79258962182553</v>
      </c>
    </row>
    <row r="103" spans="1:5" ht="14.25" customHeight="1" x14ac:dyDescent="0.2">
      <c r="A103" s="385" t="s">
        <v>539</v>
      </c>
      <c r="B103" s="204">
        <f>B104+B105</f>
        <v>0.1225</v>
      </c>
      <c r="C103" s="205">
        <f>((C19+C49+C60+C80+C91+C95+C96)/(1-($B$103)))*$B$103</f>
        <v>606.64129566240081</v>
      </c>
      <c r="D103" s="386">
        <f t="shared" ref="D103" si="14">((D19+D49+D60+D80+D91+D95+D96)/(1-($B$103)))*$B$103</f>
        <v>511.4816019056172</v>
      </c>
    </row>
    <row r="104" spans="1:5" ht="14.25" customHeight="1" x14ac:dyDescent="0.2">
      <c r="A104" s="363" t="s">
        <v>536</v>
      </c>
      <c r="B104" s="108">
        <f>0.0165+0.076</f>
        <v>9.2499999999999999E-2</v>
      </c>
      <c r="C104" s="206">
        <f>((C19+C49+C60+C80+C91+C95+C96)/(1-($B$103)))*$B$104</f>
        <v>458.07608039813942</v>
      </c>
      <c r="D104" s="387">
        <f t="shared" ref="D104" si="15">((D19+D49+D60+D80+D91+D95+D96)/(1-($B$103)))*$B$104</f>
        <v>386.22080143893544</v>
      </c>
    </row>
    <row r="105" spans="1:5" ht="14.25" customHeight="1" x14ac:dyDescent="0.2">
      <c r="A105" s="363" t="s">
        <v>537</v>
      </c>
      <c r="B105" s="108">
        <v>0.03</v>
      </c>
      <c r="C105" s="207">
        <f>((C19+C49+C60+C80+C91+C95+C96)/(1-($B$103)))*$B$105</f>
        <v>148.56521526426144</v>
      </c>
      <c r="D105" s="388">
        <f t="shared" ref="D105" si="16">((D19+D49+D60+D80+D91+D95+D96)/(1-($B$103)))*$B$105</f>
        <v>125.26080046668176</v>
      </c>
      <c r="E105" s="208"/>
    </row>
    <row r="106" spans="1:5" ht="14.25" customHeight="1" x14ac:dyDescent="0.2">
      <c r="A106" s="385" t="s">
        <v>618</v>
      </c>
      <c r="B106" s="204">
        <f>B107+B108</f>
        <v>0.1275</v>
      </c>
      <c r="C106" s="205">
        <f>((C19+C49+C60+C80+C91+C95+C96)/(1-($B$106)))*$B$106</f>
        <v>635.02051538814328</v>
      </c>
      <c r="D106" s="205">
        <f>((D19+D49+D60+D80+D91+D95+D96)/(1-($B$106)))*$B$106</f>
        <v>535.40916646467758</v>
      </c>
      <c r="E106" s="208"/>
    </row>
    <row r="107" spans="1:5" ht="14.25" customHeight="1" x14ac:dyDescent="0.2">
      <c r="A107" s="363" t="s">
        <v>536</v>
      </c>
      <c r="B107" s="108">
        <f>0.0165+0.076</f>
        <v>9.2499999999999999E-2</v>
      </c>
      <c r="C107" s="206">
        <f>((C19+C49+C60+C80+C91+C95+C96)/(1-($B$106)))*$B$107</f>
        <v>460.70115822277063</v>
      </c>
      <c r="D107" s="206">
        <f>((D19+D49+D60+D80+D91+D95+D96)/(1-($B$106)))*$B$107</f>
        <v>388.43410116064848</v>
      </c>
      <c r="E107" s="208"/>
    </row>
    <row r="108" spans="1:5" ht="14.25" customHeight="1" x14ac:dyDescent="0.2">
      <c r="A108" s="363" t="s">
        <v>537</v>
      </c>
      <c r="B108" s="108">
        <v>3.5000000000000003E-2</v>
      </c>
      <c r="C108" s="207">
        <f>((C19+C49+C60+C80+C91+C95+C96)/(1-($B$106)))*$B$108</f>
        <v>174.31935716537268</v>
      </c>
      <c r="D108" s="207">
        <f>((D19+D49+D60+D80+D91+D95+D96)/(1-($B$106)))*$B$108</f>
        <v>146.97506530402916</v>
      </c>
      <c r="E108" s="208"/>
    </row>
    <row r="109" spans="1:5" ht="14.25" customHeight="1" x14ac:dyDescent="0.2">
      <c r="A109" s="385" t="s">
        <v>540</v>
      </c>
      <c r="B109" s="204">
        <f>B110+B111</f>
        <v>0.13250000000000001</v>
      </c>
      <c r="C109" s="205">
        <f>((C19+C49+C60+C80+C91+C95+C96)/(1-($B$109)))*$B$109</f>
        <v>663.72687309343326</v>
      </c>
      <c r="D109" s="386">
        <f t="shared" ref="D109" si="17">((D19+D49+D60+D80+D91+D95+D96)/(1-($B$109)))*$B$109</f>
        <v>559.61255309358341</v>
      </c>
    </row>
    <row r="110" spans="1:5" ht="14.25" customHeight="1" x14ac:dyDescent="0.2">
      <c r="A110" s="363" t="s">
        <v>536</v>
      </c>
      <c r="B110" s="108">
        <f>0.0165+0.076</f>
        <v>9.2499999999999999E-2</v>
      </c>
      <c r="C110" s="206">
        <f>((C19+C49+C60+C80+C91+C95+C96)/(1-($B$109)))*$B$110</f>
        <v>463.35649631050995</v>
      </c>
      <c r="D110" s="387">
        <f t="shared" ref="D110" si="18">((D19+D49+D60+D80+D91+D95+D96)/(1-($B$109)))*$B$110</f>
        <v>390.67291442382231</v>
      </c>
    </row>
    <row r="111" spans="1:5" ht="14.25" customHeight="1" x14ac:dyDescent="0.2">
      <c r="A111" s="363" t="s">
        <v>537</v>
      </c>
      <c r="B111" s="108">
        <v>0.04</v>
      </c>
      <c r="C111" s="207">
        <f>((C19+C49+C60+C80+C91+C95+C96)/(1-($B$109)))*$B$111</f>
        <v>200.37037678292324</v>
      </c>
      <c r="D111" s="388">
        <f t="shared" ref="D111" si="19">((D19+D49+D60+D80+D91+D95+D96)/(1-($B$109)))*$B$111</f>
        <v>168.93963866976102</v>
      </c>
    </row>
    <row r="112" spans="1:5" ht="14.25" customHeight="1" x14ac:dyDescent="0.2">
      <c r="A112" s="385" t="s">
        <v>541</v>
      </c>
      <c r="B112" s="204">
        <f>B113+B114</f>
        <v>0.14250000000000002</v>
      </c>
      <c r="C112" s="205">
        <f>((C19+C49+C60+C80+C91+C95+C96)/(1-($B$112)))*$B$112</f>
        <v>722.14389256367326</v>
      </c>
      <c r="D112" s="386">
        <f t="shared" ref="D112" si="20">((D19+D49+D60+D80+D91+D95+D96)/(1-($B$112)))*$B$112</f>
        <v>608.86609206435912</v>
      </c>
    </row>
    <row r="113" spans="1:5" ht="14.25" customHeight="1" x14ac:dyDescent="0.2">
      <c r="A113" s="363" t="s">
        <v>536</v>
      </c>
      <c r="B113" s="108">
        <f>0.0165+0.076</f>
        <v>9.2499999999999999E-2</v>
      </c>
      <c r="C113" s="206">
        <f>((C19+C49+C60+C80+C91+C95+C96)/(1-($B$112)))*$B$113</f>
        <v>468.76007061150716</v>
      </c>
      <c r="D113" s="387">
        <f t="shared" ref="D113" si="21">((D19+D49+D60+D80+D91+D95+D96)/(1-($B$112)))*$B$113</f>
        <v>395.22886677861908</v>
      </c>
    </row>
    <row r="114" spans="1:5" ht="14.25" customHeight="1" x14ac:dyDescent="0.2">
      <c r="A114" s="363" t="s">
        <v>537</v>
      </c>
      <c r="B114" s="209">
        <v>0.05</v>
      </c>
      <c r="C114" s="207">
        <f>((C19+C49+C60+C80+C91+C95+C96)/(1-($B$112)))*$B$114</f>
        <v>253.38382195216604</v>
      </c>
      <c r="D114" s="388">
        <f t="shared" ref="D114" si="22">((D19+D49+D60+D80+D91+D95+D96)/(1-($B$112)))*$B$114</f>
        <v>213.63722528574004</v>
      </c>
    </row>
    <row r="115" spans="1:5" ht="14.25" customHeight="1" x14ac:dyDescent="0.2">
      <c r="A115" s="1052" t="s">
        <v>542</v>
      </c>
      <c r="B115" s="210">
        <v>0.02</v>
      </c>
      <c r="C115" s="211">
        <f>C95+C96+C97</f>
        <v>945.66429913610477</v>
      </c>
      <c r="D115" s="389">
        <f>D95+D96+D97</f>
        <v>797.32437281398597</v>
      </c>
    </row>
    <row r="116" spans="1:5" ht="14.25" customHeight="1" x14ac:dyDescent="0.2">
      <c r="A116" s="1052"/>
      <c r="B116" s="212">
        <v>2.5000000000000001E-2</v>
      </c>
      <c r="C116" s="213">
        <f>C95+C96+C100</f>
        <v>973.40579885428451</v>
      </c>
      <c r="D116" s="390">
        <f>D95+D96+D100</f>
        <v>820.71425216538319</v>
      </c>
    </row>
    <row r="117" spans="1:5" ht="14.25" customHeight="1" x14ac:dyDescent="0.2">
      <c r="A117" s="1052"/>
      <c r="B117" s="212">
        <v>0.03</v>
      </c>
      <c r="C117" s="213">
        <f>C95+C96+C103</f>
        <v>1001.4634410193953</v>
      </c>
      <c r="D117" s="390">
        <f>D95+D96+D103</f>
        <v>844.37068284842053</v>
      </c>
      <c r="E117" s="208"/>
    </row>
    <row r="118" spans="1:5" ht="14.25" customHeight="1" x14ac:dyDescent="0.2">
      <c r="A118" s="1052"/>
      <c r="B118" s="212">
        <v>3.5000000000000003E-2</v>
      </c>
      <c r="C118" s="213">
        <f>C95+C96+C106</f>
        <v>1029.8426607451379</v>
      </c>
      <c r="D118" s="213">
        <f>D95+D96+D106</f>
        <v>868.29824740748086</v>
      </c>
      <c r="E118" s="208"/>
    </row>
    <row r="119" spans="1:5" ht="14.25" customHeight="1" x14ac:dyDescent="0.2">
      <c r="A119" s="1052"/>
      <c r="B119" s="212">
        <v>0.04</v>
      </c>
      <c r="C119" s="213">
        <f>C95+C96+C109</f>
        <v>1058.5490184504279</v>
      </c>
      <c r="D119" s="390">
        <f>D95+D96+D109</f>
        <v>892.50163403638669</v>
      </c>
    </row>
    <row r="120" spans="1:5" ht="14.25" customHeight="1" x14ac:dyDescent="0.2">
      <c r="A120" s="1052"/>
      <c r="B120" s="214">
        <v>0.05</v>
      </c>
      <c r="C120" s="215">
        <f>C95+C96+C112</f>
        <v>1116.9660379206678</v>
      </c>
      <c r="D120" s="391">
        <f>D95+D96+D112</f>
        <v>941.7551730071624</v>
      </c>
    </row>
    <row r="121" spans="1:5" ht="14.25" customHeight="1" x14ac:dyDescent="0.2">
      <c r="A121" s="363" t="s">
        <v>543</v>
      </c>
      <c r="B121" s="216"/>
      <c r="C121" s="217"/>
      <c r="D121" s="392"/>
    </row>
    <row r="122" spans="1:5" ht="14.25" customHeight="1" x14ac:dyDescent="0.2">
      <c r="A122" s="393"/>
      <c r="B122" s="220"/>
      <c r="C122" s="221"/>
      <c r="D122" s="394"/>
    </row>
    <row r="123" spans="1:5" ht="7.5" customHeight="1" x14ac:dyDescent="0.2">
      <c r="A123" s="1053"/>
      <c r="B123" s="1039"/>
      <c r="C123" s="1039"/>
      <c r="D123" s="1054"/>
    </row>
    <row r="124" spans="1:5" ht="7.5" customHeight="1" x14ac:dyDescent="0.2">
      <c r="A124" s="1055"/>
      <c r="B124" s="1040"/>
      <c r="C124" s="1040"/>
      <c r="D124" s="1056"/>
    </row>
    <row r="125" spans="1:5" ht="54.75" customHeight="1" x14ac:dyDescent="0.2">
      <c r="A125" s="1057" t="s">
        <v>544</v>
      </c>
      <c r="B125" s="1041"/>
      <c r="C125" s="224" t="str">
        <f>C10</f>
        <v>Servente 44h COVID</v>
      </c>
      <c r="D125" s="395" t="str">
        <f>D10</f>
        <v>Servente 30h COVID</v>
      </c>
    </row>
    <row r="126" spans="1:5" ht="15.75" customHeight="1" x14ac:dyDescent="0.2">
      <c r="A126" s="1058" t="s">
        <v>545</v>
      </c>
      <c r="B126" s="1035"/>
      <c r="C126" s="227" t="s">
        <v>474</v>
      </c>
      <c r="D126" s="396" t="s">
        <v>474</v>
      </c>
    </row>
    <row r="127" spans="1:5" ht="14.25" customHeight="1" x14ac:dyDescent="0.2">
      <c r="A127" s="1059" t="s">
        <v>546</v>
      </c>
      <c r="B127" s="1036"/>
      <c r="C127" s="229">
        <f>C19</f>
        <v>1587.2640000000001</v>
      </c>
      <c r="D127" s="397">
        <f>D19</f>
        <v>1298.6705454545454</v>
      </c>
    </row>
    <row r="128" spans="1:5" ht="14.25" customHeight="1" x14ac:dyDescent="0.2">
      <c r="A128" s="1046" t="s">
        <v>547</v>
      </c>
      <c r="B128" s="1031"/>
      <c r="C128" s="150">
        <f>C49</f>
        <v>1496.8591466666667</v>
      </c>
      <c r="D128" s="398">
        <f>D49</f>
        <v>1263.2711199999999</v>
      </c>
    </row>
    <row r="129" spans="1:4" ht="14.25" customHeight="1" x14ac:dyDescent="0.2">
      <c r="A129" s="1046" t="s">
        <v>548</v>
      </c>
      <c r="B129" s="1031"/>
      <c r="C129" s="150">
        <f>C60</f>
        <v>103.96579199999999</v>
      </c>
      <c r="D129" s="398">
        <f>D60</f>
        <v>85.062920727272711</v>
      </c>
    </row>
    <row r="130" spans="1:4" ht="14.25" customHeight="1" x14ac:dyDescent="0.2">
      <c r="A130" s="1046" t="s">
        <v>549</v>
      </c>
      <c r="B130" s="1031"/>
      <c r="C130" s="150">
        <f>C80</f>
        <v>345.41604578931947</v>
      </c>
      <c r="D130" s="398">
        <f>D80</f>
        <v>286.4693298591535</v>
      </c>
    </row>
    <row r="131" spans="1:4" ht="15.75" customHeight="1" x14ac:dyDescent="0.2">
      <c r="A131" s="1046" t="s">
        <v>550</v>
      </c>
      <c r="B131" s="1031"/>
      <c r="C131" s="150">
        <f>C91</f>
        <v>417.20541666666668</v>
      </c>
      <c r="D131" s="398">
        <f>D91</f>
        <v>397.51541666666668</v>
      </c>
    </row>
    <row r="132" spans="1:4" ht="15.75" customHeight="1" x14ac:dyDescent="0.2">
      <c r="A132" s="1048" t="s">
        <v>551</v>
      </c>
      <c r="B132" s="1034"/>
      <c r="C132" s="152">
        <f>SUM(C127:C131)</f>
        <v>3950.7104011226529</v>
      </c>
      <c r="D132" s="399">
        <f>SUM(D127:D131)</f>
        <v>3330.9893327076384</v>
      </c>
    </row>
    <row r="133" spans="1:4" ht="15.75" customHeight="1" x14ac:dyDescent="0.2">
      <c r="A133" s="1047" t="s">
        <v>552</v>
      </c>
      <c r="B133" s="1032"/>
      <c r="C133" s="232">
        <f t="shared" ref="C133:D138" si="23">C115</f>
        <v>945.66429913610477</v>
      </c>
      <c r="D133" s="400">
        <f t="shared" si="23"/>
        <v>797.32437281398597</v>
      </c>
    </row>
    <row r="134" spans="1:4" ht="15.75" customHeight="1" x14ac:dyDescent="0.2">
      <c r="A134" s="1046" t="s">
        <v>553</v>
      </c>
      <c r="B134" s="1031"/>
      <c r="C134" s="234">
        <f t="shared" si="23"/>
        <v>973.40579885428451</v>
      </c>
      <c r="D134" s="401">
        <f t="shared" si="23"/>
        <v>820.71425216538319</v>
      </c>
    </row>
    <row r="135" spans="1:4" ht="15.75" customHeight="1" x14ac:dyDescent="0.2">
      <c r="A135" s="1046" t="s">
        <v>554</v>
      </c>
      <c r="B135" s="1031"/>
      <c r="C135" s="234">
        <f t="shared" si="23"/>
        <v>1001.4634410193953</v>
      </c>
      <c r="D135" s="644">
        <f t="shared" si="23"/>
        <v>844.37068284842053</v>
      </c>
    </row>
    <row r="136" spans="1:4" ht="15.75" customHeight="1" x14ac:dyDescent="0.2">
      <c r="A136" s="1101" t="s">
        <v>619</v>
      </c>
      <c r="B136" s="1102"/>
      <c r="C136" s="234">
        <f t="shared" si="23"/>
        <v>1029.8426607451379</v>
      </c>
      <c r="D136" s="644">
        <f t="shared" si="23"/>
        <v>868.29824740748086</v>
      </c>
    </row>
    <row r="137" spans="1:4" ht="15.75" customHeight="1" x14ac:dyDescent="0.2">
      <c r="A137" s="1046" t="s">
        <v>555</v>
      </c>
      <c r="B137" s="1031"/>
      <c r="C137" s="234">
        <f t="shared" si="23"/>
        <v>1058.5490184504279</v>
      </c>
      <c r="D137" s="401">
        <f t="shared" si="23"/>
        <v>892.50163403638669</v>
      </c>
    </row>
    <row r="138" spans="1:4" ht="15.75" customHeight="1" x14ac:dyDescent="0.2">
      <c r="A138" s="1047" t="s">
        <v>556</v>
      </c>
      <c r="B138" s="1032"/>
      <c r="C138" s="234">
        <f t="shared" si="23"/>
        <v>1116.9660379206678</v>
      </c>
      <c r="D138" s="401">
        <f t="shared" si="23"/>
        <v>941.7551730071624</v>
      </c>
    </row>
    <row r="139" spans="1:4" ht="15.75" customHeight="1" x14ac:dyDescent="0.2">
      <c r="A139" s="402" t="s">
        <v>557</v>
      </c>
      <c r="B139" s="237"/>
      <c r="C139" s="238">
        <f>C132+C133</f>
        <v>4896.3747002587579</v>
      </c>
      <c r="D139" s="403">
        <f>D132+D133</f>
        <v>4128.3137055216248</v>
      </c>
    </row>
    <row r="140" spans="1:4" ht="15.75" customHeight="1" x14ac:dyDescent="0.2">
      <c r="A140" s="404" t="s">
        <v>558</v>
      </c>
      <c r="B140" s="241"/>
      <c r="C140" s="242">
        <f>C132+C134</f>
        <v>4924.1161999769374</v>
      </c>
      <c r="D140" s="405">
        <f>D132+D134</f>
        <v>4151.7035848730211</v>
      </c>
    </row>
    <row r="141" spans="1:4" ht="15.75" customHeight="1" x14ac:dyDescent="0.2">
      <c r="A141" s="404" t="s">
        <v>559</v>
      </c>
      <c r="B141" s="241"/>
      <c r="C141" s="242">
        <f>C132+C135</f>
        <v>4952.1738421420487</v>
      </c>
      <c r="D141" s="405">
        <f>D132+D135</f>
        <v>4175.3600155560589</v>
      </c>
    </row>
    <row r="142" spans="1:4" ht="15.75" customHeight="1" x14ac:dyDescent="0.2">
      <c r="A142" s="404" t="s">
        <v>620</v>
      </c>
      <c r="B142" s="241"/>
      <c r="C142" s="242">
        <f>C132+C136</f>
        <v>4980.5530618677913</v>
      </c>
      <c r="D142" s="242">
        <f>D132+D136</f>
        <v>4199.2875801151195</v>
      </c>
    </row>
    <row r="143" spans="1:4" ht="15.75" customHeight="1" x14ac:dyDescent="0.2">
      <c r="A143" s="404" t="s">
        <v>560</v>
      </c>
      <c r="B143" s="241"/>
      <c r="C143" s="242">
        <f>C132+C137</f>
        <v>5009.2594195730808</v>
      </c>
      <c r="D143" s="405">
        <f>D132+D137</f>
        <v>4223.4909667440252</v>
      </c>
    </row>
    <row r="144" spans="1:4" ht="15.75" customHeight="1" x14ac:dyDescent="0.2">
      <c r="A144" s="404" t="s">
        <v>561</v>
      </c>
      <c r="B144" s="241"/>
      <c r="C144" s="242">
        <f>C132+C138</f>
        <v>5067.6764390433209</v>
      </c>
      <c r="D144" s="405">
        <f>D132+D138</f>
        <v>4272.7445057148007</v>
      </c>
    </row>
    <row r="145" spans="1:4" ht="15.75" customHeight="1" x14ac:dyDescent="0.2">
      <c r="A145" s="406" t="s">
        <v>562</v>
      </c>
      <c r="B145" s="244"/>
      <c r="C145" s="245">
        <f t="shared" ref="C145:C150" si="24">C139/200</f>
        <v>24.481873501293791</v>
      </c>
      <c r="D145" s="407"/>
    </row>
    <row r="146" spans="1:4" ht="15.75" customHeight="1" x14ac:dyDescent="0.2">
      <c r="A146" s="408" t="s">
        <v>563</v>
      </c>
      <c r="B146" s="246"/>
      <c r="C146" s="247">
        <f t="shared" si="24"/>
        <v>24.620580999884687</v>
      </c>
      <c r="D146" s="409"/>
    </row>
    <row r="147" spans="1:4" ht="15.75" customHeight="1" x14ac:dyDescent="0.2">
      <c r="A147" s="408" t="s">
        <v>564</v>
      </c>
      <c r="B147" s="246"/>
      <c r="C147" s="247">
        <f t="shared" si="24"/>
        <v>24.760869210710243</v>
      </c>
      <c r="D147" s="409"/>
    </row>
    <row r="148" spans="1:4" ht="15.75" customHeight="1" x14ac:dyDescent="0.2">
      <c r="A148" s="408" t="s">
        <v>621</v>
      </c>
      <c r="B148" s="246"/>
      <c r="C148" s="247">
        <f t="shared" si="24"/>
        <v>24.902765309338957</v>
      </c>
      <c r="D148" s="409"/>
    </row>
    <row r="149" spans="1:4" ht="15.75" customHeight="1" x14ac:dyDescent="0.2">
      <c r="A149" s="408" t="s">
        <v>565</v>
      </c>
      <c r="B149" s="246"/>
      <c r="C149" s="247">
        <f t="shared" si="24"/>
        <v>25.046297097865406</v>
      </c>
      <c r="D149" s="409"/>
    </row>
    <row r="150" spans="1:4" ht="15.75" customHeight="1" x14ac:dyDescent="0.2">
      <c r="A150" s="410" t="s">
        <v>566</v>
      </c>
      <c r="B150" s="411"/>
      <c r="C150" s="412">
        <f t="shared" si="24"/>
        <v>25.338382195216603</v>
      </c>
      <c r="D150" s="413"/>
    </row>
    <row r="151" spans="1:4" x14ac:dyDescent="0.2">
      <c r="A151" s="248"/>
    </row>
  </sheetData>
  <mergeCells count="28"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34:B134"/>
    <mergeCell ref="A128:B128"/>
    <mergeCell ref="A50:B50"/>
    <mergeCell ref="A51:D51"/>
    <mergeCell ref="A61:B61"/>
    <mergeCell ref="A62:D62"/>
    <mergeCell ref="A92:B92"/>
    <mergeCell ref="A115:A120"/>
    <mergeCell ref="A123:D123"/>
    <mergeCell ref="A124:D124"/>
    <mergeCell ref="A125:B125"/>
    <mergeCell ref="A126:B126"/>
    <mergeCell ref="A127:B127"/>
    <mergeCell ref="A21:D21"/>
    <mergeCell ref="A1:D1"/>
    <mergeCell ref="A2:D2"/>
    <mergeCell ref="A3:D3"/>
    <mergeCell ref="A9:D9"/>
    <mergeCell ref="A20:B2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C2E6"/>
  </sheetPr>
  <dimension ref="A1:ALW198"/>
  <sheetViews>
    <sheetView topLeftCell="A19" zoomScale="80" zoomScaleNormal="80" workbookViewId="0">
      <selection activeCell="E43" sqref="E43"/>
    </sheetView>
  </sheetViews>
  <sheetFormatPr defaultRowHeight="14.25" x14ac:dyDescent="0.2"/>
  <cols>
    <col min="1" max="1" width="50.25" style="92" customWidth="1"/>
    <col min="2" max="2" width="12.875" style="92" customWidth="1"/>
    <col min="3" max="3" width="13" style="92" customWidth="1"/>
    <col min="4" max="4" width="13.875" style="92" customWidth="1"/>
    <col min="5" max="5" width="15.375" style="92" customWidth="1"/>
    <col min="6" max="1011" width="9" style="92"/>
  </cols>
  <sheetData>
    <row r="1" spans="1:5" ht="15.75" x14ac:dyDescent="0.25">
      <c r="A1" s="1123" t="s">
        <v>456</v>
      </c>
      <c r="B1" s="1124"/>
      <c r="C1" s="1124"/>
      <c r="D1" s="1124"/>
      <c r="E1" s="1125"/>
    </row>
    <row r="2" spans="1:5" ht="15.75" x14ac:dyDescent="0.25">
      <c r="A2" s="1126" t="s">
        <v>457</v>
      </c>
      <c r="B2" s="1127"/>
      <c r="C2" s="1127"/>
      <c r="D2" s="1127"/>
      <c r="E2" s="1128"/>
    </row>
    <row r="3" spans="1:5" ht="15.75" customHeight="1" x14ac:dyDescent="0.25">
      <c r="A3" s="1126" t="s">
        <v>458</v>
      </c>
      <c r="B3" s="1127"/>
      <c r="C3" s="1127"/>
      <c r="D3" s="1127"/>
      <c r="E3" s="1128"/>
    </row>
    <row r="4" spans="1:5" x14ac:dyDescent="0.2">
      <c r="A4" s="830"/>
      <c r="B4" s="831"/>
      <c r="C4" s="857" t="s">
        <v>459</v>
      </c>
      <c r="D4" s="858" t="s">
        <v>460</v>
      </c>
      <c r="E4" s="859" t="s">
        <v>626</v>
      </c>
    </row>
    <row r="5" spans="1:5" x14ac:dyDescent="0.2">
      <c r="A5" s="830"/>
      <c r="B5" s="832" t="s">
        <v>463</v>
      </c>
      <c r="C5" s="860">
        <f>MC!G11</f>
        <v>1446.9</v>
      </c>
      <c r="D5" s="860">
        <f>MC!I11</f>
        <v>986.52272727272725</v>
      </c>
      <c r="E5" s="833">
        <f>MC!G11</f>
        <v>1446.9</v>
      </c>
    </row>
    <row r="6" spans="1:5" x14ac:dyDescent="0.2">
      <c r="A6" s="830"/>
      <c r="B6" s="832" t="s">
        <v>464</v>
      </c>
      <c r="C6" s="861">
        <f>MC!H8</f>
        <v>44593</v>
      </c>
      <c r="D6" s="717">
        <f>C6</f>
        <v>44593</v>
      </c>
      <c r="E6" s="834">
        <f>C6</f>
        <v>44593</v>
      </c>
    </row>
    <row r="7" spans="1:5" x14ac:dyDescent="0.2">
      <c r="A7" s="830"/>
      <c r="B7" s="832" t="s">
        <v>465</v>
      </c>
      <c r="C7" s="862" t="str">
        <f>MC!G8</f>
        <v>PR000321/2022</v>
      </c>
      <c r="D7" s="716" t="str">
        <f>C7</f>
        <v>PR000321/2022</v>
      </c>
      <c r="E7" s="835" t="str">
        <f>C7</f>
        <v>PR000321/2022</v>
      </c>
    </row>
    <row r="8" spans="1:5" x14ac:dyDescent="0.2">
      <c r="A8" s="830"/>
      <c r="B8" s="832" t="s">
        <v>466</v>
      </c>
      <c r="C8" s="863" t="s">
        <v>10</v>
      </c>
      <c r="D8" s="864" t="s">
        <v>10</v>
      </c>
      <c r="E8" s="865" t="s">
        <v>10</v>
      </c>
    </row>
    <row r="9" spans="1:5" x14ac:dyDescent="0.2">
      <c r="A9" s="1129"/>
      <c r="B9" s="1130"/>
      <c r="C9" s="1130"/>
      <c r="D9" s="1130"/>
      <c r="E9" s="1131"/>
    </row>
    <row r="10" spans="1:5" ht="66.75" customHeight="1" x14ac:dyDescent="0.2">
      <c r="A10" s="867" t="s">
        <v>467</v>
      </c>
      <c r="B10" s="871" t="s">
        <v>468</v>
      </c>
      <c r="C10" s="871" t="s">
        <v>627</v>
      </c>
      <c r="D10" s="871" t="s">
        <v>460</v>
      </c>
      <c r="E10" s="872" t="s">
        <v>628</v>
      </c>
    </row>
    <row r="11" spans="1:5" ht="15.75" customHeight="1" x14ac:dyDescent="0.2">
      <c r="A11" s="866" t="s">
        <v>471</v>
      </c>
      <c r="B11" s="868"/>
      <c r="C11" s="868"/>
      <c r="D11" s="868"/>
      <c r="E11" s="869"/>
    </row>
    <row r="12" spans="1:5" ht="15.75" customHeight="1" x14ac:dyDescent="0.2">
      <c r="A12" s="836" t="s">
        <v>472</v>
      </c>
      <c r="B12" s="718" t="s">
        <v>473</v>
      </c>
      <c r="C12" s="718" t="s">
        <v>474</v>
      </c>
      <c r="D12" s="718" t="s">
        <v>474</v>
      </c>
      <c r="E12" s="870"/>
    </row>
    <row r="13" spans="1:5" ht="15.75" customHeight="1" x14ac:dyDescent="0.2">
      <c r="A13" s="838" t="s">
        <v>475</v>
      </c>
      <c r="B13" s="479"/>
      <c r="C13" s="720">
        <f>C5</f>
        <v>1446.9</v>
      </c>
      <c r="D13" s="721">
        <f>D5</f>
        <v>986.52272727272725</v>
      </c>
      <c r="E13" s="839">
        <f>E5</f>
        <v>1446.9</v>
      </c>
    </row>
    <row r="14" spans="1:5" ht="15.75" customHeight="1" x14ac:dyDescent="0.2">
      <c r="A14" s="838" t="s">
        <v>476</v>
      </c>
      <c r="B14" s="722">
        <v>0</v>
      </c>
      <c r="C14" s="723"/>
      <c r="D14" s="723"/>
      <c r="E14" s="840"/>
    </row>
    <row r="15" spans="1:5" ht="15.75" customHeight="1" x14ac:dyDescent="0.2">
      <c r="A15" s="838" t="s">
        <v>477</v>
      </c>
      <c r="B15" s="479"/>
      <c r="C15" s="479"/>
      <c r="D15" s="724"/>
      <c r="E15" s="841"/>
    </row>
    <row r="16" spans="1:5" ht="15.75" customHeight="1" x14ac:dyDescent="0.2">
      <c r="A16" s="838" t="s">
        <v>478</v>
      </c>
      <c r="B16" s="479"/>
      <c r="C16" s="479"/>
      <c r="D16" s="724"/>
      <c r="E16" s="841"/>
    </row>
    <row r="17" spans="1:5" ht="15.75" customHeight="1" x14ac:dyDescent="0.2">
      <c r="A17" s="838" t="s">
        <v>479</v>
      </c>
      <c r="B17" s="479"/>
      <c r="C17" s="479"/>
      <c r="D17" s="724"/>
      <c r="E17" s="841"/>
    </row>
    <row r="18" spans="1:5" ht="15.75" customHeight="1" x14ac:dyDescent="0.2">
      <c r="A18" s="838" t="s">
        <v>601</v>
      </c>
      <c r="B18" s="479"/>
      <c r="C18" s="479"/>
      <c r="D18" s="479"/>
      <c r="E18" s="848"/>
    </row>
    <row r="19" spans="1:5" ht="15.75" customHeight="1" x14ac:dyDescent="0.2">
      <c r="A19" s="842" t="s">
        <v>481</v>
      </c>
      <c r="B19" s="726"/>
      <c r="C19" s="742">
        <f>SUM(C13:C18)</f>
        <v>1446.9</v>
      </c>
      <c r="D19" s="742">
        <f>SUM(D13:D18)</f>
        <v>986.52272727272725</v>
      </c>
      <c r="E19" s="843">
        <f>SUM(E13:E18)</f>
        <v>1446.9</v>
      </c>
    </row>
    <row r="20" spans="1:5" ht="15.75" customHeight="1" x14ac:dyDescent="0.2">
      <c r="A20" s="1132"/>
      <c r="B20" s="1133"/>
      <c r="C20" s="479"/>
      <c r="D20" s="724"/>
      <c r="E20" s="841"/>
    </row>
    <row r="21" spans="1:5" ht="15.75" customHeight="1" x14ac:dyDescent="0.2">
      <c r="A21" s="1134" t="s">
        <v>482</v>
      </c>
      <c r="B21" s="1135"/>
      <c r="C21" s="1135"/>
      <c r="D21" s="1135"/>
      <c r="E21" s="1136"/>
    </row>
    <row r="22" spans="1:5" ht="15.75" customHeight="1" x14ac:dyDescent="0.2">
      <c r="A22" s="844" t="s">
        <v>483</v>
      </c>
      <c r="B22" s="728" t="s">
        <v>473</v>
      </c>
      <c r="C22" s="728" t="s">
        <v>474</v>
      </c>
      <c r="D22" s="728" t="s">
        <v>474</v>
      </c>
      <c r="E22" s="845" t="s">
        <v>474</v>
      </c>
    </row>
    <row r="23" spans="1:5" ht="15.75" customHeight="1" x14ac:dyDescent="0.2">
      <c r="A23" s="846" t="s">
        <v>484</v>
      </c>
      <c r="B23" s="108">
        <f>1/12</f>
        <v>8.3333333333333329E-2</v>
      </c>
      <c r="C23" s="106">
        <f>ROUND($B23*C$19,2)</f>
        <v>120.58</v>
      </c>
      <c r="D23" s="106">
        <f>ROUND($B23*D$19,2)</f>
        <v>82.21</v>
      </c>
      <c r="E23" s="364">
        <f>ROUND($B23*E$19,2)</f>
        <v>120.58</v>
      </c>
    </row>
    <row r="24" spans="1:5" ht="15.75" customHeight="1" x14ac:dyDescent="0.2">
      <c r="A24" s="846" t="s">
        <v>485</v>
      </c>
      <c r="B24" s="108">
        <f>1/3*1/12</f>
        <v>2.7777777777777776E-2</v>
      </c>
      <c r="C24" s="106">
        <f>C$19*$B$24</f>
        <v>40.19166666666667</v>
      </c>
      <c r="D24" s="106">
        <f>D$19*$B$24</f>
        <v>27.40340909090909</v>
      </c>
      <c r="E24" s="364">
        <f>E$19*$B$24</f>
        <v>40.19166666666667</v>
      </c>
    </row>
    <row r="25" spans="1:5" ht="15.75" customHeight="1" x14ac:dyDescent="0.2">
      <c r="A25" s="842" t="s">
        <v>481</v>
      </c>
      <c r="B25" s="120">
        <f>SUM(B23:B24)</f>
        <v>0.1111111111111111</v>
      </c>
      <c r="C25" s="121">
        <f>SUM(C23:C24)</f>
        <v>160.77166666666668</v>
      </c>
      <c r="D25" s="121">
        <f>SUM(D23:D24)</f>
        <v>109.61340909090909</v>
      </c>
      <c r="E25" s="366">
        <f>SUM(E23:E24)</f>
        <v>160.77166666666668</v>
      </c>
    </row>
    <row r="26" spans="1:5" ht="15.75" customHeight="1" x14ac:dyDescent="0.2">
      <c r="A26" s="844" t="s">
        <v>486</v>
      </c>
      <c r="B26" s="728" t="s">
        <v>473</v>
      </c>
      <c r="C26" s="728" t="s">
        <v>474</v>
      </c>
      <c r="D26" s="728" t="s">
        <v>474</v>
      </c>
      <c r="E26" s="845" t="s">
        <v>474</v>
      </c>
    </row>
    <row r="27" spans="1:5" ht="15.75" customHeight="1" x14ac:dyDescent="0.2">
      <c r="A27" s="844" t="s">
        <v>487</v>
      </c>
      <c r="B27" s="553"/>
      <c r="C27" s="553"/>
      <c r="D27" s="553"/>
      <c r="E27" s="847"/>
    </row>
    <row r="28" spans="1:5" ht="15.75" customHeight="1" x14ac:dyDescent="0.2">
      <c r="A28" s="846" t="s">
        <v>488</v>
      </c>
      <c r="B28" s="108">
        <v>0.2</v>
      </c>
      <c r="C28" s="125">
        <f t="shared" ref="C28:C35" si="0">ROUND(($C$19+$C$25)*B28,2)</f>
        <v>321.52999999999997</v>
      </c>
      <c r="D28" s="125">
        <f t="shared" ref="D28:D35" si="1">ROUND(($D$19+$D$25)*B28,2)</f>
        <v>219.23</v>
      </c>
      <c r="E28" s="373">
        <f t="shared" ref="E28:E35" si="2">ROUND(($E$19+$E$25)*B28,2)</f>
        <v>321.52999999999997</v>
      </c>
    </row>
    <row r="29" spans="1:5" ht="15.75" customHeight="1" x14ac:dyDescent="0.2">
      <c r="A29" s="846" t="s">
        <v>489</v>
      </c>
      <c r="B29" s="108">
        <v>2.5000000000000001E-2</v>
      </c>
      <c r="C29" s="125">
        <f t="shared" si="0"/>
        <v>40.19</v>
      </c>
      <c r="D29" s="125">
        <f t="shared" si="1"/>
        <v>27.4</v>
      </c>
      <c r="E29" s="373">
        <f t="shared" si="2"/>
        <v>40.19</v>
      </c>
    </row>
    <row r="30" spans="1:5" ht="15.75" customHeight="1" x14ac:dyDescent="0.2">
      <c r="A30" s="846" t="s">
        <v>490</v>
      </c>
      <c r="B30" s="108">
        <v>0.03</v>
      </c>
      <c r="C30" s="125">
        <f t="shared" si="0"/>
        <v>48.23</v>
      </c>
      <c r="D30" s="125">
        <f t="shared" si="1"/>
        <v>32.880000000000003</v>
      </c>
      <c r="E30" s="373">
        <f t="shared" si="2"/>
        <v>48.23</v>
      </c>
    </row>
    <row r="31" spans="1:5" ht="15.75" customHeight="1" x14ac:dyDescent="0.2">
      <c r="A31" s="846" t="s">
        <v>491</v>
      </c>
      <c r="B31" s="108">
        <v>1.4999999999999999E-2</v>
      </c>
      <c r="C31" s="125">
        <f t="shared" si="0"/>
        <v>24.12</v>
      </c>
      <c r="D31" s="125">
        <f t="shared" si="1"/>
        <v>16.440000000000001</v>
      </c>
      <c r="E31" s="373">
        <f t="shared" si="2"/>
        <v>24.12</v>
      </c>
    </row>
    <row r="32" spans="1:5" ht="15.75" customHeight="1" x14ac:dyDescent="0.2">
      <c r="A32" s="846" t="s">
        <v>492</v>
      </c>
      <c r="B32" s="108">
        <v>0.01</v>
      </c>
      <c r="C32" s="125">
        <f t="shared" si="0"/>
        <v>16.079999999999998</v>
      </c>
      <c r="D32" s="125">
        <f t="shared" si="1"/>
        <v>10.96</v>
      </c>
      <c r="E32" s="373">
        <f t="shared" si="2"/>
        <v>16.079999999999998</v>
      </c>
    </row>
    <row r="33" spans="1:27" ht="15.75" customHeight="1" x14ac:dyDescent="0.2">
      <c r="A33" s="846" t="s">
        <v>493</v>
      </c>
      <c r="B33" s="108">
        <v>6.0000000000000001E-3</v>
      </c>
      <c r="C33" s="125">
        <f t="shared" si="0"/>
        <v>9.65</v>
      </c>
      <c r="D33" s="125">
        <f t="shared" si="1"/>
        <v>6.58</v>
      </c>
      <c r="E33" s="373">
        <f t="shared" si="2"/>
        <v>9.65</v>
      </c>
    </row>
    <row r="34" spans="1:27" ht="15.75" customHeight="1" x14ac:dyDescent="0.2">
      <c r="A34" s="846" t="s">
        <v>494</v>
      </c>
      <c r="B34" s="108">
        <v>2E-3</v>
      </c>
      <c r="C34" s="125">
        <f t="shared" si="0"/>
        <v>3.22</v>
      </c>
      <c r="D34" s="125">
        <f t="shared" si="1"/>
        <v>2.19</v>
      </c>
      <c r="E34" s="373">
        <f t="shared" si="2"/>
        <v>3.22</v>
      </c>
    </row>
    <row r="35" spans="1:27" ht="15.75" customHeight="1" x14ac:dyDescent="0.2">
      <c r="A35" s="846" t="s">
        <v>495</v>
      </c>
      <c r="B35" s="108">
        <v>0.08</v>
      </c>
      <c r="C35" s="125">
        <f t="shared" si="0"/>
        <v>128.61000000000001</v>
      </c>
      <c r="D35" s="125">
        <f t="shared" si="1"/>
        <v>87.69</v>
      </c>
      <c r="E35" s="373">
        <f t="shared" si="2"/>
        <v>128.61000000000001</v>
      </c>
    </row>
    <row r="36" spans="1:27" ht="15.75" customHeight="1" x14ac:dyDescent="0.2">
      <c r="A36" s="842" t="s">
        <v>481</v>
      </c>
      <c r="B36" s="120">
        <f>SUM(B28:B35)</f>
        <v>0.36800000000000005</v>
      </c>
      <c r="C36" s="121">
        <f>SUM(C27:C35)</f>
        <v>591.63</v>
      </c>
      <c r="D36" s="121">
        <f>SUM(D27:D35)</f>
        <v>403.36999999999995</v>
      </c>
      <c r="E36" s="366">
        <f>SUM(E28:E35)</f>
        <v>591.63</v>
      </c>
    </row>
    <row r="37" spans="1:27" ht="15.75" customHeight="1" x14ac:dyDescent="0.2">
      <c r="A37" s="844" t="s">
        <v>496</v>
      </c>
      <c r="B37" s="728" t="s">
        <v>497</v>
      </c>
      <c r="C37" s="728" t="s">
        <v>474</v>
      </c>
      <c r="D37" s="728" t="s">
        <v>474</v>
      </c>
      <c r="E37" s="845" t="s">
        <v>474</v>
      </c>
    </row>
    <row r="38" spans="1:27" ht="15.75" customHeight="1" x14ac:dyDescent="0.2">
      <c r="A38" s="846" t="s">
        <v>498</v>
      </c>
      <c r="B38" s="729">
        <f>MC!P84</f>
        <v>4.3500000000000014</v>
      </c>
      <c r="C38" s="719">
        <f>ROUND(((2*22*$B$38)-0.06*C$13),2)</f>
        <v>104.59</v>
      </c>
      <c r="D38" s="719">
        <f t="shared" ref="D38:E38" si="3">ROUND(((2*22*$B$38)-0.06*D$13),2)</f>
        <v>132.21</v>
      </c>
      <c r="E38" s="848">
        <f t="shared" si="3"/>
        <v>104.59</v>
      </c>
    </row>
    <row r="39" spans="1:27" ht="15.75" customHeight="1" x14ac:dyDescent="0.2">
      <c r="A39" s="846" t="s">
        <v>629</v>
      </c>
      <c r="B39" s="874">
        <f>MC!J21</f>
        <v>400.68</v>
      </c>
      <c r="C39" s="875">
        <f>B39</f>
        <v>400.68</v>
      </c>
      <c r="D39" s="875">
        <f>B39</f>
        <v>400.68</v>
      </c>
      <c r="E39" s="876">
        <f>B39</f>
        <v>400.68</v>
      </c>
    </row>
    <row r="40" spans="1:27" ht="15.75" customHeight="1" x14ac:dyDescent="0.2">
      <c r="A40" s="846" t="s">
        <v>500</v>
      </c>
      <c r="B40" s="722">
        <v>1.4999999999999999E-2</v>
      </c>
      <c r="C40" s="479"/>
      <c r="D40" s="479"/>
      <c r="E40" s="848"/>
    </row>
    <row r="41" spans="1:27" ht="15.75" customHeight="1" x14ac:dyDescent="0.2">
      <c r="A41" s="846" t="s">
        <v>630</v>
      </c>
      <c r="B41" s="874">
        <f>MC!J28</f>
        <v>71.5</v>
      </c>
      <c r="C41" s="875">
        <f>B41</f>
        <v>71.5</v>
      </c>
      <c r="D41" s="875">
        <f>B41</f>
        <v>71.5</v>
      </c>
      <c r="E41" s="876">
        <f>B41</f>
        <v>71.5</v>
      </c>
    </row>
    <row r="42" spans="1:27" ht="15.75" customHeight="1" x14ac:dyDescent="0.2">
      <c r="A42" s="846" t="s">
        <v>631</v>
      </c>
      <c r="B42" s="874">
        <f>MC!J29</f>
        <v>23.5</v>
      </c>
      <c r="C42" s="875">
        <f>B42</f>
        <v>23.5</v>
      </c>
      <c r="D42" s="875">
        <f>B42</f>
        <v>23.5</v>
      </c>
      <c r="E42" s="876">
        <f>B42</f>
        <v>23.5</v>
      </c>
    </row>
    <row r="43" spans="1:27" ht="15.75" customHeight="1" x14ac:dyDescent="0.2">
      <c r="A43" s="846" t="s">
        <v>503</v>
      </c>
      <c r="B43" s="479"/>
      <c r="C43" s="479"/>
      <c r="D43" s="479"/>
      <c r="E43" s="841"/>
    </row>
    <row r="44" spans="1:27" ht="15.75" customHeight="1" x14ac:dyDescent="0.2">
      <c r="A44" s="842" t="s">
        <v>481</v>
      </c>
      <c r="B44" s="726"/>
      <c r="C44" s="727">
        <f>SUM(C38:C43)</f>
        <v>600.27</v>
      </c>
      <c r="D44" s="727">
        <f t="shared" ref="D44:E44" si="4">SUM(D38:D43)</f>
        <v>627.89</v>
      </c>
      <c r="E44" s="849">
        <f t="shared" si="4"/>
        <v>600.27</v>
      </c>
    </row>
    <row r="45" spans="1:27" ht="15.75" customHeight="1" x14ac:dyDescent="0.2">
      <c r="A45" s="361" t="s">
        <v>504</v>
      </c>
      <c r="B45" s="102" t="s">
        <v>473</v>
      </c>
      <c r="C45" s="102" t="s">
        <v>474</v>
      </c>
      <c r="D45" s="102" t="s">
        <v>474</v>
      </c>
      <c r="E45" s="362" t="s">
        <v>474</v>
      </c>
    </row>
    <row r="46" spans="1:27" ht="15.75" customHeight="1" x14ac:dyDescent="0.2">
      <c r="A46" s="371" t="s">
        <v>483</v>
      </c>
      <c r="B46" s="130">
        <f>B25</f>
        <v>0.1111111111111111</v>
      </c>
      <c r="C46" s="131">
        <f>C25</f>
        <v>160.77166666666668</v>
      </c>
      <c r="D46" s="131">
        <f>D25</f>
        <v>109.61340909090909</v>
      </c>
      <c r="E46" s="374">
        <f>E25</f>
        <v>160.77166666666668</v>
      </c>
    </row>
    <row r="47" spans="1:27" ht="15.75" customHeight="1" x14ac:dyDescent="0.2">
      <c r="A47" s="371" t="s">
        <v>505</v>
      </c>
      <c r="B47" s="130">
        <f>B36</f>
        <v>0.36800000000000005</v>
      </c>
      <c r="C47" s="131">
        <f>C36</f>
        <v>591.63</v>
      </c>
      <c r="D47" s="131">
        <f>D36</f>
        <v>403.36999999999995</v>
      </c>
      <c r="E47" s="374">
        <f>E36</f>
        <v>591.63</v>
      </c>
      <c r="AA47" s="92" t="e">
        <f>'Prod. GEXJVL'!S13*'GEXJVL L.Ord e Covid - APS PR'!#REF!</f>
        <v>#REF!</v>
      </c>
    </row>
    <row r="48" spans="1:27" ht="15.75" customHeight="1" x14ac:dyDescent="0.2">
      <c r="A48" s="371" t="s">
        <v>496</v>
      </c>
      <c r="B48" s="130"/>
      <c r="C48" s="131">
        <f>C44</f>
        <v>600.27</v>
      </c>
      <c r="D48" s="131">
        <f>D44</f>
        <v>627.89</v>
      </c>
      <c r="E48" s="374">
        <f>E44</f>
        <v>600.27</v>
      </c>
    </row>
    <row r="49" spans="1:5" ht="15.75" customHeight="1" x14ac:dyDescent="0.2">
      <c r="A49" s="365" t="s">
        <v>481</v>
      </c>
      <c r="B49" s="112"/>
      <c r="C49" s="121">
        <f>SUM(C46:C48)</f>
        <v>1352.6716666666666</v>
      </c>
      <c r="D49" s="121">
        <f>SUM(D46:D48)</f>
        <v>1140.873409090909</v>
      </c>
      <c r="E49" s="366">
        <f>SUM(E46:E48)</f>
        <v>1352.6716666666666</v>
      </c>
    </row>
    <row r="50" spans="1:5" ht="15.75" customHeight="1" x14ac:dyDescent="0.2">
      <c r="A50" s="1137"/>
      <c r="B50" s="1138"/>
      <c r="C50" s="479"/>
      <c r="D50" s="725"/>
      <c r="E50" s="841"/>
    </row>
    <row r="51" spans="1:5" s="133" customFormat="1" ht="15.75" customHeight="1" x14ac:dyDescent="0.2">
      <c r="A51" s="1139" t="s">
        <v>506</v>
      </c>
      <c r="B51" s="1140"/>
      <c r="C51" s="1140"/>
      <c r="D51" s="1140"/>
      <c r="E51" s="1141"/>
    </row>
    <row r="52" spans="1:5" ht="15.75" customHeight="1" x14ac:dyDescent="0.2">
      <c r="A52" s="361" t="s">
        <v>507</v>
      </c>
      <c r="B52" s="102" t="s">
        <v>473</v>
      </c>
      <c r="C52" s="102" t="s">
        <v>474</v>
      </c>
      <c r="D52" s="102" t="s">
        <v>474</v>
      </c>
      <c r="E52" s="362" t="s">
        <v>474</v>
      </c>
    </row>
    <row r="53" spans="1:5" ht="15.75" customHeight="1" x14ac:dyDescent="0.2">
      <c r="A53" s="369" t="s">
        <v>508</v>
      </c>
      <c r="B53" s="134"/>
      <c r="C53" s="134"/>
      <c r="D53" s="134"/>
      <c r="E53" s="375"/>
    </row>
    <row r="54" spans="1:5" ht="15.75" customHeight="1" x14ac:dyDescent="0.2">
      <c r="A54" s="371" t="s">
        <v>509</v>
      </c>
      <c r="B54" s="130">
        <f>1/12*0.05</f>
        <v>4.1666666666666666E-3</v>
      </c>
      <c r="C54" s="136">
        <f>C19*$B54</f>
        <v>6.0287500000000005</v>
      </c>
      <c r="D54" s="136">
        <f t="shared" ref="D54:E54" si="5">D19*$B54</f>
        <v>4.1105113636363635</v>
      </c>
      <c r="E54" s="376">
        <f t="shared" si="5"/>
        <v>6.0287500000000005</v>
      </c>
    </row>
    <row r="55" spans="1:5" ht="15.75" customHeight="1" x14ac:dyDescent="0.2">
      <c r="A55" s="371" t="s">
        <v>510</v>
      </c>
      <c r="B55" s="130">
        <f>B35*B54</f>
        <v>3.3333333333333332E-4</v>
      </c>
      <c r="C55" s="136">
        <f>$B$55*C19</f>
        <v>0.48230000000000001</v>
      </c>
      <c r="D55" s="136">
        <f t="shared" ref="D55:E55" si="6">$B$55*D19</f>
        <v>0.32884090909090907</v>
      </c>
      <c r="E55" s="376">
        <f t="shared" si="6"/>
        <v>0.48230000000000001</v>
      </c>
    </row>
    <row r="56" spans="1:5" ht="15.75" customHeight="1" x14ac:dyDescent="0.2">
      <c r="A56" s="371" t="s">
        <v>511</v>
      </c>
      <c r="B56" s="130">
        <v>0</v>
      </c>
      <c r="C56" s="136">
        <f>C35*$B56</f>
        <v>0</v>
      </c>
      <c r="D56" s="136">
        <f t="shared" ref="D56:E56" si="7">D35*$B56</f>
        <v>0</v>
      </c>
      <c r="E56" s="376">
        <f t="shared" si="7"/>
        <v>0</v>
      </c>
    </row>
    <row r="57" spans="1:5" ht="15.75" customHeight="1" x14ac:dyDescent="0.2">
      <c r="A57" s="371" t="s">
        <v>512</v>
      </c>
      <c r="B57" s="130">
        <f>1/12*1/30*7</f>
        <v>1.9444444444444441E-2</v>
      </c>
      <c r="C57" s="131">
        <f>C19*$B57</f>
        <v>28.134166666666665</v>
      </c>
      <c r="D57" s="131">
        <f t="shared" ref="D57:E57" si="8">D19*$B57</f>
        <v>19.182386363636361</v>
      </c>
      <c r="E57" s="374">
        <f t="shared" si="8"/>
        <v>28.134166666666665</v>
      </c>
    </row>
    <row r="58" spans="1:5" ht="15.75" customHeight="1" x14ac:dyDescent="0.2">
      <c r="A58" s="371" t="s">
        <v>513</v>
      </c>
      <c r="B58" s="130">
        <f>B36*B57</f>
        <v>7.1555555555555556E-3</v>
      </c>
      <c r="C58" s="131">
        <f>$B58*C19</f>
        <v>10.353373333333334</v>
      </c>
      <c r="D58" s="131">
        <f t="shared" ref="D58:E58" si="9">$B58*D19</f>
        <v>7.0591181818181816</v>
      </c>
      <c r="E58" s="374">
        <f t="shared" si="9"/>
        <v>10.353373333333334</v>
      </c>
    </row>
    <row r="59" spans="1:5" ht="15.75" customHeight="1" x14ac:dyDescent="0.2">
      <c r="A59" s="371" t="s">
        <v>514</v>
      </c>
      <c r="B59" s="130">
        <f>B35*40/100*90/100*(1+1/12+1/12+1/3*1/12)</f>
        <v>3.4399999999999993E-2</v>
      </c>
      <c r="C59" s="131">
        <f>C19*$B59</f>
        <v>49.77335999999999</v>
      </c>
      <c r="D59" s="131">
        <f t="shared" ref="D59:E59" si="10">D19*$B59</f>
        <v>33.936381818181808</v>
      </c>
      <c r="E59" s="374">
        <f t="shared" si="10"/>
        <v>49.77335999999999</v>
      </c>
    </row>
    <row r="60" spans="1:5" ht="15.75" customHeight="1" x14ac:dyDescent="0.2">
      <c r="A60" s="365" t="s">
        <v>481</v>
      </c>
      <c r="B60" s="120">
        <f>SUM(B54:B59)</f>
        <v>6.5499999999999989E-2</v>
      </c>
      <c r="C60" s="137">
        <f>SUM(C54:C59)</f>
        <v>94.771950000000004</v>
      </c>
      <c r="D60" s="137">
        <f>SUM(D54:D59)</f>
        <v>64.617238636363624</v>
      </c>
      <c r="E60" s="377">
        <f>SUM(E54:E59)</f>
        <v>94.771950000000004</v>
      </c>
    </row>
    <row r="61" spans="1:5" ht="15.75" customHeight="1" x14ac:dyDescent="0.2">
      <c r="A61" s="1137"/>
      <c r="B61" s="1138"/>
      <c r="C61" s="730"/>
      <c r="D61" s="730"/>
      <c r="E61" s="850"/>
    </row>
    <row r="62" spans="1:5" ht="15.75" customHeight="1" x14ac:dyDescent="0.2">
      <c r="A62" s="1139" t="s">
        <v>515</v>
      </c>
      <c r="B62" s="1140"/>
      <c r="C62" s="1140"/>
      <c r="D62" s="1140"/>
      <c r="E62" s="1141"/>
    </row>
    <row r="63" spans="1:5" ht="15.75" customHeight="1" x14ac:dyDescent="0.2">
      <c r="A63" s="369" t="s">
        <v>49</v>
      </c>
      <c r="B63" s="117"/>
      <c r="C63" s="117"/>
      <c r="D63" s="117"/>
      <c r="E63" s="370"/>
    </row>
    <row r="64" spans="1:5" ht="15.75" customHeight="1" x14ac:dyDescent="0.2">
      <c r="A64" s="371" t="s">
        <v>50</v>
      </c>
      <c r="B64" s="108">
        <f>1/12</f>
        <v>8.3333333333333329E-2</v>
      </c>
      <c r="C64" s="125">
        <f>B64*($C$19+$C$49+$C$60)</f>
        <v>241.19530138888888</v>
      </c>
      <c r="D64" s="125">
        <f>B64*($D$19+$D$49+$D$60)</f>
        <v>182.66778124999999</v>
      </c>
      <c r="E64" s="373">
        <f>B64*($E$19+$E$49+$E$60)</f>
        <v>241.19530138888888</v>
      </c>
    </row>
    <row r="65" spans="1:5" ht="15.75" customHeight="1" x14ac:dyDescent="0.2">
      <c r="A65" s="371" t="s">
        <v>516</v>
      </c>
      <c r="B65" s="108">
        <f>MC!E56/30/12</f>
        <v>1.3538888888888885E-2</v>
      </c>
      <c r="C65" s="125">
        <f>B65*($C$19+$C$49+$C$60)</f>
        <v>39.186196632314804</v>
      </c>
      <c r="D65" s="125">
        <f>B65*($D$19+$D$49+$D$60)</f>
        <v>29.677425527083326</v>
      </c>
      <c r="E65" s="373">
        <f>B65*($E$19+$E$49+$E$60)</f>
        <v>39.186196632314804</v>
      </c>
    </row>
    <row r="66" spans="1:5" ht="15.75" customHeight="1" x14ac:dyDescent="0.2">
      <c r="A66" s="371" t="s">
        <v>517</v>
      </c>
      <c r="B66" s="139">
        <f>(5/30)/12*MC!F58*MC!C59</f>
        <v>1.0764583333333333E-4</v>
      </c>
      <c r="C66" s="125">
        <f>B66*($C$19+$C$49+$C$60)</f>
        <v>0.31156403056909721</v>
      </c>
      <c r="D66" s="125">
        <f>B66*($D$19+$D$49+$D$60)</f>
        <v>0.23596110642968748</v>
      </c>
      <c r="E66" s="373">
        <f>B66*($E$19+$E$49+$E$60)</f>
        <v>0.31156403056909721</v>
      </c>
    </row>
    <row r="67" spans="1:5" ht="15.75" customHeight="1" x14ac:dyDescent="0.2">
      <c r="A67" s="371" t="s">
        <v>518</v>
      </c>
      <c r="B67" s="139">
        <f>MC!C61/30/12</f>
        <v>2.6830555555555553E-3</v>
      </c>
      <c r="C67" s="125">
        <f>B67*($C$19+$C$49+$C$60)</f>
        <v>7.7656847203842583</v>
      </c>
      <c r="D67" s="125">
        <f>B67*($D$19+$D$49+$D$60)</f>
        <v>5.8812936636458328</v>
      </c>
      <c r="E67" s="373">
        <f>B67*($E$19+$E$49+$E$60)</f>
        <v>7.7656847203842583</v>
      </c>
    </row>
    <row r="68" spans="1:5" ht="15.75" customHeight="1" x14ac:dyDescent="0.2">
      <c r="A68" s="371" t="s">
        <v>519</v>
      </c>
      <c r="B68" s="108"/>
      <c r="C68" s="125"/>
      <c r="D68" s="125"/>
      <c r="E68" s="373">
        <f>B68*($E$19+$E$49+$E$60)</f>
        <v>0</v>
      </c>
    </row>
    <row r="69" spans="1:5" ht="15.75" customHeight="1" x14ac:dyDescent="0.2">
      <c r="A69" s="379" t="s">
        <v>520</v>
      </c>
      <c r="B69" s="141">
        <f>SUM(B64:B68)</f>
        <v>9.9662923611111107E-2</v>
      </c>
      <c r="C69" s="142">
        <f>SUM(C64:C68)</f>
        <v>288.4587467721571</v>
      </c>
      <c r="D69" s="142">
        <f>SUM(D64:D68)</f>
        <v>218.46246154715885</v>
      </c>
      <c r="E69" s="380">
        <f>SUM(E64:E68)</f>
        <v>288.4587467721571</v>
      </c>
    </row>
    <row r="70" spans="1:5" ht="15.75" customHeight="1" x14ac:dyDescent="0.2">
      <c r="A70" s="369" t="s">
        <v>521</v>
      </c>
      <c r="B70" s="117"/>
      <c r="C70" s="117"/>
      <c r="D70" s="117"/>
      <c r="E70" s="370"/>
    </row>
    <row r="71" spans="1:5" ht="15.75" customHeight="1" x14ac:dyDescent="0.2">
      <c r="A71" s="371" t="s">
        <v>522</v>
      </c>
      <c r="B71" s="108"/>
      <c r="C71" s="125"/>
      <c r="D71" s="125"/>
      <c r="E71" s="373"/>
    </row>
    <row r="72" spans="1:5" ht="15.75" customHeight="1" x14ac:dyDescent="0.2">
      <c r="A72" s="379" t="s">
        <v>520</v>
      </c>
      <c r="B72" s="141"/>
      <c r="C72" s="142">
        <f>C71</f>
        <v>0</v>
      </c>
      <c r="D72" s="142"/>
      <c r="E72" s="380"/>
    </row>
    <row r="73" spans="1:5" ht="15.75" customHeight="1" x14ac:dyDescent="0.2">
      <c r="A73" s="369" t="s">
        <v>71</v>
      </c>
      <c r="B73" s="117"/>
      <c r="C73" s="117"/>
      <c r="D73" s="117"/>
      <c r="E73" s="370"/>
    </row>
    <row r="74" spans="1:5" ht="15.75" customHeight="1" x14ac:dyDescent="0.2">
      <c r="A74" s="371" t="s">
        <v>72</v>
      </c>
      <c r="B74" s="108">
        <f>120/30*MC!C64*MC!C65</f>
        <v>6.18624E-3</v>
      </c>
      <c r="C74" s="125">
        <f>(((C19*2)+ (C19*1/3))+(C36)+(C44-C38-C39))*$B$74</f>
        <v>25.133022835200002</v>
      </c>
      <c r="D74" s="125">
        <f>(((D19*2)+ (D19*1/3))+(D36)+(D44-D38-D39))*$B$74</f>
        <v>17.323057926981818</v>
      </c>
      <c r="E74" s="373">
        <f>(((E19*2)+ (E19*1/3))+(E36)+(E44-E38-E39))*$B$74</f>
        <v>25.133022835200002</v>
      </c>
    </row>
    <row r="75" spans="1:5" ht="15.75" customHeight="1" x14ac:dyDescent="0.2">
      <c r="A75" s="379" t="s">
        <v>481</v>
      </c>
      <c r="B75" s="141"/>
      <c r="C75" s="142"/>
      <c r="D75" s="142"/>
      <c r="E75" s="380"/>
    </row>
    <row r="76" spans="1:5" ht="15.75" customHeight="1" x14ac:dyDescent="0.2">
      <c r="A76" s="361" t="s">
        <v>523</v>
      </c>
      <c r="B76" s="102"/>
      <c r="C76" s="102"/>
      <c r="D76" s="102"/>
      <c r="E76" s="362"/>
    </row>
    <row r="77" spans="1:5" ht="15.75" customHeight="1" x14ac:dyDescent="0.2">
      <c r="A77" s="371" t="s">
        <v>49</v>
      </c>
      <c r="B77" s="130">
        <f>B69</f>
        <v>9.9662923611111107E-2</v>
      </c>
      <c r="C77" s="131">
        <f>C69</f>
        <v>288.4587467721571</v>
      </c>
      <c r="D77" s="131">
        <f>D69</f>
        <v>218.46246154715885</v>
      </c>
      <c r="E77" s="374">
        <f>E69</f>
        <v>288.4587467721571</v>
      </c>
    </row>
    <row r="78" spans="1:5" ht="15.75" customHeight="1" x14ac:dyDescent="0.2">
      <c r="A78" s="371" t="s">
        <v>521</v>
      </c>
      <c r="B78" s="130">
        <f>B72</f>
        <v>0</v>
      </c>
      <c r="C78" s="131">
        <f>C72</f>
        <v>0</v>
      </c>
      <c r="D78" s="131">
        <f>D72</f>
        <v>0</v>
      </c>
      <c r="E78" s="374">
        <f>E72</f>
        <v>0</v>
      </c>
    </row>
    <row r="79" spans="1:5" ht="15.75" customHeight="1" x14ac:dyDescent="0.2">
      <c r="A79" s="371" t="s">
        <v>71</v>
      </c>
      <c r="B79" s="130">
        <f>B74</f>
        <v>6.18624E-3</v>
      </c>
      <c r="C79" s="131">
        <f>C74</f>
        <v>25.133022835200002</v>
      </c>
      <c r="D79" s="131">
        <f>D74</f>
        <v>17.323057926981818</v>
      </c>
      <c r="E79" s="374">
        <f>E74</f>
        <v>25.133022835200002</v>
      </c>
    </row>
    <row r="80" spans="1:5" ht="15.75" customHeight="1" x14ac:dyDescent="0.2">
      <c r="A80" s="365" t="s">
        <v>481</v>
      </c>
      <c r="B80" s="112"/>
      <c r="C80" s="121">
        <f>SUM(C77:C79)</f>
        <v>313.59176960735709</v>
      </c>
      <c r="D80" s="121">
        <f>SUM(D77:D79)</f>
        <v>235.78551947414067</v>
      </c>
      <c r="E80" s="366">
        <f>SUM(E77:E79)</f>
        <v>313.59176960735709</v>
      </c>
    </row>
    <row r="81" spans="1:5" ht="15.75" customHeight="1" x14ac:dyDescent="0.2">
      <c r="A81" s="851"/>
      <c r="B81" s="479"/>
      <c r="C81" s="479"/>
      <c r="D81" s="479"/>
      <c r="E81" s="841"/>
    </row>
    <row r="82" spans="1:5" ht="15.75" customHeight="1" x14ac:dyDescent="0.2">
      <c r="A82" s="852" t="s">
        <v>524</v>
      </c>
      <c r="B82" s="732"/>
      <c r="C82" s="732"/>
      <c r="D82" s="732"/>
      <c r="E82" s="853"/>
    </row>
    <row r="83" spans="1:5" ht="15.75" customHeight="1" x14ac:dyDescent="0.2">
      <c r="A83" s="836" t="s">
        <v>525</v>
      </c>
      <c r="B83" s="718" t="s">
        <v>497</v>
      </c>
      <c r="C83" s="718" t="s">
        <v>474</v>
      </c>
      <c r="D83" s="718" t="s">
        <v>474</v>
      </c>
      <c r="E83" s="837" t="s">
        <v>474</v>
      </c>
    </row>
    <row r="84" spans="1:5" ht="15.75" customHeight="1" x14ac:dyDescent="0.2">
      <c r="A84" s="846" t="s">
        <v>526</v>
      </c>
      <c r="B84" s="729">
        <f>Insumos!G105</f>
        <v>27.875416666666666</v>
      </c>
      <c r="C84" s="733">
        <f>B84</f>
        <v>27.875416666666666</v>
      </c>
      <c r="D84" s="733">
        <f>B84</f>
        <v>27.875416666666666</v>
      </c>
      <c r="E84" s="873">
        <f>B84</f>
        <v>27.875416666666666</v>
      </c>
    </row>
    <row r="85" spans="1:5" ht="15.75" customHeight="1" x14ac:dyDescent="0.2">
      <c r="A85" s="846" t="s">
        <v>527</v>
      </c>
      <c r="B85" s="729">
        <f>Insumos!G59</f>
        <v>461.23111666666665</v>
      </c>
      <c r="C85" s="733">
        <f>B85</f>
        <v>461.23111666666665</v>
      </c>
      <c r="D85" s="733">
        <f>B85</f>
        <v>461.23111666666665</v>
      </c>
      <c r="E85" s="364">
        <f>Insumos!G69</f>
        <v>247.1166666666667</v>
      </c>
    </row>
    <row r="86" spans="1:5" ht="15.75" customHeight="1" x14ac:dyDescent="0.2">
      <c r="A86" s="846" t="s">
        <v>528</v>
      </c>
      <c r="B86" s="729">
        <f>Insumos!K99</f>
        <v>20.684885416666667</v>
      </c>
      <c r="C86" s="733">
        <f>B86</f>
        <v>20.684885416666667</v>
      </c>
      <c r="D86" s="733">
        <f>B86</f>
        <v>20.684885416666667</v>
      </c>
      <c r="E86" s="364"/>
    </row>
    <row r="87" spans="1:5" ht="15.75" customHeight="1" x14ac:dyDescent="0.2">
      <c r="A87" s="846" t="s">
        <v>529</v>
      </c>
      <c r="B87" s="729"/>
      <c r="C87" s="106">
        <f>Insumos!I129</f>
        <v>36.666666666666671</v>
      </c>
      <c r="D87" s="106">
        <f>Insumos!H129</f>
        <v>25.446666666666665</v>
      </c>
      <c r="E87" s="364">
        <f>Insumos!I122</f>
        <v>142.21333333333334</v>
      </c>
    </row>
    <row r="88" spans="1:5" ht="15.75" customHeight="1" x14ac:dyDescent="0.2">
      <c r="A88" s="846" t="s">
        <v>530</v>
      </c>
      <c r="B88" s="722">
        <v>0.12</v>
      </c>
      <c r="C88" s="479"/>
      <c r="D88" s="479"/>
      <c r="E88" s="848"/>
    </row>
    <row r="89" spans="1:5" ht="15.75" customHeight="1" x14ac:dyDescent="0.2">
      <c r="A89" s="846" t="s">
        <v>632</v>
      </c>
      <c r="B89" s="729">
        <v>50.32</v>
      </c>
      <c r="C89" s="479"/>
      <c r="D89" s="479"/>
      <c r="E89" s="841"/>
    </row>
    <row r="90" spans="1:5" ht="15.75" customHeight="1" x14ac:dyDescent="0.2">
      <c r="A90" s="846" t="s">
        <v>532</v>
      </c>
      <c r="B90" s="479"/>
      <c r="C90" s="479"/>
      <c r="D90" s="479"/>
      <c r="E90" s="841"/>
    </row>
    <row r="91" spans="1:5" ht="15.75" customHeight="1" x14ac:dyDescent="0.2">
      <c r="A91" s="854" t="s">
        <v>481</v>
      </c>
      <c r="B91" s="731"/>
      <c r="C91" s="734">
        <f>SUM(C84:C90)</f>
        <v>546.45808541666668</v>
      </c>
      <c r="D91" s="734">
        <f t="shared" ref="D91:E91" si="11">SUM(D84:D90)</f>
        <v>535.23808541666665</v>
      </c>
      <c r="E91" s="855">
        <f t="shared" si="11"/>
        <v>417.20541666666668</v>
      </c>
    </row>
    <row r="92" spans="1:5" ht="15.75" customHeight="1" x14ac:dyDescent="0.2">
      <c r="A92" s="1142"/>
      <c r="B92" s="1143"/>
      <c r="C92" s="486"/>
      <c r="D92" s="486"/>
      <c r="E92" s="856"/>
    </row>
    <row r="93" spans="1:5" ht="15.75" customHeight="1" x14ac:dyDescent="0.2">
      <c r="A93" s="381" t="s">
        <v>533</v>
      </c>
      <c r="B93" s="200"/>
      <c r="C93" s="200"/>
      <c r="D93" s="200"/>
      <c r="E93" s="382"/>
    </row>
    <row r="94" spans="1:5" ht="15.75" customHeight="1" x14ac:dyDescent="0.2">
      <c r="A94" s="361" t="s">
        <v>534</v>
      </c>
      <c r="B94" s="102" t="s">
        <v>473</v>
      </c>
      <c r="C94" s="102" t="s">
        <v>474</v>
      </c>
      <c r="D94" s="102" t="s">
        <v>474</v>
      </c>
      <c r="E94" s="362" t="s">
        <v>474</v>
      </c>
    </row>
    <row r="95" spans="1:5" ht="15.75" customHeight="1" x14ac:dyDescent="0.2">
      <c r="A95" s="363" t="s">
        <v>77</v>
      </c>
      <c r="B95" s="108">
        <f>MC!C68</f>
        <v>0.03</v>
      </c>
      <c r="C95" s="125">
        <f>($C$19+$C$49+$C$60+$C$80+$C$91)*$B$95</f>
        <v>112.6318041507207</v>
      </c>
      <c r="D95" s="125">
        <f>($D$19+$D$49+$D$60+$D$80+$D$91)*$B$95</f>
        <v>88.891109396724218</v>
      </c>
      <c r="E95" s="373">
        <f>($E$19+$E$49+$E$60+$E$80+$E$91)*$B$95</f>
        <v>108.75422408822071</v>
      </c>
    </row>
    <row r="96" spans="1:5" ht="15.75" customHeight="1" x14ac:dyDescent="0.2">
      <c r="A96" s="363" t="s">
        <v>78</v>
      </c>
      <c r="B96" s="108">
        <f>MC!C69</f>
        <v>6.7900000000000002E-2</v>
      </c>
      <c r="C96" s="125">
        <f>($C$19+$C$49+$C$60+$C$80+$C$91+C95)*B96</f>
        <v>262.57101622963182</v>
      </c>
      <c r="D96" s="125">
        <f>($D$19+$D$49+$D$60+$D$80+$D$91+$D$95)*$B$96</f>
        <v>207.22591726262337</v>
      </c>
      <c r="E96" s="373">
        <f>($E$19+$E$49+$E$60+$E$80+$E$91+$E$95)*$B$96</f>
        <v>253.53147233526306</v>
      </c>
    </row>
    <row r="97" spans="1:6" ht="15.75" customHeight="1" x14ac:dyDescent="0.2">
      <c r="A97" s="385" t="s">
        <v>535</v>
      </c>
      <c r="B97" s="204">
        <f>B98+B99</f>
        <v>0.1125</v>
      </c>
      <c r="C97" s="205">
        <f>((C19+C49+C60+C80+C91+C95+C96)/(1-($B$97)))*$B$97</f>
        <v>523.46995251604767</v>
      </c>
      <c r="D97" s="205">
        <f>((D19+D49+D60+D80+D91+D95+D96)/(1-($B$97)))*$B$97</f>
        <v>413.13219801339989</v>
      </c>
      <c r="E97" s="386">
        <f>((E19+E49+E60+E80+E91+E95+E96)/(1-($B$97)))*$B$97</f>
        <v>505.44842949686716</v>
      </c>
    </row>
    <row r="98" spans="1:6" ht="15.75" customHeight="1" x14ac:dyDescent="0.2">
      <c r="A98" s="363" t="s">
        <v>536</v>
      </c>
      <c r="B98" s="108">
        <f>0.0165+0.076</f>
        <v>9.2499999999999999E-2</v>
      </c>
      <c r="C98" s="206">
        <f>((C$19+C$49+C$60+C$80+C$91+C$95+C$96)/(1-($B$97)))*$B$98</f>
        <v>430.40862762430584</v>
      </c>
      <c r="D98" s="206">
        <f t="shared" ref="D98:E98" si="12">((D$19+D$49+D$60+D$80+D$91+D$95+D$96)/(1-($B$97)))*$B$98</f>
        <v>339.68647392212876</v>
      </c>
      <c r="E98" s="387">
        <f t="shared" si="12"/>
        <v>415.59093091964633</v>
      </c>
    </row>
    <row r="99" spans="1:6" ht="15.75" customHeight="1" x14ac:dyDescent="0.2">
      <c r="A99" s="363" t="s">
        <v>537</v>
      </c>
      <c r="B99" s="108">
        <v>0.02</v>
      </c>
      <c r="C99" s="207">
        <f>((C$19+C$49+C$60+C$80+C$91+C$95+C$96)/(1-($B$97)))*$B$99</f>
        <v>93.061324891741805</v>
      </c>
      <c r="D99" s="207">
        <f t="shared" ref="D99:E99" si="13">((D$19+D$49+D$60+D$80+D$91+D$95+D$96)/(1-($B$97)))*$B$99</f>
        <v>73.445724091271089</v>
      </c>
      <c r="E99" s="388">
        <f t="shared" si="13"/>
        <v>89.857498577220838</v>
      </c>
    </row>
    <row r="100" spans="1:6" ht="15.75" customHeight="1" x14ac:dyDescent="0.2">
      <c r="A100" s="385" t="s">
        <v>538</v>
      </c>
      <c r="B100" s="204">
        <f>B101+B102</f>
        <v>0.11749999999999999</v>
      </c>
      <c r="C100" s="205">
        <f>((C19+C49+C60+C80+C91+C95+C96)/(1-($B$100)))*$B$100</f>
        <v>549.83293407178189</v>
      </c>
      <c r="D100" s="205">
        <f t="shared" ref="D100:E100" si="14">((D19+D49+D60+D80+D91+D95+D96)/(1-($B$100)))*$B$100</f>
        <v>433.93835214690432</v>
      </c>
      <c r="E100" s="386">
        <f t="shared" si="14"/>
        <v>530.90381153007411</v>
      </c>
    </row>
    <row r="101" spans="1:6" ht="15.75" customHeight="1" x14ac:dyDescent="0.2">
      <c r="A101" s="363" t="s">
        <v>536</v>
      </c>
      <c r="B101" s="108">
        <f>0.0165+0.076</f>
        <v>9.2499999999999999E-2</v>
      </c>
      <c r="C101" s="206">
        <f>((C19+C49+C60+C80+C91+C95+C96)/(1-($B$100)))*$B$101</f>
        <v>432.84720341821128</v>
      </c>
      <c r="D101" s="206">
        <f t="shared" ref="D101:E101" si="15">((D19+D49+D60+D80+D91+D95+D96)/(1-($B$100)))*$B$101</f>
        <v>341.61104317947792</v>
      </c>
      <c r="E101" s="387">
        <f t="shared" si="15"/>
        <v>417.94555375771796</v>
      </c>
    </row>
    <row r="102" spans="1:6" ht="15.75" customHeight="1" x14ac:dyDescent="0.2">
      <c r="A102" s="363" t="s">
        <v>537</v>
      </c>
      <c r="B102" s="108">
        <v>2.5000000000000001E-2</v>
      </c>
      <c r="C102" s="207">
        <f>((C$19+C$49+C$60+C$80+C$91+C$95+C$96)/(1-($B$100)))*$B$102</f>
        <v>116.98573065357061</v>
      </c>
      <c r="D102" s="207">
        <f t="shared" ref="D102:E102" si="16">((D$19+D$49+D$60+D$80+D$91+D$95+D$96)/(1-($B$100)))*$B$102</f>
        <v>92.327308967426461</v>
      </c>
      <c r="E102" s="388">
        <f t="shared" si="16"/>
        <v>112.95825777235621</v>
      </c>
    </row>
    <row r="103" spans="1:6" ht="15.75" customHeight="1" x14ac:dyDescent="0.2">
      <c r="A103" s="385" t="s">
        <v>539</v>
      </c>
      <c r="B103" s="204">
        <f>B104+B105</f>
        <v>0.1225</v>
      </c>
      <c r="C103" s="205">
        <f>((C19+C49+C60+C80+C91+C95+C96)/(1-($B$103)))*$B$103</f>
        <v>576.49634846575805</v>
      </c>
      <c r="D103" s="205">
        <f t="shared" ref="D103:E103" si="17">((D19+D49+D60+D80+D91+D95+D96)/(1-($B$103)))*$B$103</f>
        <v>454.9816134500216</v>
      </c>
      <c r="E103" s="386">
        <f t="shared" si="17"/>
        <v>556.64928338702157</v>
      </c>
    </row>
    <row r="104" spans="1:6" ht="15.75" customHeight="1" x14ac:dyDescent="0.2">
      <c r="A104" s="363" t="s">
        <v>536</v>
      </c>
      <c r="B104" s="108">
        <f>0.0165+0.076</f>
        <v>9.2499999999999999E-2</v>
      </c>
      <c r="C104" s="206">
        <f>((C19+C49+C60+C80+C91+C95+C96)/(1-($B$103)))*$B$104</f>
        <v>435.31356924965405</v>
      </c>
      <c r="D104" s="206">
        <f t="shared" ref="D104:E104" si="18">((D19+D49+D60+D80+D91+D95+D96)/(1-($B$103)))*$B$104</f>
        <v>343.55754485001631</v>
      </c>
      <c r="E104" s="387">
        <f t="shared" si="18"/>
        <v>420.32700990448564</v>
      </c>
    </row>
    <row r="105" spans="1:6" ht="15.75" customHeight="1" x14ac:dyDescent="0.2">
      <c r="A105" s="363" t="s">
        <v>537</v>
      </c>
      <c r="B105" s="108">
        <v>0.03</v>
      </c>
      <c r="C105" s="207">
        <f>((C19+C49+C60+C80+C91+C95+C96)/(1-($B$103)))*$B$105</f>
        <v>141.18277921610402</v>
      </c>
      <c r="D105" s="207">
        <f t="shared" ref="D105:E105" si="19">((D19+D49+D60+D80+D91+D95+D96)/(1-($B$103)))*$B$105</f>
        <v>111.42406860000528</v>
      </c>
      <c r="E105" s="388">
        <f t="shared" si="19"/>
        <v>136.32227348253588</v>
      </c>
      <c r="F105" s="208"/>
    </row>
    <row r="106" spans="1:6" ht="15.75" customHeight="1" x14ac:dyDescent="0.2">
      <c r="A106" s="385" t="s">
        <v>618</v>
      </c>
      <c r="B106" s="204">
        <f>B107+B108</f>
        <v>0.1275</v>
      </c>
      <c r="C106" s="205">
        <f>((C19+C49+C60+C80+C91+C95+C96)/(1-($B$106)))*$B$106</f>
        <v>603.46536073244465</v>
      </c>
      <c r="D106" s="205">
        <f t="shared" ref="D106:E106" si="20">((D19+D49+D60+D80+D91+D95+D96)/(1-($B$106)))*$B$106</f>
        <v>476.26605826377613</v>
      </c>
      <c r="E106" s="386">
        <f t="shared" si="20"/>
        <v>582.68983228530908</v>
      </c>
      <c r="F106" s="208"/>
    </row>
    <row r="107" spans="1:6" ht="15.75" customHeight="1" x14ac:dyDescent="0.2">
      <c r="A107" s="363" t="s">
        <v>536</v>
      </c>
      <c r="B107" s="108">
        <f>0.0165+0.076</f>
        <v>9.2499999999999999E-2</v>
      </c>
      <c r="C107" s="206">
        <f>((C19+C49+C60+C80+C91+C95+C96)/(1-($B$1065)))*$B$107</f>
        <v>381.98765701657146</v>
      </c>
      <c r="D107" s="206">
        <f t="shared" ref="D107:E107" si="21">((D19+D49+D60+D80+D91+D95+D96)/(1-($B$1065)))*$B$107</f>
        <v>301.47174560588928</v>
      </c>
      <c r="E107" s="387">
        <f t="shared" si="21"/>
        <v>368.83695119118607</v>
      </c>
      <c r="F107" s="208"/>
    </row>
    <row r="108" spans="1:6" ht="15.75" customHeight="1" x14ac:dyDescent="0.2">
      <c r="A108" s="363" t="s">
        <v>537</v>
      </c>
      <c r="B108" s="108">
        <v>3.5000000000000003E-2</v>
      </c>
      <c r="C108" s="207">
        <f>((C19+C49+C60+C80+C91+C95+C96)/(1-($B$106)))*$B$108</f>
        <v>165.65715784812207</v>
      </c>
      <c r="D108" s="207">
        <f t="shared" ref="D108:E108" si="22">((D19+D49+D60+D80+D91+D95+D96)/(1-($B$106)))*$B$108</f>
        <v>130.73970226848758</v>
      </c>
      <c r="E108" s="388">
        <f t="shared" si="22"/>
        <v>159.95407160773192</v>
      </c>
      <c r="F108" s="208"/>
    </row>
    <row r="109" spans="1:6" ht="15.75" customHeight="1" x14ac:dyDescent="0.2">
      <c r="A109" s="385" t="s">
        <v>540</v>
      </c>
      <c r="B109" s="204">
        <f>B110+B111</f>
        <v>0.13250000000000001</v>
      </c>
      <c r="C109" s="205">
        <f>((C19+C49+C60+C80+C91+C95+C96)/(1-($B$109)))*$B$109</f>
        <v>630.74525498491437</v>
      </c>
      <c r="D109" s="205">
        <f t="shared" ref="D109:E109" si="23">((D19+D49+D60+D80+D91+D95+D96)/(1-($B$109)))*$B$109</f>
        <v>497.79585690823689</v>
      </c>
      <c r="E109" s="386">
        <f t="shared" si="23"/>
        <v>609.03056042161745</v>
      </c>
    </row>
    <row r="110" spans="1:6" ht="15.75" customHeight="1" x14ac:dyDescent="0.2">
      <c r="A110" s="363" t="s">
        <v>536</v>
      </c>
      <c r="B110" s="108">
        <f>0.0165+0.076</f>
        <v>9.2499999999999999E-2</v>
      </c>
      <c r="C110" s="206">
        <f>((C19+C49+C60+C80+C91+C95+C96)/(1-($B$109)))*$B$110</f>
        <v>440.33159310267609</v>
      </c>
      <c r="D110" s="206">
        <f t="shared" ref="D110:E110" si="24">((D19+D49+D60+D80+D91+D95+D96)/(1-($B$109)))*$B$110</f>
        <v>347.5178623699012</v>
      </c>
      <c r="E110" s="387">
        <f t="shared" si="24"/>
        <v>425.17227803018574</v>
      </c>
    </row>
    <row r="111" spans="1:6" ht="15.75" customHeight="1" x14ac:dyDescent="0.2">
      <c r="A111" s="363" t="s">
        <v>537</v>
      </c>
      <c r="B111" s="108">
        <v>0.04</v>
      </c>
      <c r="C111" s="207">
        <f>((C19+C49+C60+C80+C91+C95+C96)/(1-($B$109)))*$B$111</f>
        <v>190.4136618822383</v>
      </c>
      <c r="D111" s="207">
        <f t="shared" ref="D111:E111" si="25">((D19+D49+D60+D80+D91+D95+D96)/(1-($B$109)))*$B$111</f>
        <v>150.27799453833566</v>
      </c>
      <c r="E111" s="388">
        <f t="shared" si="25"/>
        <v>183.85828239143169</v>
      </c>
    </row>
    <row r="112" spans="1:6" ht="15.75" customHeight="1" x14ac:dyDescent="0.2">
      <c r="A112" s="385" t="s">
        <v>541</v>
      </c>
      <c r="B112" s="204">
        <f>B113+B114</f>
        <v>0.14250000000000002</v>
      </c>
      <c r="C112" s="205">
        <f>((C19+C49+C60+C80+C91+C95+C96)/(1-($B$112)))*$B$112</f>
        <v>686.25944212259321</v>
      </c>
      <c r="D112" s="205">
        <f t="shared" ref="D112:E112" si="26">((D19+D49+D60+D80+D91+D95+D96)/(1-($B$112)))*$B$112</f>
        <v>541.60868330425319</v>
      </c>
      <c r="E112" s="386">
        <f t="shared" si="26"/>
        <v>662.63355820337608</v>
      </c>
    </row>
    <row r="113" spans="1:6" ht="15.75" customHeight="1" x14ac:dyDescent="0.2">
      <c r="A113" s="363" t="s">
        <v>536</v>
      </c>
      <c r="B113" s="108">
        <f>0.0165+0.076</f>
        <v>9.2499999999999999E-2</v>
      </c>
      <c r="C113" s="206">
        <f>((C19+C49+C60+C80+C91+C95+C96)/(1-($B$112)))*$B$113</f>
        <v>445.46665541291128</v>
      </c>
      <c r="D113" s="206">
        <f t="shared" ref="D113:E113" si="27">((D19+D49+D60+D80+D91+D95+D96)/(1-($B$112)))*$B$113</f>
        <v>351.57054881153272</v>
      </c>
      <c r="E113" s="387">
        <f t="shared" si="27"/>
        <v>430.13055532499845</v>
      </c>
    </row>
    <row r="114" spans="1:6" ht="15.75" customHeight="1" x14ac:dyDescent="0.2">
      <c r="A114" s="363" t="s">
        <v>537</v>
      </c>
      <c r="B114" s="209">
        <v>0.05</v>
      </c>
      <c r="C114" s="207">
        <f>((C19+C49+C60+C80+C91+C95+C96)/(1-($B$112)))*$B$114</f>
        <v>240.79278670968179</v>
      </c>
      <c r="D114" s="207">
        <f t="shared" ref="D114:E114" si="28">((D19+D49+D60+D80+D91+D95+D96)/(1-($B$112)))*$B$114</f>
        <v>190.03813449272039</v>
      </c>
      <c r="E114" s="388">
        <f t="shared" si="28"/>
        <v>232.50300287837754</v>
      </c>
    </row>
    <row r="115" spans="1:6" ht="15.75" customHeight="1" x14ac:dyDescent="0.2">
      <c r="A115" s="1144" t="s">
        <v>542</v>
      </c>
      <c r="B115" s="210">
        <v>0.02</v>
      </c>
      <c r="C115" s="211">
        <f>C95+C96+C97</f>
        <v>898.67277289640015</v>
      </c>
      <c r="D115" s="211">
        <f>D95+D96+D97</f>
        <v>709.24922467274746</v>
      </c>
      <c r="E115" s="389">
        <f>E95+E96+E97</f>
        <v>867.73412592035095</v>
      </c>
    </row>
    <row r="116" spans="1:6" ht="15.75" customHeight="1" x14ac:dyDescent="0.2">
      <c r="A116" s="1145"/>
      <c r="B116" s="212">
        <v>2.5000000000000001E-2</v>
      </c>
      <c r="C116" s="213">
        <f>C95+C96+C100</f>
        <v>925.03575445213437</v>
      </c>
      <c r="D116" s="213">
        <f>D95+D96+D100</f>
        <v>730.05537880625184</v>
      </c>
      <c r="E116" s="390">
        <f>E95+E96+E100</f>
        <v>893.18950795355795</v>
      </c>
    </row>
    <row r="117" spans="1:6" ht="15.75" customHeight="1" x14ac:dyDescent="0.2">
      <c r="A117" s="1145"/>
      <c r="B117" s="212">
        <v>0.03</v>
      </c>
      <c r="C117" s="213">
        <f>C95+C96+C103</f>
        <v>951.69916884611052</v>
      </c>
      <c r="D117" s="213">
        <f>D95+D96+D103</f>
        <v>751.09864010936917</v>
      </c>
      <c r="E117" s="390">
        <f>E95+E96+E103</f>
        <v>918.93497981050541</v>
      </c>
      <c r="F117" s="208"/>
    </row>
    <row r="118" spans="1:6" ht="15.75" customHeight="1" x14ac:dyDescent="0.2">
      <c r="A118" s="1145"/>
      <c r="B118" s="641">
        <v>3.5000000000000003E-2</v>
      </c>
      <c r="C118" s="213">
        <f>C95+C96+C106</f>
        <v>978.66818111279713</v>
      </c>
      <c r="D118" s="213">
        <f t="shared" ref="D118:E118" si="29">D95+D96+D106</f>
        <v>772.38308492312376</v>
      </c>
      <c r="E118" s="390">
        <f t="shared" si="29"/>
        <v>944.97552870879281</v>
      </c>
      <c r="F118" s="208"/>
    </row>
    <row r="119" spans="1:6" ht="15.75" customHeight="1" x14ac:dyDescent="0.2">
      <c r="A119" s="1145"/>
      <c r="B119" s="212">
        <v>0.04</v>
      </c>
      <c r="C119" s="213">
        <f>C95+C96+C109</f>
        <v>1005.948075365267</v>
      </c>
      <c r="D119" s="213">
        <f>D95+D96+D109</f>
        <v>793.91288356758446</v>
      </c>
      <c r="E119" s="390">
        <f>E95+E96+E109</f>
        <v>971.31625684510118</v>
      </c>
    </row>
    <row r="120" spans="1:6" ht="15.75" customHeight="1" x14ac:dyDescent="0.2">
      <c r="A120" s="1146"/>
      <c r="B120" s="214">
        <v>0.05</v>
      </c>
      <c r="C120" s="215">
        <f>C95+C96+C112</f>
        <v>1061.4622625029458</v>
      </c>
      <c r="D120" s="215">
        <f>D95+D96+D112</f>
        <v>837.72570996360082</v>
      </c>
      <c r="E120" s="391">
        <f>E95+E96+E112</f>
        <v>1024.9192546268598</v>
      </c>
    </row>
    <row r="121" spans="1:6" ht="45.75" customHeight="1" x14ac:dyDescent="0.2">
      <c r="A121" s="363" t="s">
        <v>543</v>
      </c>
      <c r="B121" s="216"/>
      <c r="C121" s="217"/>
      <c r="D121" s="217"/>
      <c r="E121" s="392"/>
    </row>
    <row r="122" spans="1:6" ht="15.75" customHeight="1" x14ac:dyDescent="0.2">
      <c r="A122" s="393"/>
      <c r="B122" s="220"/>
      <c r="C122" s="221"/>
      <c r="D122" s="221"/>
      <c r="E122" s="394"/>
    </row>
    <row r="123" spans="1:6" ht="15.75" customHeight="1" x14ac:dyDescent="0.2">
      <c r="A123" s="1147"/>
      <c r="B123" s="1148"/>
      <c r="C123" s="1148"/>
      <c r="D123" s="1148"/>
      <c r="E123" s="1149"/>
    </row>
    <row r="124" spans="1:6" ht="15.75" customHeight="1" x14ac:dyDescent="0.2">
      <c r="A124" s="1150"/>
      <c r="B124" s="1151"/>
      <c r="C124" s="1151"/>
      <c r="D124" s="1151"/>
      <c r="E124" s="1152"/>
    </row>
    <row r="125" spans="1:6" ht="15.75" customHeight="1" x14ac:dyDescent="0.2">
      <c r="A125" s="1153" t="s">
        <v>544</v>
      </c>
      <c r="B125" s="1154"/>
      <c r="C125" s="224" t="str">
        <f>C10</f>
        <v>Servente 40h</v>
      </c>
      <c r="D125" s="224" t="str">
        <f>D10</f>
        <v>Servente 30h</v>
      </c>
      <c r="E125" s="395" t="str">
        <f>E10</f>
        <v>Servente 44h Covid</v>
      </c>
    </row>
    <row r="126" spans="1:6" ht="15.75" customHeight="1" x14ac:dyDescent="0.2">
      <c r="A126" s="1155" t="s">
        <v>545</v>
      </c>
      <c r="B126" s="1156"/>
      <c r="C126" s="227" t="s">
        <v>474</v>
      </c>
      <c r="D126" s="227" t="s">
        <v>474</v>
      </c>
      <c r="E126" s="396" t="s">
        <v>474</v>
      </c>
    </row>
    <row r="127" spans="1:6" ht="15.75" customHeight="1" x14ac:dyDescent="0.2">
      <c r="A127" s="1157" t="s">
        <v>546</v>
      </c>
      <c r="B127" s="1158"/>
      <c r="C127" s="229">
        <f>C19</f>
        <v>1446.9</v>
      </c>
      <c r="D127" s="229">
        <f>D19</f>
        <v>986.52272727272725</v>
      </c>
      <c r="E127" s="397">
        <f>E19</f>
        <v>1446.9</v>
      </c>
    </row>
    <row r="128" spans="1:6" ht="15.75" customHeight="1" x14ac:dyDescent="0.2">
      <c r="A128" s="1119" t="s">
        <v>547</v>
      </c>
      <c r="B128" s="1120"/>
      <c r="C128" s="150">
        <f>C49</f>
        <v>1352.6716666666666</v>
      </c>
      <c r="D128" s="150">
        <f>D49</f>
        <v>1140.873409090909</v>
      </c>
      <c r="E128" s="398">
        <f>E49</f>
        <v>1352.6716666666666</v>
      </c>
    </row>
    <row r="129" spans="1:5" ht="15.75" customHeight="1" x14ac:dyDescent="0.2">
      <c r="A129" s="1119" t="s">
        <v>548</v>
      </c>
      <c r="B129" s="1120"/>
      <c r="C129" s="150">
        <f>C60</f>
        <v>94.771950000000004</v>
      </c>
      <c r="D129" s="150">
        <f>D60</f>
        <v>64.617238636363624</v>
      </c>
      <c r="E129" s="398">
        <f>E60</f>
        <v>94.771950000000004</v>
      </c>
    </row>
    <row r="130" spans="1:5" ht="15.75" customHeight="1" x14ac:dyDescent="0.2">
      <c r="A130" s="1119" t="s">
        <v>549</v>
      </c>
      <c r="B130" s="1120"/>
      <c r="C130" s="150">
        <f>C80</f>
        <v>313.59176960735709</v>
      </c>
      <c r="D130" s="150">
        <f>D80</f>
        <v>235.78551947414067</v>
      </c>
      <c r="E130" s="398">
        <f>E80</f>
        <v>313.59176960735709</v>
      </c>
    </row>
    <row r="131" spans="1:5" ht="15.75" customHeight="1" x14ac:dyDescent="0.2">
      <c r="A131" s="1119" t="s">
        <v>550</v>
      </c>
      <c r="B131" s="1120"/>
      <c r="C131" s="150">
        <f>C91</f>
        <v>546.45808541666668</v>
      </c>
      <c r="D131" s="150">
        <f>D91</f>
        <v>535.23808541666665</v>
      </c>
      <c r="E131" s="398">
        <f>E91</f>
        <v>417.20541666666668</v>
      </c>
    </row>
    <row r="132" spans="1:5" ht="15.75" customHeight="1" x14ac:dyDescent="0.2">
      <c r="A132" s="1121" t="s">
        <v>551</v>
      </c>
      <c r="B132" s="1122"/>
      <c r="C132" s="152">
        <f>SUM(C127:C131)</f>
        <v>3754.3934716906901</v>
      </c>
      <c r="D132" s="152">
        <f>SUM(D127:D131)</f>
        <v>2963.0369798908073</v>
      </c>
      <c r="E132" s="399">
        <f>SUM(E127:E131)</f>
        <v>3625.1408029406903</v>
      </c>
    </row>
    <row r="133" spans="1:5" ht="15.75" customHeight="1" x14ac:dyDescent="0.2">
      <c r="A133" s="1119" t="s">
        <v>552</v>
      </c>
      <c r="B133" s="1120"/>
      <c r="C133" s="232">
        <f t="shared" ref="C133:E134" si="30">C115</f>
        <v>898.67277289640015</v>
      </c>
      <c r="D133" s="232">
        <f t="shared" si="30"/>
        <v>709.24922467274746</v>
      </c>
      <c r="E133" s="400">
        <f t="shared" si="30"/>
        <v>867.73412592035095</v>
      </c>
    </row>
    <row r="134" spans="1:5" ht="15.75" customHeight="1" x14ac:dyDescent="0.2">
      <c r="A134" s="1119" t="s">
        <v>553</v>
      </c>
      <c r="B134" s="1120"/>
      <c r="C134" s="234">
        <f t="shared" si="30"/>
        <v>925.03575445213437</v>
      </c>
      <c r="D134" s="234">
        <f t="shared" si="30"/>
        <v>730.05537880625184</v>
      </c>
      <c r="E134" s="401">
        <f t="shared" si="30"/>
        <v>893.18950795355795</v>
      </c>
    </row>
    <row r="135" spans="1:5" ht="15.75" customHeight="1" x14ac:dyDescent="0.2">
      <c r="A135" s="1119" t="s">
        <v>554</v>
      </c>
      <c r="B135" s="1120"/>
      <c r="C135" s="234">
        <f>C117</f>
        <v>951.69916884611052</v>
      </c>
      <c r="D135" s="234">
        <f t="shared" ref="D135:E136" si="31">D117</f>
        <v>751.09864010936917</v>
      </c>
      <c r="E135" s="401">
        <f t="shared" si="31"/>
        <v>918.93497981050541</v>
      </c>
    </row>
    <row r="136" spans="1:5" ht="15.75" customHeight="1" x14ac:dyDescent="0.2">
      <c r="A136" s="1119" t="s">
        <v>619</v>
      </c>
      <c r="B136" s="1120"/>
      <c r="C136" s="234">
        <f>C118</f>
        <v>978.66818111279713</v>
      </c>
      <c r="D136" s="234">
        <f t="shared" si="31"/>
        <v>772.38308492312376</v>
      </c>
      <c r="E136" s="401">
        <f t="shared" si="31"/>
        <v>944.97552870879281</v>
      </c>
    </row>
    <row r="137" spans="1:5" ht="15.75" customHeight="1" x14ac:dyDescent="0.2">
      <c r="A137" s="1119" t="s">
        <v>555</v>
      </c>
      <c r="B137" s="1120"/>
      <c r="C137" s="234">
        <f>C119</f>
        <v>1005.948075365267</v>
      </c>
      <c r="D137" s="234">
        <f>D119</f>
        <v>793.91288356758446</v>
      </c>
      <c r="E137" s="401">
        <f>E119</f>
        <v>971.31625684510118</v>
      </c>
    </row>
    <row r="138" spans="1:5" ht="15.75" customHeight="1" x14ac:dyDescent="0.2">
      <c r="A138" s="1117" t="s">
        <v>556</v>
      </c>
      <c r="B138" s="1118"/>
      <c r="C138" s="234">
        <f>C120</f>
        <v>1061.4622625029458</v>
      </c>
      <c r="D138" s="234">
        <f>D120</f>
        <v>837.72570996360082</v>
      </c>
      <c r="E138" s="401">
        <f>E120</f>
        <v>1024.9192546268598</v>
      </c>
    </row>
    <row r="139" spans="1:5" ht="15.75" customHeight="1" x14ac:dyDescent="0.2">
      <c r="A139" s="743" t="s">
        <v>557</v>
      </c>
      <c r="B139" s="744"/>
      <c r="C139" s="745">
        <f>C132+C133</f>
        <v>4653.0662445870903</v>
      </c>
      <c r="D139" s="745">
        <f>D132+D133</f>
        <v>3672.2862045635547</v>
      </c>
      <c r="E139" s="746">
        <f>E132+E133</f>
        <v>4492.8749288610416</v>
      </c>
    </row>
    <row r="140" spans="1:5" ht="15.75" customHeight="1" x14ac:dyDescent="0.2">
      <c r="A140" s="404" t="s">
        <v>558</v>
      </c>
      <c r="B140" s="241"/>
      <c r="C140" s="242">
        <f>C132+C134</f>
        <v>4679.4292261428245</v>
      </c>
      <c r="D140" s="242">
        <f>D132+D134</f>
        <v>3693.0923586970594</v>
      </c>
      <c r="E140" s="405">
        <f>E132+E134</f>
        <v>4518.3303108942482</v>
      </c>
    </row>
    <row r="141" spans="1:5" ht="15.75" customHeight="1" x14ac:dyDescent="0.2">
      <c r="A141" s="404" t="s">
        <v>559</v>
      </c>
      <c r="B141" s="241"/>
      <c r="C141" s="242">
        <f>C132+C135</f>
        <v>4706.0926405368009</v>
      </c>
      <c r="D141" s="242">
        <f>D132+D135</f>
        <v>3714.1356200001765</v>
      </c>
      <c r="E141" s="405">
        <f>E132+E135</f>
        <v>4544.0757827511952</v>
      </c>
    </row>
    <row r="142" spans="1:5" ht="15.75" customHeight="1" x14ac:dyDescent="0.2">
      <c r="A142" s="404" t="s">
        <v>620</v>
      </c>
      <c r="B142" s="241"/>
      <c r="C142" s="242">
        <f>C132+C136</f>
        <v>4733.061652803487</v>
      </c>
      <c r="D142" s="242">
        <f t="shared" ref="D142:E142" si="32">D132+D136</f>
        <v>3735.4200648139313</v>
      </c>
      <c r="E142" s="405">
        <f t="shared" si="32"/>
        <v>4570.1163316494831</v>
      </c>
    </row>
    <row r="143" spans="1:5" ht="15.75" customHeight="1" x14ac:dyDescent="0.2">
      <c r="A143" s="404" t="s">
        <v>560</v>
      </c>
      <c r="B143" s="241"/>
      <c r="C143" s="242">
        <f>C132+C137</f>
        <v>4760.3415470559576</v>
      </c>
      <c r="D143" s="242">
        <f>D132+D137</f>
        <v>3756.9498634583915</v>
      </c>
      <c r="E143" s="405">
        <f>E132+E137</f>
        <v>4596.457059785791</v>
      </c>
    </row>
    <row r="144" spans="1:5" x14ac:dyDescent="0.2">
      <c r="A144" s="747" t="s">
        <v>561</v>
      </c>
      <c r="B144" s="748"/>
      <c r="C144" s="749">
        <f>C132+C138</f>
        <v>4815.8557341936357</v>
      </c>
      <c r="D144" s="749">
        <f>D132+D138</f>
        <v>3800.7626898544081</v>
      </c>
      <c r="E144" s="750">
        <f>E132+E138</f>
        <v>4650.0600575675498</v>
      </c>
    </row>
    <row r="145" spans="1:7" ht="14.25" customHeight="1" x14ac:dyDescent="0.2">
      <c r="A145" s="408" t="s">
        <v>562</v>
      </c>
      <c r="B145" s="246"/>
      <c r="C145" s="247">
        <f>C139/220</f>
        <v>21.1503011117595</v>
      </c>
      <c r="D145" s="247"/>
      <c r="E145" s="409">
        <f>E139/220</f>
        <v>20.42215876755019</v>
      </c>
    </row>
    <row r="146" spans="1:7" x14ac:dyDescent="0.2">
      <c r="A146" s="408" t="s">
        <v>563</v>
      </c>
      <c r="B146" s="246"/>
      <c r="C146" s="247">
        <f t="shared" ref="C146:C150" si="33">C140/220</f>
        <v>21.270132846103749</v>
      </c>
      <c r="D146" s="247"/>
      <c r="E146" s="409">
        <f t="shared" ref="E146:E150" si="34">E140/220</f>
        <v>20.537865049519311</v>
      </c>
    </row>
    <row r="147" spans="1:7" x14ac:dyDescent="0.2">
      <c r="A147" s="408" t="s">
        <v>564</v>
      </c>
      <c r="B147" s="246"/>
      <c r="C147" s="247">
        <f t="shared" si="33"/>
        <v>21.391330184258187</v>
      </c>
      <c r="D147" s="247"/>
      <c r="E147" s="409">
        <f t="shared" si="34"/>
        <v>20.654889921596343</v>
      </c>
    </row>
    <row r="148" spans="1:7" x14ac:dyDescent="0.2">
      <c r="A148" s="408" t="s">
        <v>621</v>
      </c>
      <c r="B148" s="246"/>
      <c r="C148" s="247">
        <f t="shared" si="33"/>
        <v>21.513916603652213</v>
      </c>
      <c r="D148" s="247"/>
      <c r="E148" s="409">
        <f t="shared" si="34"/>
        <v>20.773256052952195</v>
      </c>
    </row>
    <row r="149" spans="1:7" x14ac:dyDescent="0.2">
      <c r="A149" s="408" t="s">
        <v>565</v>
      </c>
      <c r="B149" s="246"/>
      <c r="C149" s="247">
        <f t="shared" si="33"/>
        <v>21.637916122981625</v>
      </c>
      <c r="D149" s="247"/>
      <c r="E149" s="409">
        <f t="shared" si="34"/>
        <v>20.89298663538996</v>
      </c>
    </row>
    <row r="150" spans="1:7" x14ac:dyDescent="0.2">
      <c r="A150" s="410" t="s">
        <v>566</v>
      </c>
      <c r="B150" s="411"/>
      <c r="C150" s="412">
        <f t="shared" si="33"/>
        <v>21.890253337243799</v>
      </c>
      <c r="D150" s="412"/>
      <c r="E150" s="413">
        <f t="shared" si="34"/>
        <v>21.136636625307045</v>
      </c>
    </row>
    <row r="151" spans="1:7" ht="14.25" customHeight="1" x14ac:dyDescent="0.2">
      <c r="A151" s="248"/>
      <c r="B151"/>
      <c r="C151"/>
      <c r="D151"/>
      <c r="E151"/>
      <c r="F151"/>
      <c r="G151"/>
    </row>
    <row r="152" spans="1:7" x14ac:dyDescent="0.2">
      <c r="A152" s="1026" t="s">
        <v>567</v>
      </c>
      <c r="B152" s="1027"/>
      <c r="C152" s="1026"/>
      <c r="D152" s="1027"/>
      <c r="E152" s="827"/>
      <c r="F152" s="1028" t="s">
        <v>570</v>
      </c>
      <c r="G152" s="1028"/>
    </row>
    <row r="153" spans="1:7" ht="38.25" x14ac:dyDescent="0.2">
      <c r="A153" s="271" t="s">
        <v>573</v>
      </c>
      <c r="B153" s="272" t="s">
        <v>574</v>
      </c>
      <c r="C153" s="272"/>
      <c r="D153" s="272"/>
      <c r="E153" s="272"/>
      <c r="F153" s="272" t="s">
        <v>575</v>
      </c>
      <c r="G153" s="272" t="s">
        <v>576</v>
      </c>
    </row>
    <row r="154" spans="1:7" x14ac:dyDescent="0.2">
      <c r="A154" s="273" t="s">
        <v>577</v>
      </c>
      <c r="B154" s="274">
        <f>1/'Prod. GEXJVL'!C15</f>
        <v>1.25E-3</v>
      </c>
      <c r="C154" s="275"/>
      <c r="D154" s="275"/>
      <c r="E154" s="275"/>
      <c r="F154" s="275">
        <f>C141</f>
        <v>4706.0926405368009</v>
      </c>
      <c r="G154" s="275">
        <f>B154*F154</f>
        <v>5.882615800671001</v>
      </c>
    </row>
    <row r="155" spans="1:7" x14ac:dyDescent="0.2">
      <c r="A155" s="276" t="s">
        <v>578</v>
      </c>
      <c r="B155" s="274">
        <f>B154/'Prod. GEXJVL'!O15</f>
        <v>7.8125000000000002E-5</v>
      </c>
      <c r="C155" s="275"/>
      <c r="D155" s="275"/>
      <c r="E155" s="275"/>
      <c r="F155" s="275">
        <f>'GEXJVL Limp.Ord.'!F140</f>
        <v>5768.3348404867402</v>
      </c>
      <c r="G155" s="275">
        <f>B155*F155</f>
        <v>0.45065115941302658</v>
      </c>
    </row>
    <row r="156" spans="1:7" x14ac:dyDescent="0.2">
      <c r="A156" s="277" t="s">
        <v>579</v>
      </c>
      <c r="B156" s="278"/>
      <c r="C156" s="279"/>
      <c r="D156" s="279"/>
      <c r="E156" s="279"/>
      <c r="F156" s="279"/>
      <c r="G156" s="279">
        <f>SUM(G154:G155)</f>
        <v>6.3332669600840275</v>
      </c>
    </row>
    <row r="157" spans="1:7" ht="14.25" customHeight="1" x14ac:dyDescent="0.2">
      <c r="A157" s="249"/>
      <c r="B157" s="250"/>
      <c r="C157" s="250"/>
      <c r="D157" s="251"/>
      <c r="E157" s="251"/>
      <c r="F157"/>
      <c r="G157"/>
    </row>
    <row r="158" spans="1:7" x14ac:dyDescent="0.2">
      <c r="A158" s="1026" t="s">
        <v>580</v>
      </c>
      <c r="B158" s="1027"/>
      <c r="C158" s="1026"/>
      <c r="D158" s="1027"/>
      <c r="E158" s="826"/>
      <c r="F158" s="1025" t="s">
        <v>570</v>
      </c>
      <c r="G158" s="1025"/>
    </row>
    <row r="159" spans="1:7" ht="38.25" x14ac:dyDescent="0.2">
      <c r="A159" s="271" t="s">
        <v>573</v>
      </c>
      <c r="B159" s="272" t="s">
        <v>581</v>
      </c>
      <c r="C159" s="272"/>
      <c r="D159" s="272"/>
      <c r="E159" s="272"/>
      <c r="F159" s="272" t="s">
        <v>575</v>
      </c>
      <c r="G159" s="272" t="s">
        <v>576</v>
      </c>
    </row>
    <row r="160" spans="1:7" x14ac:dyDescent="0.2">
      <c r="A160" s="273" t="s">
        <v>577</v>
      </c>
      <c r="B160" s="280">
        <f>1/'Prod. GEXJVL'!D15</f>
        <v>6.6666666666666664E-4</v>
      </c>
      <c r="C160" s="281"/>
      <c r="D160" s="275"/>
      <c r="E160" s="275"/>
      <c r="F160" s="275">
        <f>C141</f>
        <v>4706.0926405368009</v>
      </c>
      <c r="G160" s="275">
        <f>B160*F160</f>
        <v>3.1373950936912003</v>
      </c>
    </row>
    <row r="161" spans="1:7" x14ac:dyDescent="0.2">
      <c r="A161" s="276" t="s">
        <v>578</v>
      </c>
      <c r="B161" s="274">
        <f>B160/'Prod. GEXJVL'!O15</f>
        <v>4.1666666666666665E-5</v>
      </c>
      <c r="C161" s="275"/>
      <c r="D161" s="275"/>
      <c r="E161" s="275"/>
      <c r="F161" s="275">
        <f>'GEXJVL Limp.Ord.'!F140</f>
        <v>5768.3348404867402</v>
      </c>
      <c r="G161" s="275">
        <f>B161*F161</f>
        <v>0.24034728502028083</v>
      </c>
    </row>
    <row r="162" spans="1:7" x14ac:dyDescent="0.2">
      <c r="A162" s="277" t="s">
        <v>582</v>
      </c>
      <c r="B162" s="278"/>
      <c r="C162" s="279"/>
      <c r="D162" s="279"/>
      <c r="E162" s="279"/>
      <c r="F162" s="279"/>
      <c r="G162" s="279">
        <f>SUM(G160:G161)</f>
        <v>3.3777423787114813</v>
      </c>
    </row>
    <row r="163" spans="1:7" ht="14.25" customHeight="1" x14ac:dyDescent="0.2">
      <c r="A163" s="249"/>
      <c r="B163" s="252"/>
      <c r="C163" s="252"/>
      <c r="D163" s="252"/>
      <c r="E163" s="252"/>
      <c r="F163"/>
      <c r="G163"/>
    </row>
    <row r="164" spans="1:7" x14ac:dyDescent="0.2">
      <c r="A164" s="1026" t="s">
        <v>583</v>
      </c>
      <c r="B164" s="1027"/>
      <c r="C164" s="1026"/>
      <c r="D164" s="1027"/>
      <c r="E164" s="826"/>
      <c r="F164" s="1025" t="s">
        <v>570</v>
      </c>
      <c r="G164" s="1025"/>
    </row>
    <row r="165" spans="1:7" ht="38.25" x14ac:dyDescent="0.2">
      <c r="A165" s="271" t="s">
        <v>573</v>
      </c>
      <c r="B165" s="272" t="s">
        <v>581</v>
      </c>
      <c r="C165" s="272"/>
      <c r="D165" s="272"/>
      <c r="E165" s="272"/>
      <c r="F165" s="272" t="s">
        <v>575</v>
      </c>
      <c r="G165" s="272" t="s">
        <v>576</v>
      </c>
    </row>
    <row r="166" spans="1:7" x14ac:dyDescent="0.2">
      <c r="A166" s="273" t="s">
        <v>577</v>
      </c>
      <c r="B166" s="280">
        <f>1/'Prod. GEXJVL'!E15</f>
        <v>1E-3</v>
      </c>
      <c r="C166" s="281"/>
      <c r="D166" s="275"/>
      <c r="E166" s="275"/>
      <c r="F166" s="275">
        <f>C141</f>
        <v>4706.0926405368009</v>
      </c>
      <c r="G166" s="275">
        <f>B166*F166</f>
        <v>4.7060926405368013</v>
      </c>
    </row>
    <row r="167" spans="1:7" x14ac:dyDescent="0.2">
      <c r="A167" s="276" t="s">
        <v>578</v>
      </c>
      <c r="B167" s="274">
        <f>B166/'Prod. GEXJVL'!O15</f>
        <v>6.2500000000000001E-5</v>
      </c>
      <c r="C167" s="275"/>
      <c r="D167" s="275"/>
      <c r="E167" s="275"/>
      <c r="F167" s="275">
        <f>'GEXJVL Limp.Ord.'!F140</f>
        <v>5768.3348404867402</v>
      </c>
      <c r="G167" s="275">
        <f>B167*F167</f>
        <v>0.36052092753042125</v>
      </c>
    </row>
    <row r="168" spans="1:7" x14ac:dyDescent="0.2">
      <c r="A168" s="277" t="s">
        <v>582</v>
      </c>
      <c r="B168" s="278"/>
      <c r="C168" s="279"/>
      <c r="D168" s="279"/>
      <c r="E168" s="279"/>
      <c r="F168" s="279"/>
      <c r="G168" s="279">
        <f>SUM(G166:G167)</f>
        <v>5.0666135680672229</v>
      </c>
    </row>
    <row r="169" spans="1:7" ht="14.25" customHeight="1" x14ac:dyDescent="0.2">
      <c r="A169" s="249"/>
      <c r="B169" s="252"/>
      <c r="C169" s="252"/>
      <c r="D169" s="252"/>
      <c r="E169" s="252"/>
      <c r="F169"/>
      <c r="G169"/>
    </row>
    <row r="170" spans="1:7" x14ac:dyDescent="0.2">
      <c r="A170" s="1026" t="s">
        <v>584</v>
      </c>
      <c r="B170" s="1027"/>
      <c r="C170" s="1026"/>
      <c r="D170" s="1027"/>
      <c r="E170" s="826"/>
      <c r="F170" s="1025" t="s">
        <v>570</v>
      </c>
      <c r="G170" s="1025"/>
    </row>
    <row r="171" spans="1:7" ht="38.25" x14ac:dyDescent="0.2">
      <c r="A171" s="271" t="s">
        <v>573</v>
      </c>
      <c r="B171" s="272" t="s">
        <v>581</v>
      </c>
      <c r="C171" s="272"/>
      <c r="D171" s="272"/>
      <c r="E171" s="272"/>
      <c r="F171" s="272" t="s">
        <v>575</v>
      </c>
      <c r="G171" s="272" t="s">
        <v>576</v>
      </c>
    </row>
    <row r="172" spans="1:7" x14ac:dyDescent="0.2">
      <c r="A172" s="273" t="s">
        <v>577</v>
      </c>
      <c r="B172" s="280">
        <f>1/'Prod. GEXJVL'!F15</f>
        <v>5.0000000000000001E-3</v>
      </c>
      <c r="C172" s="275"/>
      <c r="D172" s="275"/>
      <c r="E172" s="275"/>
      <c r="F172" s="275">
        <f>C141</f>
        <v>4706.0926405368009</v>
      </c>
      <c r="G172" s="275">
        <f>B172*F172</f>
        <v>23.530463202684004</v>
      </c>
    </row>
    <row r="173" spans="1:7" x14ac:dyDescent="0.2">
      <c r="A173" s="276" t="s">
        <v>578</v>
      </c>
      <c r="B173" s="274">
        <f>B172/'Prod. GEXJVL'!O15</f>
        <v>3.1250000000000001E-4</v>
      </c>
      <c r="C173" s="275"/>
      <c r="D173" s="275"/>
      <c r="E173" s="275"/>
      <c r="F173" s="275">
        <f>'GEXJVL Limp.Ord.'!F140</f>
        <v>5768.3348404867402</v>
      </c>
      <c r="G173" s="275">
        <f>B173*F173</f>
        <v>1.8026046376521063</v>
      </c>
    </row>
    <row r="174" spans="1:7" x14ac:dyDescent="0.2">
      <c r="A174" s="277" t="s">
        <v>582</v>
      </c>
      <c r="B174" s="278"/>
      <c r="C174" s="279"/>
      <c r="D174" s="279"/>
      <c r="E174" s="279"/>
      <c r="F174" s="279"/>
      <c r="G174" s="279">
        <f>SUM(G172:G173)</f>
        <v>25.33306784033611</v>
      </c>
    </row>
    <row r="175" spans="1:7" x14ac:dyDescent="0.2">
      <c r="A175" s="249"/>
      <c r="B175" s="253"/>
      <c r="C175" s="253"/>
      <c r="D175" s="253"/>
      <c r="E175" s="253"/>
    </row>
    <row r="176" spans="1:7" x14ac:dyDescent="0.2">
      <c r="A176" s="1023" t="s">
        <v>585</v>
      </c>
      <c r="B176" s="1024"/>
      <c r="C176" s="1023"/>
      <c r="D176" s="1024"/>
      <c r="E176" s="829"/>
      <c r="F176" s="1020" t="s">
        <v>570</v>
      </c>
      <c r="G176" s="1020"/>
    </row>
    <row r="177" spans="1:7" ht="38.25" x14ac:dyDescent="0.2">
      <c r="A177" s="271" t="s">
        <v>573</v>
      </c>
      <c r="B177" s="272" t="s">
        <v>581</v>
      </c>
      <c r="C177" s="272"/>
      <c r="D177" s="272"/>
      <c r="E177" s="272"/>
      <c r="F177" s="272" t="s">
        <v>575</v>
      </c>
      <c r="G177" s="272" t="s">
        <v>576</v>
      </c>
    </row>
    <row r="178" spans="1:7" x14ac:dyDescent="0.2">
      <c r="A178" s="273" t="s">
        <v>586</v>
      </c>
      <c r="B178" s="280">
        <f>1/'Prod. GEXJVL'!G15</f>
        <v>5.5555555555555556E-4</v>
      </c>
      <c r="C178" s="275"/>
      <c r="D178" s="275"/>
      <c r="E178" s="275"/>
      <c r="F178" s="275">
        <f>C141</f>
        <v>4706.0926405368009</v>
      </c>
      <c r="G178" s="275">
        <f>B178*F178</f>
        <v>2.614495911409334</v>
      </c>
    </row>
    <row r="179" spans="1:7" x14ac:dyDescent="0.2">
      <c r="A179" s="276" t="s">
        <v>578</v>
      </c>
      <c r="B179" s="274">
        <f>B178/'Prod. GEXJVL'!O15</f>
        <v>3.4722222222222222E-5</v>
      </c>
      <c r="C179" s="275"/>
      <c r="D179" s="275"/>
      <c r="E179" s="275"/>
      <c r="F179" s="275">
        <f>'GEXJVL Limp.Ord.'!F140</f>
        <v>5768.3348404867402</v>
      </c>
      <c r="G179" s="275">
        <f>B179*F179</f>
        <v>0.20028940418356736</v>
      </c>
    </row>
    <row r="180" spans="1:7" x14ac:dyDescent="0.2">
      <c r="A180" s="282" t="s">
        <v>587</v>
      </c>
      <c r="B180" s="283"/>
      <c r="C180" s="284"/>
      <c r="D180" s="285"/>
      <c r="E180" s="284"/>
      <c r="F180" s="284"/>
      <c r="G180" s="285">
        <f>SUM(G178:G179)</f>
        <v>2.8147853155929012</v>
      </c>
    </row>
    <row r="181" spans="1:7" ht="14.25" customHeight="1" x14ac:dyDescent="0.2">
      <c r="A181" s="273" t="s">
        <v>588</v>
      </c>
      <c r="B181" s="280">
        <f>1/'Prod. GEXJVL'!H15</f>
        <v>1.0000000000000001E-5</v>
      </c>
      <c r="C181" s="275"/>
      <c r="D181" s="275"/>
      <c r="E181" s="275"/>
      <c r="F181" s="275">
        <f>C141</f>
        <v>4706.0926405368009</v>
      </c>
      <c r="G181" s="275">
        <f>B181*F181</f>
        <v>4.7060926405368013E-2</v>
      </c>
    </row>
    <row r="182" spans="1:7" x14ac:dyDescent="0.2">
      <c r="A182" s="276" t="s">
        <v>578</v>
      </c>
      <c r="B182" s="274">
        <f>B181/'Prod. GEXJVL'!O15</f>
        <v>6.2500000000000005E-7</v>
      </c>
      <c r="C182" s="275"/>
      <c r="D182" s="275"/>
      <c r="E182" s="275"/>
      <c r="F182" s="275">
        <f>'GEXJVL Limp.Ord.'!F140</f>
        <v>5768.3348404867402</v>
      </c>
      <c r="G182" s="275">
        <f>B182*F182</f>
        <v>3.6052092753042129E-3</v>
      </c>
    </row>
    <row r="183" spans="1:7" x14ac:dyDescent="0.2">
      <c r="A183" s="282" t="s">
        <v>589</v>
      </c>
      <c r="B183" s="286"/>
      <c r="C183" s="284"/>
      <c r="D183" s="285"/>
      <c r="E183" s="284"/>
      <c r="F183" s="284"/>
      <c r="G183" s="285">
        <f>SUM(G181:G182)</f>
        <v>5.0666135680672228E-2</v>
      </c>
    </row>
    <row r="184" spans="1:7" x14ac:dyDescent="0.2">
      <c r="A184" s="273" t="s">
        <v>590</v>
      </c>
      <c r="B184" s="280">
        <f>1/'Prod. GEXJVL'!I15</f>
        <v>1.6666666666666666E-4</v>
      </c>
      <c r="C184" s="275"/>
      <c r="D184" s="275"/>
      <c r="E184" s="275"/>
      <c r="F184" s="275">
        <f>C141</f>
        <v>4706.0926405368009</v>
      </c>
      <c r="G184" s="275">
        <f>B184*F184</f>
        <v>0.78434877342280007</v>
      </c>
    </row>
    <row r="185" spans="1:7" ht="15.75" customHeight="1" x14ac:dyDescent="0.2">
      <c r="A185" s="276" t="s">
        <v>578</v>
      </c>
      <c r="B185" s="274">
        <f>B184/'Prod. GEXJVL'!O15</f>
        <v>1.0416666666666666E-5</v>
      </c>
      <c r="C185" s="275"/>
      <c r="D185" s="275"/>
      <c r="E185" s="275"/>
      <c r="F185" s="275">
        <f>'GEXJVL Limp.Ord.'!F140</f>
        <v>5768.3348404867402</v>
      </c>
      <c r="G185" s="275">
        <f>B185*F185</f>
        <v>6.0086821255070207E-2</v>
      </c>
    </row>
    <row r="186" spans="1:7" x14ac:dyDescent="0.2">
      <c r="A186" s="282" t="s">
        <v>591</v>
      </c>
      <c r="B186" s="286"/>
      <c r="C186" s="284"/>
      <c r="D186" s="285"/>
      <c r="E186" s="284"/>
      <c r="F186" s="284"/>
      <c r="G186" s="285">
        <f>SUM(G184:G185)</f>
        <v>0.84443559467787033</v>
      </c>
    </row>
    <row r="187" spans="1:7" x14ac:dyDescent="0.2">
      <c r="A187" s="249"/>
      <c r="B187" s="252"/>
      <c r="C187" s="252"/>
      <c r="D187" s="252"/>
      <c r="E187" s="252"/>
    </row>
    <row r="188" spans="1:7" x14ac:dyDescent="0.2">
      <c r="A188" s="1021" t="s">
        <v>592</v>
      </c>
      <c r="B188" s="1022"/>
      <c r="C188" s="1021"/>
      <c r="D188" s="1022"/>
      <c r="E188" s="828"/>
      <c r="F188" s="1012" t="s">
        <v>570</v>
      </c>
      <c r="G188" s="1012"/>
    </row>
    <row r="189" spans="1:7" ht="38.25" x14ac:dyDescent="0.2">
      <c r="A189" s="271" t="s">
        <v>573</v>
      </c>
      <c r="B189" s="272" t="s">
        <v>581</v>
      </c>
      <c r="C189" s="272"/>
      <c r="D189" s="272"/>
      <c r="E189" s="272"/>
      <c r="F189" s="272" t="s">
        <v>575</v>
      </c>
      <c r="G189" s="272" t="s">
        <v>576</v>
      </c>
    </row>
    <row r="190" spans="1:7" x14ac:dyDescent="0.2">
      <c r="A190" s="287" t="s">
        <v>593</v>
      </c>
      <c r="B190" s="280">
        <f>(1/'Prod. GEXJVL'!J15)*(1/(30/7*44*6))*8</f>
        <v>4.4191919191919199E-5</v>
      </c>
      <c r="C190" s="275"/>
      <c r="D190" s="275"/>
      <c r="E190" s="275"/>
      <c r="F190" s="275">
        <f>E141</f>
        <v>4544.0757827511952</v>
      </c>
      <c r="G190" s="275">
        <f>B190*F190</f>
        <v>0.2008114297932978</v>
      </c>
    </row>
    <row r="191" spans="1:7" x14ac:dyDescent="0.2">
      <c r="A191" s="276" t="s">
        <v>578</v>
      </c>
      <c r="B191" s="280">
        <f>B190/4</f>
        <v>1.10479797979798E-5</v>
      </c>
      <c r="C191" s="275"/>
      <c r="D191" s="275"/>
      <c r="E191" s="275"/>
      <c r="F191" s="275">
        <f>'GEXJVL Limp.Ord.'!F140</f>
        <v>5768.3348404867402</v>
      </c>
      <c r="G191" s="275">
        <f>B191*F191</f>
        <v>6.3728446785680543E-2</v>
      </c>
    </row>
    <row r="192" spans="1:7" x14ac:dyDescent="0.2">
      <c r="A192" s="288" t="s">
        <v>594</v>
      </c>
      <c r="B192" s="289"/>
      <c r="C192" s="290"/>
      <c r="D192" s="291"/>
      <c r="E192" s="290"/>
      <c r="F192" s="290"/>
      <c r="G192" s="291">
        <f>SUM(G190:G191)</f>
        <v>0.26453987657897837</v>
      </c>
    </row>
    <row r="193" spans="1:7" x14ac:dyDescent="0.2">
      <c r="A193" s="287" t="s">
        <v>595</v>
      </c>
      <c r="B193" s="280">
        <f>1/'Prod. GEXJVL'!K15*16*(1/188.76)</f>
        <v>2.8254573709119167E-4</v>
      </c>
      <c r="C193" s="275"/>
      <c r="D193" s="275"/>
      <c r="E193" s="275"/>
      <c r="F193" s="275">
        <f>C141</f>
        <v>4706.0926405368009</v>
      </c>
      <c r="G193" s="275">
        <f>B193*F193</f>
        <v>1.3296864139399029</v>
      </c>
    </row>
    <row r="194" spans="1:7" x14ac:dyDescent="0.2">
      <c r="A194" s="276" t="s">
        <v>578</v>
      </c>
      <c r="B194" s="280">
        <f>1/('Prod. GEXJVL'!K15*'Prod. GEXJVL'!O15)*16*(1/188.76)</f>
        <v>1.7659108568199479E-5</v>
      </c>
      <c r="C194" s="275"/>
      <c r="D194" s="275"/>
      <c r="E194" s="275"/>
      <c r="F194" s="275">
        <f>'GEXJVL Limp.Ord.'!F140</f>
        <v>5768.3348404867402</v>
      </c>
      <c r="G194" s="275">
        <f>B194*F194</f>
        <v>0.10186365120588298</v>
      </c>
    </row>
    <row r="195" spans="1:7" x14ac:dyDescent="0.2">
      <c r="A195" s="288" t="s">
        <v>596</v>
      </c>
      <c r="B195" s="289"/>
      <c r="C195" s="290"/>
      <c r="D195" s="291"/>
      <c r="E195" s="290"/>
      <c r="F195" s="290"/>
      <c r="G195" s="291">
        <f>SUM(G193:G194)</f>
        <v>1.431550065145786</v>
      </c>
    </row>
    <row r="196" spans="1:7" x14ac:dyDescent="0.2">
      <c r="A196" s="273" t="s">
        <v>597</v>
      </c>
      <c r="B196" s="280">
        <f>1/'Prod. GEXJVL'!L15*16*(1/188.76)</f>
        <v>2.8254573709119167E-4</v>
      </c>
      <c r="C196" s="275"/>
      <c r="D196" s="275"/>
      <c r="E196" s="275"/>
      <c r="F196" s="275">
        <f>C141</f>
        <v>4706.0926405368009</v>
      </c>
      <c r="G196" s="275">
        <f>B196*F196</f>
        <v>1.3296864139399029</v>
      </c>
    </row>
    <row r="197" spans="1:7" x14ac:dyDescent="0.2">
      <c r="A197" s="276" t="s">
        <v>578</v>
      </c>
      <c r="B197" s="280">
        <f>1/('Prod. GEXJVL'!L15*'Prod. GEXJVL'!O15)*16*(1/188.76)</f>
        <v>1.7659108568199479E-5</v>
      </c>
      <c r="C197" s="275"/>
      <c r="D197" s="275"/>
      <c r="E197" s="275"/>
      <c r="F197" s="275">
        <f>'GEXJVL Limp.Ord.'!F140</f>
        <v>5768.3348404867402</v>
      </c>
      <c r="G197" s="275">
        <f>B197*F197</f>
        <v>0.10186365120588298</v>
      </c>
    </row>
    <row r="198" spans="1:7" x14ac:dyDescent="0.2">
      <c r="A198" s="288" t="s">
        <v>598</v>
      </c>
      <c r="B198" s="289"/>
      <c r="C198" s="290"/>
      <c r="D198" s="291"/>
      <c r="E198" s="290"/>
      <c r="F198" s="290"/>
      <c r="G198" s="291">
        <f>SUM(G196:G197)</f>
        <v>1.431550065145786</v>
      </c>
    </row>
  </sheetData>
  <mergeCells count="46">
    <mergeCell ref="F170:G170"/>
    <mergeCell ref="A21:E21"/>
    <mergeCell ref="A50:B50"/>
    <mergeCell ref="A51:E51"/>
    <mergeCell ref="A61:B61"/>
    <mergeCell ref="A62:E62"/>
    <mergeCell ref="A92:B92"/>
    <mergeCell ref="A115:A120"/>
    <mergeCell ref="A123:E123"/>
    <mergeCell ref="A124:E124"/>
    <mergeCell ref="A125:B125"/>
    <mergeCell ref="A126:B126"/>
    <mergeCell ref="A127:B127"/>
    <mergeCell ref="A128:B128"/>
    <mergeCell ref="A1:E1"/>
    <mergeCell ref="A2:E2"/>
    <mergeCell ref="A3:E3"/>
    <mergeCell ref="A9:E9"/>
    <mergeCell ref="A20:B20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88:B188"/>
    <mergeCell ref="A170:B170"/>
    <mergeCell ref="C188:D188"/>
    <mergeCell ref="F188:G188"/>
    <mergeCell ref="A138:B138"/>
    <mergeCell ref="A152:B152"/>
    <mergeCell ref="C152:D152"/>
    <mergeCell ref="F152:G152"/>
    <mergeCell ref="A164:B164"/>
    <mergeCell ref="C164:D164"/>
    <mergeCell ref="F164:G164"/>
    <mergeCell ref="A158:B158"/>
    <mergeCell ref="C158:D158"/>
    <mergeCell ref="F158:G158"/>
    <mergeCell ref="A176:B176"/>
    <mergeCell ref="C176:D176"/>
    <mergeCell ref="F176:G176"/>
    <mergeCell ref="C170:D17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ML147"/>
  <sheetViews>
    <sheetView showGridLines="0" topLeftCell="A115" zoomScale="80" zoomScaleNormal="80" workbookViewId="0">
      <pane xSplit="2" topLeftCell="C1" activePane="topRight" state="frozen"/>
      <selection pane="topRight" activeCell="L148" sqref="L148"/>
    </sheetView>
  </sheetViews>
  <sheetFormatPr defaultRowHeight="14.25" x14ac:dyDescent="0.2"/>
  <cols>
    <col min="1" max="1" width="51.125" style="30"/>
    <col min="2" max="2" width="18.25" style="30" customWidth="1"/>
    <col min="3" max="4" width="15.625" style="30"/>
    <col min="5" max="5" width="20.375" style="30"/>
    <col min="6" max="6" width="17.375" style="30"/>
    <col min="7" max="7" width="16.5" style="30"/>
    <col min="8" max="9" width="15.25" style="30"/>
    <col min="10" max="10" width="17.75" style="30" customWidth="1"/>
    <col min="11" max="11" width="14.125" style="30" customWidth="1"/>
    <col min="12" max="12" width="104" style="30"/>
    <col min="13" max="1025" width="9" style="30"/>
  </cols>
  <sheetData>
    <row r="1" spans="1:1025" s="31" customFormat="1" ht="20.25" customHeight="1" thickBot="1" x14ac:dyDescent="0.25">
      <c r="A1" s="920" t="s">
        <v>130</v>
      </c>
      <c r="B1" s="921"/>
      <c r="C1" s="921"/>
      <c r="D1" s="921"/>
      <c r="E1" s="921"/>
      <c r="F1" s="921"/>
      <c r="G1" s="921"/>
      <c r="H1" s="922"/>
      <c r="I1"/>
      <c r="J1" s="32" t="s">
        <v>131</v>
      </c>
      <c r="K1" s="32"/>
      <c r="L1" s="32"/>
    </row>
    <row r="2" spans="1:1025" ht="52.5" customHeight="1" thickBot="1" x14ac:dyDescent="0.25">
      <c r="A2" s="33" t="s">
        <v>132</v>
      </c>
      <c r="B2" s="34" t="s">
        <v>133</v>
      </c>
      <c r="C2" s="34" t="s">
        <v>134</v>
      </c>
      <c r="D2" s="34" t="s">
        <v>135</v>
      </c>
      <c r="E2" s="34" t="s">
        <v>136</v>
      </c>
      <c r="F2" s="35" t="s">
        <v>137</v>
      </c>
      <c r="G2" s="36" t="s">
        <v>138</v>
      </c>
      <c r="H2" s="37" t="s">
        <v>139</v>
      </c>
      <c r="I2"/>
      <c r="J2" s="38" t="s">
        <v>140</v>
      </c>
      <c r="K2" s="38"/>
      <c r="L2" s="38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J2"/>
      <c r="AMK2"/>
    </row>
    <row r="3" spans="1:1025" ht="15" customHeight="1" x14ac:dyDescent="0.2">
      <c r="A3" s="325" t="s">
        <v>141</v>
      </c>
      <c r="B3" s="326" t="s">
        <v>142</v>
      </c>
      <c r="C3" s="479">
        <v>0.31</v>
      </c>
      <c r="D3" s="327">
        <v>6.61</v>
      </c>
      <c r="E3" s="327">
        <v>7.33</v>
      </c>
      <c r="F3" s="41">
        <f t="shared" ref="F3:F36" si="0">(D3+E3)/2</f>
        <v>6.9700000000000006</v>
      </c>
      <c r="G3" s="42">
        <f>C3*F3</f>
        <v>2.1607000000000003</v>
      </c>
      <c r="H3" s="43" t="s">
        <v>143</v>
      </c>
      <c r="I3"/>
      <c r="J3" s="38" t="s">
        <v>144</v>
      </c>
      <c r="K3" s="38"/>
      <c r="L3" s="38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J3"/>
      <c r="AMK3"/>
    </row>
    <row r="4" spans="1:1025" ht="15" customHeight="1" x14ac:dyDescent="0.2">
      <c r="A4" s="325" t="s">
        <v>145</v>
      </c>
      <c r="B4" s="326" t="s">
        <v>142</v>
      </c>
      <c r="C4" s="479">
        <v>4.74</v>
      </c>
      <c r="D4" s="327">
        <v>2.2000000000000002</v>
      </c>
      <c r="E4" s="327">
        <v>2.0099999999999998</v>
      </c>
      <c r="F4" s="41">
        <f t="shared" si="0"/>
        <v>2.105</v>
      </c>
      <c r="G4" s="42">
        <f t="shared" ref="G4:G36" si="1">C4*F4</f>
        <v>9.9777000000000005</v>
      </c>
      <c r="H4" s="45" t="s">
        <v>146</v>
      </c>
      <c r="I4"/>
      <c r="J4" s="38" t="s">
        <v>147</v>
      </c>
      <c r="K4" s="38"/>
      <c r="L4" s="38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J4"/>
      <c r="AMK4"/>
    </row>
    <row r="5" spans="1:1025" ht="15" customHeight="1" x14ac:dyDescent="0.2">
      <c r="A5" s="325" t="s">
        <v>148</v>
      </c>
      <c r="B5" s="326" t="s">
        <v>149</v>
      </c>
      <c r="C5" s="479">
        <v>2.02</v>
      </c>
      <c r="D5" s="327">
        <v>7.37</v>
      </c>
      <c r="E5" s="327">
        <v>8.2100000000000009</v>
      </c>
      <c r="F5" s="41">
        <f t="shared" si="0"/>
        <v>7.7900000000000009</v>
      </c>
      <c r="G5" s="42">
        <f t="shared" si="1"/>
        <v>15.735800000000001</v>
      </c>
      <c r="H5" s="45" t="s">
        <v>150</v>
      </c>
      <c r="I5"/>
      <c r="J5" s="38" t="s">
        <v>151</v>
      </c>
      <c r="K5" s="38"/>
      <c r="L5" s="38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J5"/>
      <c r="AMK5"/>
    </row>
    <row r="6" spans="1:1025" ht="15" customHeight="1" thickBot="1" x14ac:dyDescent="0.25">
      <c r="A6" s="325" t="s">
        <v>152</v>
      </c>
      <c r="B6" s="326" t="s">
        <v>142</v>
      </c>
      <c r="C6" s="479">
        <v>2.52</v>
      </c>
      <c r="D6" s="327">
        <v>7.25</v>
      </c>
      <c r="E6" s="327">
        <v>6.84</v>
      </c>
      <c r="F6" s="41">
        <f t="shared" si="0"/>
        <v>7.0449999999999999</v>
      </c>
      <c r="G6" s="42">
        <f t="shared" si="1"/>
        <v>17.753399999999999</v>
      </c>
      <c r="H6" s="45" t="s">
        <v>150</v>
      </c>
      <c r="I6"/>
      <c r="J6" s="47" t="s">
        <v>153</v>
      </c>
      <c r="K6" s="47"/>
      <c r="L6" s="47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J6"/>
      <c r="AMK6"/>
    </row>
    <row r="7" spans="1:1025" ht="15" customHeight="1" x14ac:dyDescent="0.2">
      <c r="A7" s="325" t="s">
        <v>154</v>
      </c>
      <c r="B7" s="326" t="s">
        <v>155</v>
      </c>
      <c r="C7" s="479">
        <v>0.3</v>
      </c>
      <c r="D7" s="327">
        <v>18.54</v>
      </c>
      <c r="E7" s="327">
        <v>24.19</v>
      </c>
      <c r="F7" s="41">
        <f t="shared" si="0"/>
        <v>21.365000000000002</v>
      </c>
      <c r="G7" s="42">
        <f t="shared" si="1"/>
        <v>6.4095000000000004</v>
      </c>
      <c r="H7" s="45" t="s">
        <v>156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J7"/>
      <c r="AMK7"/>
    </row>
    <row r="8" spans="1:1025" ht="15" customHeight="1" x14ac:dyDescent="0.2">
      <c r="A8" s="325" t="s">
        <v>157</v>
      </c>
      <c r="B8" s="326" t="s">
        <v>155</v>
      </c>
      <c r="C8" s="479">
        <v>1.35</v>
      </c>
      <c r="D8" s="327">
        <v>5.46</v>
      </c>
      <c r="E8" s="327">
        <v>11.8</v>
      </c>
      <c r="F8" s="41">
        <f t="shared" si="0"/>
        <v>8.6300000000000008</v>
      </c>
      <c r="G8" s="42">
        <f t="shared" si="1"/>
        <v>11.650500000000001</v>
      </c>
      <c r="H8" s="45" t="s">
        <v>158</v>
      </c>
      <c r="I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J8"/>
      <c r="AMK8"/>
    </row>
    <row r="9" spans="1:1025" ht="15" customHeight="1" x14ac:dyDescent="0.2">
      <c r="A9" s="325" t="s">
        <v>159</v>
      </c>
      <c r="B9" s="326" t="s">
        <v>155</v>
      </c>
      <c r="C9" s="479">
        <v>0.2</v>
      </c>
      <c r="D9" s="327">
        <v>47.92</v>
      </c>
      <c r="E9" s="327">
        <v>50.74</v>
      </c>
      <c r="F9" s="41">
        <f t="shared" si="0"/>
        <v>49.33</v>
      </c>
      <c r="G9" s="42">
        <f t="shared" si="1"/>
        <v>9.8659999999999997</v>
      </c>
      <c r="H9" s="45" t="s">
        <v>160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J9"/>
      <c r="AMK9"/>
    </row>
    <row r="10" spans="1:1025" ht="15" customHeight="1" x14ac:dyDescent="0.2">
      <c r="A10" s="325" t="s">
        <v>161</v>
      </c>
      <c r="B10" s="326" t="s">
        <v>155</v>
      </c>
      <c r="C10" s="479">
        <v>0.5</v>
      </c>
      <c r="D10" s="327">
        <v>12.32</v>
      </c>
      <c r="E10" s="327">
        <v>14.65</v>
      </c>
      <c r="F10" s="41">
        <f t="shared" si="0"/>
        <v>13.484999999999999</v>
      </c>
      <c r="G10" s="42">
        <f t="shared" si="1"/>
        <v>6.7424999999999997</v>
      </c>
      <c r="H10" s="45" t="s">
        <v>162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J10"/>
      <c r="AMK10"/>
    </row>
    <row r="11" spans="1:1025" ht="15" customHeight="1" x14ac:dyDescent="0.2">
      <c r="A11" s="325" t="s">
        <v>163</v>
      </c>
      <c r="B11" s="326" t="s">
        <v>149</v>
      </c>
      <c r="C11" s="479">
        <v>1.43</v>
      </c>
      <c r="D11" s="327">
        <v>1.44</v>
      </c>
      <c r="E11" s="327">
        <v>1.82</v>
      </c>
      <c r="F11" s="41">
        <f t="shared" si="0"/>
        <v>1.63</v>
      </c>
      <c r="G11" s="42">
        <f t="shared" si="1"/>
        <v>2.3308999999999997</v>
      </c>
      <c r="H11" s="45" t="s">
        <v>164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J11"/>
      <c r="AMK11"/>
    </row>
    <row r="12" spans="1:1025" ht="15" customHeight="1" x14ac:dyDescent="0.2">
      <c r="A12" s="325" t="s">
        <v>165</v>
      </c>
      <c r="B12" s="326" t="s">
        <v>166</v>
      </c>
      <c r="C12" s="479">
        <v>1.0900000000000001</v>
      </c>
      <c r="D12" s="327">
        <v>6.86</v>
      </c>
      <c r="E12" s="327">
        <v>7.94</v>
      </c>
      <c r="F12" s="41">
        <f t="shared" si="0"/>
        <v>7.4</v>
      </c>
      <c r="G12" s="42">
        <f t="shared" si="1"/>
        <v>8.0660000000000007</v>
      </c>
      <c r="H12" s="45" t="s">
        <v>167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J12"/>
      <c r="AMK12"/>
    </row>
    <row r="13" spans="1:1025" ht="15" customHeight="1" x14ac:dyDescent="0.2">
      <c r="A13" s="325" t="s">
        <v>168</v>
      </c>
      <c r="B13" s="326" t="s">
        <v>166</v>
      </c>
      <c r="C13" s="479">
        <v>1.27</v>
      </c>
      <c r="D13" s="327">
        <v>2.0699999999999998</v>
      </c>
      <c r="E13" s="327">
        <v>2.86</v>
      </c>
      <c r="F13" s="41">
        <f t="shared" si="0"/>
        <v>2.4649999999999999</v>
      </c>
      <c r="G13" s="42">
        <f t="shared" si="1"/>
        <v>3.1305499999999999</v>
      </c>
      <c r="H13" s="45" t="s">
        <v>169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J13"/>
      <c r="AMK13"/>
    </row>
    <row r="14" spans="1:1025" ht="15" customHeight="1" x14ac:dyDescent="0.2">
      <c r="A14" s="325" t="s">
        <v>170</v>
      </c>
      <c r="B14" s="326" t="s">
        <v>166</v>
      </c>
      <c r="C14" s="479">
        <v>2.2200000000000002</v>
      </c>
      <c r="D14" s="327">
        <v>0.69</v>
      </c>
      <c r="E14" s="327">
        <v>0.83</v>
      </c>
      <c r="F14" s="41">
        <f t="shared" si="0"/>
        <v>0.76</v>
      </c>
      <c r="G14" s="42">
        <f t="shared" si="1"/>
        <v>1.6872000000000003</v>
      </c>
      <c r="H14" s="45" t="s">
        <v>158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J14"/>
      <c r="AMK14"/>
    </row>
    <row r="15" spans="1:1025" ht="15" customHeight="1" x14ac:dyDescent="0.2">
      <c r="A15" s="325" t="s">
        <v>171</v>
      </c>
      <c r="B15" s="326" t="s">
        <v>166</v>
      </c>
      <c r="C15" s="479">
        <v>2.41</v>
      </c>
      <c r="D15" s="327">
        <v>1.64</v>
      </c>
      <c r="E15" s="327">
        <v>2.9</v>
      </c>
      <c r="F15" s="41">
        <f t="shared" si="0"/>
        <v>2.27</v>
      </c>
      <c r="G15" s="42">
        <f t="shared" si="1"/>
        <v>5.4707000000000008</v>
      </c>
      <c r="H15" s="45" t="s">
        <v>172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G15"/>
      <c r="AMH15"/>
      <c r="AMI15"/>
      <c r="AMJ15"/>
      <c r="AMK15"/>
    </row>
    <row r="16" spans="1:1025" ht="15" customHeight="1" x14ac:dyDescent="0.2">
      <c r="A16" s="325" t="s">
        <v>173</v>
      </c>
      <c r="B16" s="326" t="s">
        <v>166</v>
      </c>
      <c r="C16" s="479">
        <v>0.25</v>
      </c>
      <c r="D16" s="327">
        <v>7.21</v>
      </c>
      <c r="E16" s="327">
        <v>8.66</v>
      </c>
      <c r="F16" s="41">
        <f t="shared" si="0"/>
        <v>7.9350000000000005</v>
      </c>
      <c r="G16" s="42">
        <f t="shared" si="1"/>
        <v>1.9837500000000001</v>
      </c>
      <c r="H16" s="45" t="s">
        <v>174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G16"/>
      <c r="AMH16"/>
      <c r="AMI16"/>
      <c r="AMJ16"/>
      <c r="AMK16"/>
    </row>
    <row r="17" spans="1:1023" customFormat="1" ht="15" customHeight="1" x14ac:dyDescent="0.2">
      <c r="A17" s="325" t="s">
        <v>175</v>
      </c>
      <c r="B17" s="326" t="s">
        <v>176</v>
      </c>
      <c r="C17" s="479">
        <v>0.65</v>
      </c>
      <c r="D17" s="327">
        <v>1.38</v>
      </c>
      <c r="E17" s="327">
        <v>2.37</v>
      </c>
      <c r="F17" s="41">
        <f t="shared" si="0"/>
        <v>1.875</v>
      </c>
      <c r="G17" s="42">
        <f t="shared" si="1"/>
        <v>1.21875</v>
      </c>
      <c r="H17" s="45" t="s">
        <v>164</v>
      </c>
      <c r="AMF17" s="30"/>
    </row>
    <row r="18" spans="1:1023" customFormat="1" ht="15" customHeight="1" x14ac:dyDescent="0.2">
      <c r="A18" s="325" t="s">
        <v>177</v>
      </c>
      <c r="B18" s="326" t="s">
        <v>149</v>
      </c>
      <c r="C18" s="479">
        <v>0.22</v>
      </c>
      <c r="D18" s="327">
        <v>2.41</v>
      </c>
      <c r="E18" s="327">
        <v>4.2300000000000004</v>
      </c>
      <c r="F18" s="41">
        <f t="shared" si="0"/>
        <v>3.3200000000000003</v>
      </c>
      <c r="G18" s="42">
        <f t="shared" si="1"/>
        <v>0.73040000000000005</v>
      </c>
      <c r="H18" s="45" t="s">
        <v>178</v>
      </c>
      <c r="AMF18" s="30"/>
    </row>
    <row r="19" spans="1:1023" customFormat="1" ht="15" customHeight="1" x14ac:dyDescent="0.2">
      <c r="A19" s="325" t="s">
        <v>179</v>
      </c>
      <c r="B19" s="326" t="s">
        <v>180</v>
      </c>
      <c r="C19" s="479">
        <v>1.61</v>
      </c>
      <c r="D19" s="327">
        <v>3.57</v>
      </c>
      <c r="E19" s="327">
        <v>3.76</v>
      </c>
      <c r="F19" s="41">
        <f t="shared" si="0"/>
        <v>3.665</v>
      </c>
      <c r="G19" s="42">
        <f t="shared" si="1"/>
        <v>5.9006500000000006</v>
      </c>
      <c r="H19" s="45" t="s">
        <v>181</v>
      </c>
      <c r="AMF19" s="30"/>
    </row>
    <row r="20" spans="1:1023" customFormat="1" ht="15" customHeight="1" x14ac:dyDescent="0.2">
      <c r="A20" s="325" t="s">
        <v>182</v>
      </c>
      <c r="B20" s="326" t="s">
        <v>149</v>
      </c>
      <c r="C20" s="479">
        <v>2.2000000000000002</v>
      </c>
      <c r="D20" s="327">
        <v>2.5299999999999998</v>
      </c>
      <c r="E20" s="327">
        <v>3.51</v>
      </c>
      <c r="F20" s="41">
        <f t="shared" si="0"/>
        <v>3.0199999999999996</v>
      </c>
      <c r="G20" s="42">
        <f t="shared" si="1"/>
        <v>6.6439999999999992</v>
      </c>
      <c r="H20" s="45" t="s">
        <v>162</v>
      </c>
      <c r="AMF20" s="30"/>
    </row>
    <row r="21" spans="1:1023" customFormat="1" ht="15" customHeight="1" x14ac:dyDescent="0.2">
      <c r="A21" s="325" t="s">
        <v>183</v>
      </c>
      <c r="B21" s="326" t="s">
        <v>184</v>
      </c>
      <c r="C21" s="479">
        <v>0.3</v>
      </c>
      <c r="D21" s="327">
        <v>1.87</v>
      </c>
      <c r="E21" s="327">
        <v>2.73</v>
      </c>
      <c r="F21" s="41">
        <f t="shared" si="0"/>
        <v>2.2999999999999998</v>
      </c>
      <c r="G21" s="42">
        <f t="shared" si="1"/>
        <v>0.69</v>
      </c>
      <c r="H21" s="45" t="s">
        <v>150</v>
      </c>
      <c r="AMF21" s="30"/>
    </row>
    <row r="22" spans="1:1023" customFormat="1" ht="15" customHeight="1" x14ac:dyDescent="0.2">
      <c r="A22" s="325" t="s">
        <v>185</v>
      </c>
      <c r="B22" s="326" t="s">
        <v>186</v>
      </c>
      <c r="C22" s="479">
        <v>2.2999999999999998</v>
      </c>
      <c r="D22" s="327">
        <v>4.3</v>
      </c>
      <c r="E22" s="327">
        <v>5.1100000000000003</v>
      </c>
      <c r="F22" s="41">
        <f t="shared" si="0"/>
        <v>4.7050000000000001</v>
      </c>
      <c r="G22" s="42">
        <f t="shared" si="1"/>
        <v>10.821499999999999</v>
      </c>
      <c r="H22" s="45" t="s">
        <v>162</v>
      </c>
      <c r="AMF22" s="30"/>
    </row>
    <row r="23" spans="1:1023" customFormat="1" ht="15" customHeight="1" x14ac:dyDescent="0.2">
      <c r="A23" s="325" t="s">
        <v>187</v>
      </c>
      <c r="B23" s="326" t="s">
        <v>166</v>
      </c>
      <c r="C23" s="479">
        <v>1.48</v>
      </c>
      <c r="D23" s="327">
        <v>7.44</v>
      </c>
      <c r="E23" s="327">
        <v>7.96</v>
      </c>
      <c r="F23" s="41">
        <f t="shared" si="0"/>
        <v>7.7</v>
      </c>
      <c r="G23" s="42">
        <f t="shared" si="1"/>
        <v>11.396000000000001</v>
      </c>
      <c r="H23" s="45" t="s">
        <v>164</v>
      </c>
      <c r="AMF23" s="30"/>
    </row>
    <row r="24" spans="1:1023" customFormat="1" ht="15" customHeight="1" x14ac:dyDescent="0.2">
      <c r="A24" s="325" t="s">
        <v>188</v>
      </c>
      <c r="B24" s="326" t="s">
        <v>166</v>
      </c>
      <c r="C24" s="479">
        <v>2.58</v>
      </c>
      <c r="D24" s="327">
        <v>3.37</v>
      </c>
      <c r="E24" s="327">
        <v>4.33</v>
      </c>
      <c r="F24" s="41">
        <f t="shared" si="0"/>
        <v>3.85</v>
      </c>
      <c r="G24" s="42">
        <f t="shared" si="1"/>
        <v>9.9329999999999998</v>
      </c>
      <c r="H24" s="45" t="s">
        <v>162</v>
      </c>
      <c r="AMF24" s="30"/>
    </row>
    <row r="25" spans="1:1023" customFormat="1" ht="15" customHeight="1" x14ac:dyDescent="0.2">
      <c r="A25" s="325" t="s">
        <v>189</v>
      </c>
      <c r="B25" s="326" t="s">
        <v>190</v>
      </c>
      <c r="C25" s="479">
        <v>0.62</v>
      </c>
      <c r="D25" s="327">
        <v>59.32</v>
      </c>
      <c r="E25" s="327">
        <v>74.08</v>
      </c>
      <c r="F25" s="41">
        <f t="shared" si="0"/>
        <v>66.7</v>
      </c>
      <c r="G25" s="42">
        <f t="shared" si="1"/>
        <v>41.353999999999999</v>
      </c>
      <c r="H25" s="45" t="s">
        <v>164</v>
      </c>
      <c r="AMF25" s="30"/>
    </row>
    <row r="26" spans="1:1023" customFormat="1" ht="15" customHeight="1" x14ac:dyDescent="0.2">
      <c r="A26" s="325" t="s">
        <v>191</v>
      </c>
      <c r="B26" s="326" t="s">
        <v>192</v>
      </c>
      <c r="C26" s="479">
        <v>2.41</v>
      </c>
      <c r="D26" s="327">
        <v>27.95</v>
      </c>
      <c r="E26" s="327">
        <v>26.37</v>
      </c>
      <c r="F26" s="41">
        <f t="shared" si="0"/>
        <v>27.16</v>
      </c>
      <c r="G26" s="42">
        <f t="shared" si="1"/>
        <v>65.455600000000004</v>
      </c>
      <c r="H26" s="45" t="s">
        <v>164</v>
      </c>
      <c r="AMF26" s="30"/>
    </row>
    <row r="27" spans="1:1023" customFormat="1" ht="15" customHeight="1" x14ac:dyDescent="0.2">
      <c r="A27" s="325" t="s">
        <v>193</v>
      </c>
      <c r="B27" s="326" t="s">
        <v>194</v>
      </c>
      <c r="C27" s="479">
        <v>5.88</v>
      </c>
      <c r="D27" s="327">
        <v>10.61</v>
      </c>
      <c r="E27" s="327">
        <v>9.8000000000000007</v>
      </c>
      <c r="F27" s="41">
        <f t="shared" si="0"/>
        <v>10.205</v>
      </c>
      <c r="G27" s="42">
        <f t="shared" si="1"/>
        <v>60.005400000000002</v>
      </c>
      <c r="H27" s="45" t="s">
        <v>164</v>
      </c>
      <c r="AMF27" s="30"/>
    </row>
    <row r="28" spans="1:1023" customFormat="1" ht="15" customHeight="1" x14ac:dyDescent="0.2">
      <c r="A28" s="325" t="s">
        <v>195</v>
      </c>
      <c r="B28" s="326" t="s">
        <v>196</v>
      </c>
      <c r="C28" s="479">
        <v>2.75</v>
      </c>
      <c r="D28" s="327">
        <v>1.37</v>
      </c>
      <c r="E28" s="327">
        <v>1.22</v>
      </c>
      <c r="F28" s="41">
        <f t="shared" si="0"/>
        <v>1.2949999999999999</v>
      </c>
      <c r="G28" s="42">
        <f t="shared" si="1"/>
        <v>3.5612499999999998</v>
      </c>
      <c r="H28" s="45" t="s">
        <v>164</v>
      </c>
      <c r="AMI28" s="30"/>
    </row>
    <row r="29" spans="1:1023" customFormat="1" ht="15" customHeight="1" x14ac:dyDescent="0.2">
      <c r="A29" s="325" t="s">
        <v>197</v>
      </c>
      <c r="B29" s="326" t="s">
        <v>155</v>
      </c>
      <c r="C29" s="479">
        <v>0.67</v>
      </c>
      <c r="D29" s="327">
        <v>19.739999999999998</v>
      </c>
      <c r="E29" s="327">
        <v>20.96</v>
      </c>
      <c r="F29" s="41">
        <f t="shared" si="0"/>
        <v>20.350000000000001</v>
      </c>
      <c r="G29" s="42">
        <f t="shared" si="1"/>
        <v>13.634500000000001</v>
      </c>
      <c r="H29" s="45" t="s">
        <v>162</v>
      </c>
      <c r="AMI29" s="30"/>
    </row>
    <row r="30" spans="1:1023" customFormat="1" ht="15" customHeight="1" x14ac:dyDescent="0.2">
      <c r="A30" s="325" t="s">
        <v>198</v>
      </c>
      <c r="B30" s="326" t="s">
        <v>166</v>
      </c>
      <c r="C30" s="479">
        <v>1.2</v>
      </c>
      <c r="D30" s="327">
        <v>1.19</v>
      </c>
      <c r="E30" s="327">
        <v>2.75</v>
      </c>
      <c r="F30" s="41">
        <f t="shared" si="0"/>
        <v>1.97</v>
      </c>
      <c r="G30" s="42">
        <f t="shared" si="1"/>
        <v>2.3639999999999999</v>
      </c>
      <c r="H30" s="45" t="s">
        <v>162</v>
      </c>
      <c r="AMI30" s="30"/>
    </row>
    <row r="31" spans="1:1023" customFormat="1" ht="15" customHeight="1" x14ac:dyDescent="0.2">
      <c r="A31" s="325" t="s">
        <v>199</v>
      </c>
      <c r="B31" s="326" t="s">
        <v>200</v>
      </c>
      <c r="C31" s="479">
        <v>0.79</v>
      </c>
      <c r="D31" s="327">
        <v>4.72</v>
      </c>
      <c r="E31" s="327">
        <v>4.93</v>
      </c>
      <c r="F31" s="41">
        <f t="shared" si="0"/>
        <v>4.8249999999999993</v>
      </c>
      <c r="G31" s="42">
        <f t="shared" si="1"/>
        <v>3.8117499999999995</v>
      </c>
      <c r="H31" s="45" t="s">
        <v>162</v>
      </c>
      <c r="AMI31" s="30"/>
    </row>
    <row r="32" spans="1:1023" customFormat="1" ht="15" customHeight="1" x14ac:dyDescent="0.2">
      <c r="A32" s="325" t="s">
        <v>201</v>
      </c>
      <c r="B32" s="326" t="s">
        <v>155</v>
      </c>
      <c r="C32" s="479">
        <v>0.77</v>
      </c>
      <c r="D32" s="327">
        <v>16.22</v>
      </c>
      <c r="E32" s="327">
        <v>25.11</v>
      </c>
      <c r="F32" s="41">
        <f t="shared" si="0"/>
        <v>20.664999999999999</v>
      </c>
      <c r="G32" s="42">
        <f t="shared" si="1"/>
        <v>15.912049999999999</v>
      </c>
      <c r="H32" s="45" t="s">
        <v>164</v>
      </c>
      <c r="AMI32" s="30"/>
    </row>
    <row r="33" spans="1:1023" customFormat="1" ht="15" customHeight="1" x14ac:dyDescent="0.2">
      <c r="A33" s="325" t="s">
        <v>202</v>
      </c>
      <c r="B33" s="326" t="s">
        <v>166</v>
      </c>
      <c r="C33" s="479">
        <v>1.53</v>
      </c>
      <c r="D33" s="327">
        <v>3.47</v>
      </c>
      <c r="E33" s="327">
        <v>4.25</v>
      </c>
      <c r="F33" s="41">
        <f t="shared" si="0"/>
        <v>3.8600000000000003</v>
      </c>
      <c r="G33" s="42">
        <f t="shared" si="1"/>
        <v>5.9058000000000002</v>
      </c>
      <c r="H33" s="45" t="s">
        <v>203</v>
      </c>
      <c r="AMI33" s="30"/>
    </row>
    <row r="34" spans="1:1023" customFormat="1" ht="15" customHeight="1" x14ac:dyDescent="0.2">
      <c r="A34" s="325" t="s">
        <v>204</v>
      </c>
      <c r="B34" s="326" t="s">
        <v>205</v>
      </c>
      <c r="C34" s="479">
        <v>0.68</v>
      </c>
      <c r="D34" s="327">
        <v>14.06</v>
      </c>
      <c r="E34" s="327">
        <v>17.690000000000001</v>
      </c>
      <c r="F34" s="41">
        <f t="shared" si="0"/>
        <v>15.875</v>
      </c>
      <c r="G34" s="42">
        <f t="shared" si="1"/>
        <v>10.795</v>
      </c>
      <c r="H34" s="45" t="s">
        <v>206</v>
      </c>
      <c r="AMI34" s="30"/>
    </row>
    <row r="35" spans="1:1023" customFormat="1" ht="15" customHeight="1" x14ac:dyDescent="0.2">
      <c r="A35" s="325" t="s">
        <v>207</v>
      </c>
      <c r="B35" s="326" t="s">
        <v>205</v>
      </c>
      <c r="C35" s="479">
        <v>0.65</v>
      </c>
      <c r="D35" s="327">
        <v>14.34</v>
      </c>
      <c r="E35" s="327">
        <v>19.29</v>
      </c>
      <c r="F35" s="41">
        <f t="shared" si="0"/>
        <v>16.814999999999998</v>
      </c>
      <c r="G35" s="42">
        <f t="shared" si="1"/>
        <v>10.929749999999999</v>
      </c>
      <c r="H35" s="45" t="s">
        <v>206</v>
      </c>
      <c r="AMI35" s="30"/>
    </row>
    <row r="36" spans="1:1023" customFormat="1" ht="15" customHeight="1" x14ac:dyDescent="0.2">
      <c r="A36" s="484" t="s">
        <v>208</v>
      </c>
      <c r="B36" s="485" t="s">
        <v>205</v>
      </c>
      <c r="C36" s="486">
        <v>1.02</v>
      </c>
      <c r="D36" s="487">
        <v>24.89</v>
      </c>
      <c r="E36" s="487">
        <v>25.63</v>
      </c>
      <c r="F36" s="50">
        <f t="shared" si="0"/>
        <v>25.259999999999998</v>
      </c>
      <c r="G36" s="488">
        <f t="shared" si="1"/>
        <v>25.7652</v>
      </c>
      <c r="H36" s="51" t="s">
        <v>162</v>
      </c>
      <c r="AMI36" s="30"/>
    </row>
    <row r="37" spans="1:1023" customFormat="1" ht="20.25" customHeight="1" x14ac:dyDescent="0.2">
      <c r="A37" s="480" t="s">
        <v>209</v>
      </c>
      <c r="B37" s="481"/>
      <c r="C37" s="481"/>
      <c r="D37" s="481"/>
      <c r="E37" s="481"/>
      <c r="F37" s="481"/>
      <c r="G37" s="482">
        <f>SUM(G3:G36)</f>
        <v>409.79379999999998</v>
      </c>
      <c r="H37" s="483"/>
      <c r="AMI37" s="30"/>
    </row>
    <row r="38" spans="1:1023" customFormat="1" ht="45.75" customHeight="1" x14ac:dyDescent="0.2">
      <c r="A38" s="33" t="s">
        <v>132</v>
      </c>
      <c r="B38" s="34" t="s">
        <v>133</v>
      </c>
      <c r="C38" s="34" t="s">
        <v>210</v>
      </c>
      <c r="D38" s="34" t="s">
        <v>135</v>
      </c>
      <c r="E38" s="34" t="s">
        <v>136</v>
      </c>
      <c r="F38" s="35" t="s">
        <v>137</v>
      </c>
      <c r="G38" s="52" t="s">
        <v>211</v>
      </c>
      <c r="H38" s="53" t="s">
        <v>139</v>
      </c>
      <c r="AMI38" s="30"/>
    </row>
    <row r="39" spans="1:1023" customFormat="1" ht="15" customHeight="1" x14ac:dyDescent="0.2">
      <c r="A39" s="39" t="s">
        <v>212</v>
      </c>
      <c r="B39" s="40" t="s">
        <v>166</v>
      </c>
      <c r="C39" s="479">
        <v>3.19</v>
      </c>
      <c r="D39" s="331">
        <v>9.91</v>
      </c>
      <c r="E39" s="331">
        <v>7.95</v>
      </c>
      <c r="F39" s="41">
        <f t="shared" ref="F39:F57" si="2">(D39+E39)/2</f>
        <v>8.93</v>
      </c>
      <c r="G39" s="54">
        <f>C39*F39/12</f>
        <v>2.3738916666666667</v>
      </c>
      <c r="H39" s="332" t="s">
        <v>162</v>
      </c>
      <c r="AMI39" s="30"/>
    </row>
    <row r="40" spans="1:1023" customFormat="1" ht="15" customHeight="1" x14ac:dyDescent="0.2">
      <c r="A40" s="44" t="s">
        <v>213</v>
      </c>
      <c r="B40" s="46" t="s">
        <v>166</v>
      </c>
      <c r="C40" s="479">
        <v>0.75</v>
      </c>
      <c r="D40" s="331">
        <v>5.96</v>
      </c>
      <c r="E40" s="331">
        <v>3.96</v>
      </c>
      <c r="F40" s="41">
        <f t="shared" si="2"/>
        <v>4.96</v>
      </c>
      <c r="G40" s="54">
        <f t="shared" ref="G40:G57" si="3">C40*F40/12</f>
        <v>0.31</v>
      </c>
      <c r="H40" s="333" t="s">
        <v>164</v>
      </c>
      <c r="AMI40" s="30"/>
    </row>
    <row r="41" spans="1:1023" customFormat="1" ht="15" customHeight="1" x14ac:dyDescent="0.2">
      <c r="A41" s="44" t="s">
        <v>214</v>
      </c>
      <c r="B41" s="46" t="s">
        <v>166</v>
      </c>
      <c r="C41" s="479">
        <v>0.75</v>
      </c>
      <c r="D41" s="331">
        <v>7.93</v>
      </c>
      <c r="E41" s="331">
        <v>5.84</v>
      </c>
      <c r="F41" s="41">
        <f t="shared" si="2"/>
        <v>6.8849999999999998</v>
      </c>
      <c r="G41" s="54">
        <f t="shared" si="3"/>
        <v>0.43031250000000004</v>
      </c>
      <c r="H41" s="333" t="s">
        <v>164</v>
      </c>
      <c r="AMI41" s="30"/>
    </row>
    <row r="42" spans="1:1023" customFormat="1" ht="15" customHeight="1" x14ac:dyDescent="0.2">
      <c r="A42" s="44" t="s">
        <v>215</v>
      </c>
      <c r="B42" s="46" t="s">
        <v>166</v>
      </c>
      <c r="C42" s="479">
        <v>1.94</v>
      </c>
      <c r="D42" s="331">
        <v>22.32</v>
      </c>
      <c r="E42" s="331">
        <v>19.21</v>
      </c>
      <c r="F42" s="41">
        <f t="shared" si="2"/>
        <v>20.765000000000001</v>
      </c>
      <c r="G42" s="54">
        <f t="shared" si="3"/>
        <v>3.3570083333333334</v>
      </c>
      <c r="H42" s="333" t="s">
        <v>162</v>
      </c>
      <c r="AMI42" s="30"/>
    </row>
    <row r="43" spans="1:1023" customFormat="1" ht="15" customHeight="1" x14ac:dyDescent="0.2">
      <c r="A43" s="44" t="s">
        <v>216</v>
      </c>
      <c r="B43" s="46" t="s">
        <v>166</v>
      </c>
      <c r="C43" s="479">
        <v>2.85</v>
      </c>
      <c r="D43" s="331">
        <v>4.12</v>
      </c>
      <c r="E43" s="331">
        <v>6.08</v>
      </c>
      <c r="F43" s="41">
        <f t="shared" si="2"/>
        <v>5.0999999999999996</v>
      </c>
      <c r="G43" s="54">
        <f t="shared" si="3"/>
        <v>1.2112499999999999</v>
      </c>
      <c r="H43" s="333" t="s">
        <v>164</v>
      </c>
      <c r="AMI43" s="30"/>
    </row>
    <row r="44" spans="1:1023" customFormat="1" ht="15" customHeight="1" x14ac:dyDescent="0.2">
      <c r="A44" s="44" t="s">
        <v>217</v>
      </c>
      <c r="B44" s="46" t="s">
        <v>166</v>
      </c>
      <c r="C44" s="479">
        <v>0.64</v>
      </c>
      <c r="D44" s="331">
        <v>47.9</v>
      </c>
      <c r="E44" s="331">
        <v>50.35</v>
      </c>
      <c r="F44" s="41">
        <f t="shared" si="2"/>
        <v>49.125</v>
      </c>
      <c r="G44" s="54">
        <f t="shared" si="3"/>
        <v>2.62</v>
      </c>
      <c r="H44" s="333" t="s">
        <v>162</v>
      </c>
      <c r="AMI44" s="30"/>
    </row>
    <row r="45" spans="1:1023" customFormat="1" ht="15" customHeight="1" x14ac:dyDescent="0.2">
      <c r="A45" s="44" t="s">
        <v>218</v>
      </c>
      <c r="B45" s="46" t="s">
        <v>166</v>
      </c>
      <c r="C45" s="479">
        <v>1.6</v>
      </c>
      <c r="D45" s="331">
        <v>2.4500000000000002</v>
      </c>
      <c r="E45" s="331">
        <v>4.96</v>
      </c>
      <c r="F45" s="41">
        <f t="shared" si="2"/>
        <v>3.7050000000000001</v>
      </c>
      <c r="G45" s="54">
        <f t="shared" si="3"/>
        <v>0.49400000000000005</v>
      </c>
      <c r="H45" s="333" t="s">
        <v>203</v>
      </c>
      <c r="AMI45" s="30"/>
    </row>
    <row r="46" spans="1:1023" customFormat="1" ht="15" customHeight="1" x14ac:dyDescent="0.2">
      <c r="A46" s="44" t="s">
        <v>219</v>
      </c>
      <c r="B46" s="46" t="s">
        <v>166</v>
      </c>
      <c r="C46" s="479">
        <v>0.92</v>
      </c>
      <c r="D46" s="331">
        <v>14.49</v>
      </c>
      <c r="E46" s="331">
        <v>14.32</v>
      </c>
      <c r="F46" s="41">
        <f t="shared" si="2"/>
        <v>14.405000000000001</v>
      </c>
      <c r="G46" s="54">
        <f t="shared" si="3"/>
        <v>1.1043833333333335</v>
      </c>
      <c r="H46" s="333" t="s">
        <v>162</v>
      </c>
      <c r="AMI46" s="30"/>
    </row>
    <row r="47" spans="1:1023" customFormat="1" ht="15" customHeight="1" x14ac:dyDescent="0.2">
      <c r="A47" s="44" t="s">
        <v>220</v>
      </c>
      <c r="B47" s="46" t="s">
        <v>166</v>
      </c>
      <c r="C47" s="479">
        <v>1</v>
      </c>
      <c r="D47" s="331">
        <v>57.07</v>
      </c>
      <c r="E47" s="331">
        <v>56.66</v>
      </c>
      <c r="F47" s="41">
        <f t="shared" si="2"/>
        <v>56.864999999999995</v>
      </c>
      <c r="G47" s="54">
        <f t="shared" si="3"/>
        <v>4.7387499999999996</v>
      </c>
      <c r="H47" s="333" t="s">
        <v>206</v>
      </c>
      <c r="AMI47" s="30"/>
    </row>
    <row r="48" spans="1:1023" customFormat="1" ht="15" customHeight="1" x14ac:dyDescent="0.2">
      <c r="A48" s="44" t="s">
        <v>221</v>
      </c>
      <c r="B48" s="46" t="s">
        <v>166</v>
      </c>
      <c r="C48" s="479">
        <v>2.6</v>
      </c>
      <c r="D48" s="331">
        <v>60.51</v>
      </c>
      <c r="E48" s="331">
        <v>70.319999999999993</v>
      </c>
      <c r="F48" s="41">
        <f t="shared" si="2"/>
        <v>65.414999999999992</v>
      </c>
      <c r="G48" s="54">
        <f t="shared" si="3"/>
        <v>14.173249999999998</v>
      </c>
      <c r="H48" s="333" t="s">
        <v>206</v>
      </c>
      <c r="AMI48" s="30"/>
    </row>
    <row r="49" spans="1:1023" customFormat="1" ht="15" customHeight="1" x14ac:dyDescent="0.25">
      <c r="A49" s="329" t="s">
        <v>222</v>
      </c>
      <c r="B49" s="330" t="s">
        <v>166</v>
      </c>
      <c r="C49" s="479">
        <v>4</v>
      </c>
      <c r="D49" s="331">
        <v>17.62</v>
      </c>
      <c r="E49" s="331">
        <v>15.64</v>
      </c>
      <c r="F49" s="41">
        <f t="shared" si="2"/>
        <v>16.630000000000003</v>
      </c>
      <c r="G49" s="54">
        <f t="shared" si="3"/>
        <v>5.5433333333333339</v>
      </c>
      <c r="H49" s="334" t="s">
        <v>206</v>
      </c>
      <c r="AMI49" s="30"/>
    </row>
    <row r="50" spans="1:1023" customFormat="1" ht="15" customHeight="1" x14ac:dyDescent="0.2">
      <c r="A50" s="44" t="s">
        <v>223</v>
      </c>
      <c r="B50" s="46" t="s">
        <v>166</v>
      </c>
      <c r="C50" s="479">
        <v>1</v>
      </c>
      <c r="D50" s="331">
        <v>3.44</v>
      </c>
      <c r="E50" s="331">
        <v>5.94</v>
      </c>
      <c r="F50" s="41">
        <f t="shared" si="2"/>
        <v>4.6900000000000004</v>
      </c>
      <c r="G50" s="54">
        <f t="shared" si="3"/>
        <v>0.39083333333333337</v>
      </c>
      <c r="H50" s="333" t="s">
        <v>162</v>
      </c>
      <c r="AMI50" s="30"/>
    </row>
    <row r="51" spans="1:1023" customFormat="1" ht="15" customHeight="1" x14ac:dyDescent="0.2">
      <c r="A51" s="44" t="s">
        <v>224</v>
      </c>
      <c r="B51" s="46" t="s">
        <v>166</v>
      </c>
      <c r="C51" s="479">
        <v>1.24</v>
      </c>
      <c r="D51" s="331">
        <v>8.2799999999999994</v>
      </c>
      <c r="E51" s="331">
        <v>11.02</v>
      </c>
      <c r="F51" s="41">
        <f t="shared" si="2"/>
        <v>9.6499999999999986</v>
      </c>
      <c r="G51" s="54">
        <f t="shared" si="3"/>
        <v>0.99716666666666642</v>
      </c>
      <c r="H51" s="333" t="s">
        <v>181</v>
      </c>
      <c r="AMI51" s="30"/>
    </row>
    <row r="52" spans="1:1023" customFormat="1" ht="15" customHeight="1" x14ac:dyDescent="0.2">
      <c r="A52" s="44" t="s">
        <v>225</v>
      </c>
      <c r="B52" s="46" t="s">
        <v>166</v>
      </c>
      <c r="C52" s="479">
        <v>3.85</v>
      </c>
      <c r="D52" s="331">
        <v>9.34</v>
      </c>
      <c r="E52" s="331">
        <v>11.3</v>
      </c>
      <c r="F52" s="41">
        <f t="shared" si="2"/>
        <v>10.32</v>
      </c>
      <c r="G52" s="54">
        <f t="shared" si="3"/>
        <v>3.3109999999999999</v>
      </c>
      <c r="H52" s="333" t="s">
        <v>206</v>
      </c>
      <c r="AMI52" s="30"/>
    </row>
    <row r="53" spans="1:1023" customFormat="1" ht="15" customHeight="1" x14ac:dyDescent="0.2">
      <c r="A53" s="44" t="s">
        <v>226</v>
      </c>
      <c r="B53" s="46" t="s">
        <v>227</v>
      </c>
      <c r="C53" s="479">
        <v>0.64</v>
      </c>
      <c r="D53" s="331">
        <v>25.29</v>
      </c>
      <c r="E53" s="331">
        <v>18.899999999999999</v>
      </c>
      <c r="F53" s="41">
        <f t="shared" si="2"/>
        <v>22.094999999999999</v>
      </c>
      <c r="G53" s="54">
        <f t="shared" si="3"/>
        <v>1.1783999999999999</v>
      </c>
      <c r="H53" s="333" t="s">
        <v>162</v>
      </c>
      <c r="AMI53" s="30"/>
    </row>
    <row r="54" spans="1:1023" customFormat="1" ht="15" customHeight="1" x14ac:dyDescent="0.2">
      <c r="A54" s="44" t="s">
        <v>228</v>
      </c>
      <c r="B54" s="46" t="s">
        <v>166</v>
      </c>
      <c r="C54" s="479">
        <v>1.28</v>
      </c>
      <c r="D54" s="331">
        <v>24.28</v>
      </c>
      <c r="E54" s="331">
        <v>27.24</v>
      </c>
      <c r="F54" s="41">
        <f t="shared" si="2"/>
        <v>25.759999999999998</v>
      </c>
      <c r="G54" s="54">
        <f t="shared" si="3"/>
        <v>2.7477333333333331</v>
      </c>
      <c r="H54" s="333" t="s">
        <v>229</v>
      </c>
      <c r="AMI54" s="30"/>
    </row>
    <row r="55" spans="1:1023" customFormat="1" ht="15" customHeight="1" x14ac:dyDescent="0.2">
      <c r="A55" s="44" t="s">
        <v>230</v>
      </c>
      <c r="B55" s="46" t="s">
        <v>166</v>
      </c>
      <c r="C55" s="479">
        <v>0.99</v>
      </c>
      <c r="D55" s="331">
        <v>14.99</v>
      </c>
      <c r="E55" s="331">
        <v>18.84</v>
      </c>
      <c r="F55" s="41">
        <f t="shared" si="2"/>
        <v>16.914999999999999</v>
      </c>
      <c r="G55" s="54">
        <f t="shared" si="3"/>
        <v>1.3954874999999998</v>
      </c>
      <c r="H55" s="333" t="s">
        <v>231</v>
      </c>
      <c r="AMI55" s="30"/>
    </row>
    <row r="56" spans="1:1023" customFormat="1" ht="15" customHeight="1" x14ac:dyDescent="0.2">
      <c r="A56" s="44" t="s">
        <v>232</v>
      </c>
      <c r="B56" s="46" t="s">
        <v>166</v>
      </c>
      <c r="C56" s="479">
        <v>3.9</v>
      </c>
      <c r="D56" s="331">
        <v>7.91</v>
      </c>
      <c r="E56" s="331">
        <v>8.61</v>
      </c>
      <c r="F56" s="41">
        <f t="shared" si="2"/>
        <v>8.26</v>
      </c>
      <c r="G56" s="54">
        <f t="shared" si="3"/>
        <v>2.6844999999999999</v>
      </c>
      <c r="H56" s="333" t="s">
        <v>233</v>
      </c>
      <c r="AMI56" s="30"/>
    </row>
    <row r="57" spans="1:1023" customFormat="1" ht="15" customHeight="1" x14ac:dyDescent="0.2">
      <c r="A57" s="48" t="s">
        <v>234</v>
      </c>
      <c r="B57" s="49" t="s">
        <v>166</v>
      </c>
      <c r="C57" s="479">
        <v>1.48</v>
      </c>
      <c r="D57" s="335">
        <v>16.07</v>
      </c>
      <c r="E57" s="335">
        <v>22.46</v>
      </c>
      <c r="F57" s="50">
        <f t="shared" si="2"/>
        <v>19.265000000000001</v>
      </c>
      <c r="G57" s="55">
        <f t="shared" si="3"/>
        <v>2.3760166666666667</v>
      </c>
      <c r="H57" s="489" t="s">
        <v>162</v>
      </c>
      <c r="AMG57" s="30"/>
    </row>
    <row r="58" spans="1:1023" customFormat="1" ht="20.25" customHeight="1" x14ac:dyDescent="0.2">
      <c r="A58" s="918" t="s">
        <v>235</v>
      </c>
      <c r="B58" s="919"/>
      <c r="C58" s="919"/>
      <c r="D58" s="919"/>
      <c r="E58" s="919"/>
      <c r="F58" s="919"/>
      <c r="G58" s="492">
        <f>SUM(G39:G57)</f>
        <v>51.437316666666661</v>
      </c>
      <c r="H58" s="493"/>
      <c r="AMH58" s="30"/>
    </row>
    <row r="59" spans="1:1023" customFormat="1" ht="20.25" customHeight="1" x14ac:dyDescent="0.2">
      <c r="A59" s="918" t="s">
        <v>236</v>
      </c>
      <c r="B59" s="919"/>
      <c r="C59" s="919"/>
      <c r="D59" s="919"/>
      <c r="E59" s="919"/>
      <c r="F59" s="919"/>
      <c r="G59" s="490">
        <f>G58+G37</f>
        <v>461.23111666666665</v>
      </c>
      <c r="H59" s="491"/>
      <c r="AMH59" s="30"/>
    </row>
    <row r="60" spans="1:1023" customFormat="1" x14ac:dyDescent="0.2">
      <c r="A60" s="56"/>
      <c r="B60" s="57"/>
      <c r="C60" s="57"/>
      <c r="D60" s="57"/>
      <c r="E60" s="57"/>
      <c r="F60" s="57"/>
      <c r="G60" s="57"/>
      <c r="H60" s="58"/>
      <c r="AMI60" s="30"/>
    </row>
    <row r="61" spans="1:1023" customFormat="1" ht="20.25" customHeight="1" x14ac:dyDescent="0.2">
      <c r="A61" s="920" t="s">
        <v>237</v>
      </c>
      <c r="B61" s="921"/>
      <c r="C61" s="921"/>
      <c r="D61" s="921"/>
      <c r="E61" s="921"/>
      <c r="F61" s="921"/>
      <c r="G61" s="921"/>
      <c r="H61" s="922"/>
      <c r="AMI61" s="30"/>
    </row>
    <row r="62" spans="1:1023" customFormat="1" ht="54.75" customHeight="1" x14ac:dyDescent="0.2">
      <c r="A62" s="59" t="s">
        <v>132</v>
      </c>
      <c r="B62" s="60" t="s">
        <v>133</v>
      </c>
      <c r="C62" s="60" t="s">
        <v>238</v>
      </c>
      <c r="D62" s="34" t="s">
        <v>239</v>
      </c>
      <c r="E62" s="34" t="s">
        <v>136</v>
      </c>
      <c r="F62" s="35" t="s">
        <v>137</v>
      </c>
      <c r="G62" s="36" t="s">
        <v>240</v>
      </c>
      <c r="H62" s="61" t="s">
        <v>139</v>
      </c>
      <c r="AMI62" s="30"/>
    </row>
    <row r="63" spans="1:1023" customFormat="1" ht="15" customHeight="1" x14ac:dyDescent="0.2">
      <c r="A63" s="329" t="s">
        <v>241</v>
      </c>
      <c r="B63" s="46" t="s">
        <v>142</v>
      </c>
      <c r="C63" s="62">
        <f>0.1*22</f>
        <v>2.2000000000000002</v>
      </c>
      <c r="D63" s="331">
        <v>36.18</v>
      </c>
      <c r="E63" s="331">
        <v>34.57</v>
      </c>
      <c r="F63" s="41">
        <f>(D63+E63)/2</f>
        <v>35.375</v>
      </c>
      <c r="G63" s="42">
        <f>C63*F63</f>
        <v>77.825000000000003</v>
      </c>
      <c r="H63" s="45" t="s">
        <v>242</v>
      </c>
      <c r="AMI63" s="30"/>
    </row>
    <row r="64" spans="1:1023" customFormat="1" ht="15" customHeight="1" x14ac:dyDescent="0.2">
      <c r="A64" s="328" t="s">
        <v>152</v>
      </c>
      <c r="B64" s="46" t="s">
        <v>142</v>
      </c>
      <c r="C64" s="62">
        <f>0.5*22</f>
        <v>11</v>
      </c>
      <c r="D64" s="331">
        <v>7.25</v>
      </c>
      <c r="E64" s="331">
        <v>6.84</v>
      </c>
      <c r="F64" s="41">
        <f>(D64+E64)/2</f>
        <v>7.0449999999999999</v>
      </c>
      <c r="G64" s="42">
        <f>C64*F64</f>
        <v>77.495000000000005</v>
      </c>
      <c r="H64" s="45" t="s">
        <v>150</v>
      </c>
      <c r="AMI64" s="30"/>
    </row>
    <row r="65" spans="1:1025" ht="15" customHeight="1" x14ac:dyDescent="0.2">
      <c r="A65" s="336" t="s">
        <v>171</v>
      </c>
      <c r="B65" s="49" t="s">
        <v>166</v>
      </c>
      <c r="C65" s="62">
        <v>4</v>
      </c>
      <c r="D65" s="331">
        <v>1.64</v>
      </c>
      <c r="E65" s="331">
        <v>2.9</v>
      </c>
      <c r="F65" s="41">
        <f>(D65+E65)/2</f>
        <v>2.27</v>
      </c>
      <c r="G65" s="42">
        <f>C65*F65</f>
        <v>9.08</v>
      </c>
      <c r="H65" s="51" t="s">
        <v>243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J65"/>
      <c r="AMK65"/>
    </row>
    <row r="66" spans="1:1025" ht="15" customHeight="1" x14ac:dyDescent="0.2">
      <c r="A66" s="337" t="s">
        <v>244</v>
      </c>
      <c r="B66" s="46" t="s">
        <v>205</v>
      </c>
      <c r="C66" s="62">
        <f>4*2*22</f>
        <v>176</v>
      </c>
      <c r="D66" s="335">
        <v>0.44</v>
      </c>
      <c r="E66" s="335">
        <v>0.46</v>
      </c>
      <c r="F66" s="41">
        <f>(D66+E66)/2</f>
        <v>0.45</v>
      </c>
      <c r="G66" s="42">
        <f>C66*F66</f>
        <v>79.2</v>
      </c>
      <c r="H66" s="51" t="s">
        <v>245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J66"/>
      <c r="AMK66"/>
    </row>
    <row r="67" spans="1:1025" ht="35.25" customHeight="1" x14ac:dyDescent="0.2">
      <c r="A67" s="59" t="s">
        <v>132</v>
      </c>
      <c r="B67" s="60" t="s">
        <v>133</v>
      </c>
      <c r="C67" s="60" t="s">
        <v>246</v>
      </c>
      <c r="D67" s="60" t="s">
        <v>239</v>
      </c>
      <c r="E67" s="60" t="s">
        <v>136</v>
      </c>
      <c r="F67" s="63" t="s">
        <v>137</v>
      </c>
      <c r="G67" s="36" t="s">
        <v>247</v>
      </c>
      <c r="H67" s="61" t="s">
        <v>139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J67"/>
      <c r="AMK67"/>
    </row>
    <row r="68" spans="1:1025" ht="15" customHeight="1" x14ac:dyDescent="0.2">
      <c r="A68" s="39" t="s">
        <v>248</v>
      </c>
      <c r="B68" s="40" t="s">
        <v>166</v>
      </c>
      <c r="C68" s="62">
        <f>2*4</f>
        <v>8</v>
      </c>
      <c r="D68" s="331">
        <v>5.0999999999999996</v>
      </c>
      <c r="E68" s="331">
        <v>5.45</v>
      </c>
      <c r="F68" s="41">
        <f>(D68+E68)/2</f>
        <v>5.2750000000000004</v>
      </c>
      <c r="G68" s="55">
        <f>C68*F68/12</f>
        <v>3.5166666666666671</v>
      </c>
      <c r="H68" s="715" t="s">
        <v>245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J68"/>
      <c r="AMK68"/>
    </row>
    <row r="69" spans="1:1025" ht="20.25" customHeight="1" x14ac:dyDescent="0.2">
      <c r="A69" s="918" t="s">
        <v>249</v>
      </c>
      <c r="B69" s="919"/>
      <c r="C69" s="919"/>
      <c r="D69" s="919"/>
      <c r="E69" s="919"/>
      <c r="F69" s="931"/>
      <c r="G69" s="714">
        <f>G63+G64+G65+G66+G68</f>
        <v>247.1166666666667</v>
      </c>
      <c r="H69" s="713"/>
      <c r="I69"/>
      <c r="J69" s="877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J69"/>
      <c r="AMK69"/>
    </row>
    <row r="70" spans="1:1025" x14ac:dyDescent="0.2">
      <c r="A70" s="56"/>
      <c r="B70" s="57"/>
      <c r="C70" s="57"/>
      <c r="D70" s="57"/>
      <c r="E70" s="57"/>
      <c r="F70" s="57"/>
      <c r="G70" s="57"/>
      <c r="H70" s="57"/>
      <c r="I70" s="57"/>
      <c r="J70" s="878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5" x14ac:dyDescent="0.2">
      <c r="A71" s="57" t="s">
        <v>250</v>
      </c>
      <c r="B71" s="57"/>
      <c r="C71" s="57"/>
      <c r="D71" s="57"/>
      <c r="E71" s="64"/>
      <c r="F71" s="57"/>
      <c r="G71" s="57"/>
      <c r="H71" s="58"/>
      <c r="I71" s="58"/>
      <c r="J71" s="878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5" x14ac:dyDescent="0.2">
      <c r="A72" s="57"/>
      <c r="B72" s="57"/>
      <c r="C72" s="57"/>
      <c r="D72" s="57"/>
      <c r="E72" s="64"/>
      <c r="F72" s="57"/>
      <c r="G72" s="64"/>
      <c r="H72" s="58"/>
      <c r="I72" s="58"/>
      <c r="J72" s="878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5" x14ac:dyDescent="0.2">
      <c r="A73" s="57" t="s">
        <v>251</v>
      </c>
      <c r="B73" s="57"/>
      <c r="C73" s="57"/>
      <c r="D73" s="57"/>
      <c r="E73" s="57"/>
      <c r="F73" s="57"/>
      <c r="G73" s="57"/>
      <c r="H73" s="57"/>
      <c r="I73" s="57"/>
      <c r="J73" s="878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5" x14ac:dyDescent="0.2">
      <c r="A74" s="57" t="s">
        <v>252</v>
      </c>
      <c r="B74" s="57"/>
      <c r="C74" s="57"/>
      <c r="D74" s="57"/>
      <c r="E74" s="57"/>
      <c r="F74" s="57"/>
      <c r="G74" s="57"/>
      <c r="H74" s="64"/>
      <c r="I74" s="64"/>
      <c r="J74" s="878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5" x14ac:dyDescent="0.2">
      <c r="A75" s="57" t="s">
        <v>253</v>
      </c>
      <c r="B75" s="57"/>
      <c r="C75" s="57"/>
      <c r="D75" s="57"/>
      <c r="E75" s="57"/>
      <c r="F75" s="57"/>
      <c r="G75" s="57"/>
      <c r="H75" s="65"/>
      <c r="I75" s="65"/>
      <c r="J75" s="878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5" x14ac:dyDescent="0.2">
      <c r="A76" s="57" t="s">
        <v>254</v>
      </c>
      <c r="B76" s="57"/>
      <c r="C76" s="57"/>
      <c r="D76" s="57"/>
      <c r="E76" s="57"/>
      <c r="F76" s="57"/>
      <c r="G76" s="57"/>
      <c r="H76" s="64"/>
      <c r="I76" s="64"/>
      <c r="J76" s="878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5" x14ac:dyDescent="0.2">
      <c r="A77" s="57" t="s">
        <v>255</v>
      </c>
      <c r="B77" s="57"/>
      <c r="C77" s="57"/>
      <c r="D77" s="57"/>
      <c r="E77" s="57"/>
      <c r="F77" s="57"/>
      <c r="G77" s="57"/>
      <c r="H77" s="57"/>
      <c r="I77" s="57"/>
      <c r="J77" s="878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5" x14ac:dyDescent="0.2">
      <c r="A78" s="57" t="s">
        <v>256</v>
      </c>
      <c r="B78" s="57"/>
      <c r="C78" s="57"/>
      <c r="D78" s="57"/>
      <c r="E78" s="57"/>
      <c r="F78" s="57"/>
      <c r="G78" s="57"/>
      <c r="H78" s="57"/>
      <c r="I78" s="57"/>
      <c r="J78" s="8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5" x14ac:dyDescent="0.2">
      <c r="A79" s="57" t="s">
        <v>257</v>
      </c>
      <c r="B79" s="57"/>
      <c r="C79" s="57"/>
      <c r="D79" s="57"/>
      <c r="E79" s="57"/>
      <c r="F79" s="57"/>
      <c r="G79" s="57"/>
      <c r="H79" s="57"/>
      <c r="I79" s="57"/>
      <c r="J79" s="878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5" x14ac:dyDescent="0.2">
      <c r="A80" s="57" t="s">
        <v>258</v>
      </c>
      <c r="B80" s="57"/>
      <c r="C80" s="57"/>
      <c r="D80" s="57"/>
      <c r="E80" s="57"/>
      <c r="F80" s="57"/>
      <c r="G80" s="57"/>
      <c r="H80" s="57"/>
      <c r="I80" s="57"/>
      <c r="J80" s="878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6" x14ac:dyDescent="0.2">
      <c r="A81" s="57" t="s">
        <v>259</v>
      </c>
      <c r="B81" s="57"/>
      <c r="C81" s="57"/>
      <c r="D81" s="57"/>
      <c r="E81" s="57"/>
      <c r="F81" s="57"/>
      <c r="G81" s="57"/>
      <c r="H81" s="57"/>
      <c r="I81" s="57"/>
      <c r="J81" s="878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6" x14ac:dyDescent="0.2">
      <c r="A82" s="57" t="s">
        <v>260</v>
      </c>
      <c r="B82" s="57"/>
      <c r="C82" s="57"/>
      <c r="D82" s="57"/>
      <c r="E82" s="57"/>
      <c r="F82" s="57"/>
      <c r="G82" s="57"/>
      <c r="H82" s="57"/>
      <c r="I82" s="57"/>
      <c r="J82" s="878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6" x14ac:dyDescent="0.2">
      <c r="A83" s="56"/>
      <c r="B83" s="57"/>
      <c r="C83" s="57"/>
      <c r="D83" s="57"/>
      <c r="E83" s="57"/>
      <c r="F83" s="57"/>
      <c r="G83" s="57"/>
      <c r="H83" s="57"/>
      <c r="I83" s="57"/>
      <c r="J83" s="878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6" ht="15" thickBot="1" x14ac:dyDescent="0.25">
      <c r="A84" s="56"/>
      <c r="B84" s="57"/>
      <c r="C84" s="57"/>
      <c r="D84" s="57"/>
      <c r="E84" s="57"/>
      <c r="F84" s="57"/>
      <c r="G84" s="57"/>
      <c r="H84" s="57"/>
      <c r="I84" s="57"/>
      <c r="J84" s="878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6" ht="20.25" customHeight="1" thickBot="1" x14ac:dyDescent="0.25">
      <c r="A85" s="923" t="s">
        <v>261</v>
      </c>
      <c r="B85" s="924"/>
      <c r="C85" s="924"/>
      <c r="D85" s="924"/>
      <c r="E85" s="924"/>
      <c r="F85" s="924"/>
      <c r="G85" s="924"/>
      <c r="H85" s="924"/>
      <c r="I85" s="924"/>
      <c r="J85" s="924"/>
      <c r="K85" s="92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6" s="69" customFormat="1" ht="36.75" thickBot="1" x14ac:dyDescent="0.25">
      <c r="A86" s="456" t="s">
        <v>132</v>
      </c>
      <c r="B86" s="66" t="s">
        <v>133</v>
      </c>
      <c r="C86" s="66" t="s">
        <v>262</v>
      </c>
      <c r="D86" s="66" t="s">
        <v>263</v>
      </c>
      <c r="E86" s="66" t="s">
        <v>264</v>
      </c>
      <c r="F86" s="66" t="s">
        <v>239</v>
      </c>
      <c r="G86" s="67" t="s">
        <v>136</v>
      </c>
      <c r="H86" s="67" t="s">
        <v>137</v>
      </c>
      <c r="I86" s="68" t="s">
        <v>265</v>
      </c>
      <c r="J86" s="68" t="s">
        <v>266</v>
      </c>
      <c r="K86" s="457" t="s">
        <v>267</v>
      </c>
    </row>
    <row r="87" spans="1:1026" ht="15" customHeight="1" x14ac:dyDescent="0.2">
      <c r="A87" s="328" t="s">
        <v>268</v>
      </c>
      <c r="B87" s="40" t="s">
        <v>166</v>
      </c>
      <c r="C87" s="40">
        <v>18</v>
      </c>
      <c r="D87" s="437">
        <v>12</v>
      </c>
      <c r="E87" s="438">
        <v>10</v>
      </c>
      <c r="F87" s="331">
        <v>397.54</v>
      </c>
      <c r="G87" s="338">
        <v>249.3</v>
      </c>
      <c r="H87" s="41">
        <f t="shared" ref="H87:H96" si="4">(F87+G87)/2</f>
        <v>323.42</v>
      </c>
      <c r="I87" s="42">
        <f>(C87*$H$87)</f>
        <v>5821.56</v>
      </c>
      <c r="J87" s="42">
        <f>(D87*H87)</f>
        <v>3881.04</v>
      </c>
      <c r="K87" s="42">
        <f>(E87*H87)</f>
        <v>3234.2000000000003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 s="30"/>
    </row>
    <row r="88" spans="1:1026" ht="15" customHeight="1" x14ac:dyDescent="0.2">
      <c r="A88" s="328" t="s">
        <v>269</v>
      </c>
      <c r="B88" s="46" t="s">
        <v>166</v>
      </c>
      <c r="C88" s="40">
        <f>C87</f>
        <v>18</v>
      </c>
      <c r="D88" s="437">
        <v>12</v>
      </c>
      <c r="E88" s="438">
        <v>10</v>
      </c>
      <c r="F88" s="331">
        <v>89.63</v>
      </c>
      <c r="G88" s="338">
        <v>94.72</v>
      </c>
      <c r="H88" s="41">
        <f t="shared" si="4"/>
        <v>92.174999999999997</v>
      </c>
      <c r="I88" s="42">
        <f t="shared" ref="I88:I96" si="5">(C88*H88)</f>
        <v>1659.1499999999999</v>
      </c>
      <c r="J88" s="42">
        <f t="shared" ref="J88:J96" si="6">(D88*H88)</f>
        <v>1106.0999999999999</v>
      </c>
      <c r="K88" s="42">
        <f t="shared" ref="K88:K96" si="7">(E88*H88)</f>
        <v>921.75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 s="30"/>
    </row>
    <row r="89" spans="1:1026" ht="15" customHeight="1" x14ac:dyDescent="0.2">
      <c r="A89" s="328" t="s">
        <v>270</v>
      </c>
      <c r="B89" s="46" t="s">
        <v>166</v>
      </c>
      <c r="C89" s="40">
        <f t="shared" ref="C89:C94" si="8">C88</f>
        <v>18</v>
      </c>
      <c r="D89" s="437">
        <v>12</v>
      </c>
      <c r="E89" s="438">
        <v>10</v>
      </c>
      <c r="F89" s="331">
        <v>762.14</v>
      </c>
      <c r="G89" s="338">
        <v>710.18</v>
      </c>
      <c r="H89" s="41">
        <f t="shared" si="4"/>
        <v>736.16</v>
      </c>
      <c r="I89" s="42">
        <f t="shared" si="5"/>
        <v>13250.88</v>
      </c>
      <c r="J89" s="42">
        <f t="shared" si="6"/>
        <v>8833.92</v>
      </c>
      <c r="K89" s="42">
        <f t="shared" si="7"/>
        <v>7361.5999999999995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 s="30"/>
    </row>
    <row r="90" spans="1:1026" ht="15" customHeight="1" x14ac:dyDescent="0.2">
      <c r="A90" s="328" t="s">
        <v>271</v>
      </c>
      <c r="B90" s="46" t="s">
        <v>166</v>
      </c>
      <c r="C90" s="40">
        <f t="shared" si="8"/>
        <v>18</v>
      </c>
      <c r="D90" s="437">
        <v>12</v>
      </c>
      <c r="E90" s="438">
        <v>10</v>
      </c>
      <c r="F90" s="331">
        <v>1854.64</v>
      </c>
      <c r="G90" s="338">
        <v>1694.57</v>
      </c>
      <c r="H90" s="41">
        <f t="shared" si="4"/>
        <v>1774.605</v>
      </c>
      <c r="I90" s="42">
        <f t="shared" si="5"/>
        <v>31942.89</v>
      </c>
      <c r="J90" s="42">
        <f t="shared" si="6"/>
        <v>21295.260000000002</v>
      </c>
      <c r="K90" s="42">
        <f t="shared" si="7"/>
        <v>17746.05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 s="30"/>
    </row>
    <row r="91" spans="1:1026" ht="15" customHeight="1" x14ac:dyDescent="0.2">
      <c r="A91" s="328" t="s">
        <v>272</v>
      </c>
      <c r="B91" s="46" t="s">
        <v>166</v>
      </c>
      <c r="C91" s="40">
        <f t="shared" si="8"/>
        <v>18</v>
      </c>
      <c r="D91" s="437">
        <v>12</v>
      </c>
      <c r="E91" s="438">
        <v>10</v>
      </c>
      <c r="F91" s="331">
        <v>198.83</v>
      </c>
      <c r="G91" s="338">
        <v>181.11</v>
      </c>
      <c r="H91" s="41">
        <f t="shared" si="4"/>
        <v>189.97000000000003</v>
      </c>
      <c r="I91" s="42">
        <f t="shared" si="5"/>
        <v>3419.4600000000005</v>
      </c>
      <c r="J91" s="42">
        <f t="shared" si="6"/>
        <v>2279.6400000000003</v>
      </c>
      <c r="K91" s="42">
        <f t="shared" si="7"/>
        <v>1899.7000000000003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 s="30"/>
    </row>
    <row r="92" spans="1:1026" ht="15" customHeight="1" x14ac:dyDescent="0.2">
      <c r="A92" s="328" t="s">
        <v>273</v>
      </c>
      <c r="B92" s="46" t="s">
        <v>166</v>
      </c>
      <c r="C92" s="40">
        <f t="shared" si="8"/>
        <v>18</v>
      </c>
      <c r="D92" s="437">
        <v>12</v>
      </c>
      <c r="E92" s="438">
        <v>10</v>
      </c>
      <c r="F92" s="331">
        <v>79.3</v>
      </c>
      <c r="G92" s="338">
        <v>91.34</v>
      </c>
      <c r="H92" s="41">
        <f t="shared" si="4"/>
        <v>85.32</v>
      </c>
      <c r="I92" s="42">
        <f t="shared" si="5"/>
        <v>1535.7599999999998</v>
      </c>
      <c r="J92" s="42">
        <f t="shared" si="6"/>
        <v>1023.8399999999999</v>
      </c>
      <c r="K92" s="42">
        <f t="shared" si="7"/>
        <v>853.19999999999993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 s="30"/>
    </row>
    <row r="93" spans="1:1026" ht="15" customHeight="1" x14ac:dyDescent="0.2">
      <c r="A93" s="328" t="s">
        <v>274</v>
      </c>
      <c r="B93" s="46" t="s">
        <v>166</v>
      </c>
      <c r="C93" s="40">
        <f t="shared" si="8"/>
        <v>18</v>
      </c>
      <c r="D93" s="437">
        <v>12</v>
      </c>
      <c r="E93" s="438">
        <v>10</v>
      </c>
      <c r="F93" s="331">
        <v>751.56</v>
      </c>
      <c r="G93" s="338">
        <v>452.92</v>
      </c>
      <c r="H93" s="41">
        <f t="shared" si="4"/>
        <v>602.24</v>
      </c>
      <c r="I93" s="42">
        <f t="shared" si="5"/>
        <v>10840.32</v>
      </c>
      <c r="J93" s="42">
        <f t="shared" si="6"/>
        <v>7226.88</v>
      </c>
      <c r="K93" s="42">
        <f t="shared" si="7"/>
        <v>6022.4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 s="30"/>
    </row>
    <row r="94" spans="1:1026" ht="15" customHeight="1" x14ac:dyDescent="0.2">
      <c r="A94" s="328" t="s">
        <v>275</v>
      </c>
      <c r="B94" s="46" t="s">
        <v>166</v>
      </c>
      <c r="C94" s="40">
        <f t="shared" si="8"/>
        <v>18</v>
      </c>
      <c r="D94" s="437">
        <v>12</v>
      </c>
      <c r="E94" s="438">
        <v>10</v>
      </c>
      <c r="F94" s="331">
        <v>71.430000000000007</v>
      </c>
      <c r="G94" s="338">
        <v>69.900000000000006</v>
      </c>
      <c r="H94" s="41">
        <f t="shared" si="4"/>
        <v>70.665000000000006</v>
      </c>
      <c r="I94" s="42">
        <f t="shared" si="5"/>
        <v>1271.97</v>
      </c>
      <c r="J94" s="42">
        <f t="shared" si="6"/>
        <v>847.98</v>
      </c>
      <c r="K94" s="42">
        <f t="shared" si="7"/>
        <v>706.65000000000009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 s="30"/>
    </row>
    <row r="95" spans="1:1026" ht="15" customHeight="1" x14ac:dyDescent="0.2">
      <c r="A95" s="328" t="s">
        <v>276</v>
      </c>
      <c r="B95" s="46" t="s">
        <v>166</v>
      </c>
      <c r="C95" s="40">
        <f>C94*2</f>
        <v>36</v>
      </c>
      <c r="D95" s="439">
        <f>D94*2</f>
        <v>24</v>
      </c>
      <c r="E95" s="440">
        <f>E94*2</f>
        <v>20</v>
      </c>
      <c r="F95" s="331">
        <v>39.53</v>
      </c>
      <c r="G95" s="338">
        <v>40.409999999999997</v>
      </c>
      <c r="H95" s="41">
        <f t="shared" si="4"/>
        <v>39.97</v>
      </c>
      <c r="I95" s="42">
        <f>(C95*H95)</f>
        <v>1438.92</v>
      </c>
      <c r="J95" s="42">
        <f t="shared" si="6"/>
        <v>959.28</v>
      </c>
      <c r="K95" s="42">
        <f t="shared" si="7"/>
        <v>799.4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 s="30"/>
    </row>
    <row r="96" spans="1:1026" ht="15" customHeight="1" x14ac:dyDescent="0.2">
      <c r="A96" s="534" t="s">
        <v>277</v>
      </c>
      <c r="B96" s="46" t="s">
        <v>166</v>
      </c>
      <c r="C96" s="40">
        <v>10</v>
      </c>
      <c r="D96" s="439">
        <v>7</v>
      </c>
      <c r="E96" s="440">
        <v>7</v>
      </c>
      <c r="F96" s="339">
        <v>23.07</v>
      </c>
      <c r="G96" s="535">
        <v>25.51</v>
      </c>
      <c r="H96" s="41">
        <f t="shared" si="4"/>
        <v>24.29</v>
      </c>
      <c r="I96" s="42">
        <f t="shared" si="5"/>
        <v>242.89999999999998</v>
      </c>
      <c r="J96" s="42">
        <f t="shared" si="6"/>
        <v>170.03</v>
      </c>
      <c r="K96" s="42">
        <f t="shared" si="7"/>
        <v>170.03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 s="30"/>
    </row>
    <row r="97" spans="1:1025" ht="20.25" customHeight="1" x14ac:dyDescent="0.2">
      <c r="A97" s="926" t="s">
        <v>278</v>
      </c>
      <c r="B97" s="927"/>
      <c r="C97" s="927"/>
      <c r="D97" s="927"/>
      <c r="E97" s="927"/>
      <c r="F97" s="927"/>
      <c r="G97" s="928"/>
      <c r="H97" s="441"/>
      <c r="I97" s="441">
        <f>SUM(I87:I96)</f>
        <v>71423.809999999983</v>
      </c>
      <c r="J97" s="441">
        <f>SUM(J87:J96)</f>
        <v>47623.969999999994</v>
      </c>
      <c r="K97" s="441">
        <f>SUM(K87:K96)</f>
        <v>39714.980000000003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5" ht="20.25" customHeight="1" x14ac:dyDescent="0.2">
      <c r="A98" s="929" t="s">
        <v>279</v>
      </c>
      <c r="B98" s="930"/>
      <c r="C98" s="930"/>
      <c r="D98" s="930"/>
      <c r="E98" s="930"/>
      <c r="F98" s="70">
        <v>0.1</v>
      </c>
      <c r="G98" s="71"/>
      <c r="H98" s="442"/>
      <c r="I98" s="442">
        <f>I97/120</f>
        <v>595.1984166666665</v>
      </c>
      <c r="J98" s="442">
        <f>J97/120</f>
        <v>396.86641666666662</v>
      </c>
      <c r="K98" s="442">
        <f>K97/120</f>
        <v>330.95816666666667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5" ht="20.25" customHeight="1" x14ac:dyDescent="0.2">
      <c r="A99" s="932" t="s">
        <v>280</v>
      </c>
      <c r="B99" s="933"/>
      <c r="C99" s="933"/>
      <c r="D99" s="933"/>
      <c r="E99" s="933"/>
      <c r="F99" s="933"/>
      <c r="G99" s="933"/>
      <c r="H99" s="458"/>
      <c r="I99" s="458">
        <f>I98/'Prod. GEXFLO'!O23</f>
        <v>21.257086309523803</v>
      </c>
      <c r="J99" s="458">
        <f>J98/'Prod. GEXBLU'!O17</f>
        <v>22.048134259259257</v>
      </c>
      <c r="K99" s="458">
        <f>K98/'Prod. GEXJVL'!O15</f>
        <v>20.684885416666667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5" x14ac:dyDescent="0.2">
      <c r="A100" s="56"/>
      <c r="B100" s="57"/>
      <c r="C100" s="57"/>
      <c r="D100" s="57"/>
      <c r="E100" s="57"/>
      <c r="F100" s="57"/>
      <c r="G100" s="64"/>
      <c r="H100" s="57"/>
      <c r="I100" s="57"/>
      <c r="J100" s="57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5" x14ac:dyDescent="0.2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5" x14ac:dyDescent="0.2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5" ht="20.25" customHeight="1" x14ac:dyDescent="0.2">
      <c r="A103" s="937" t="s">
        <v>281</v>
      </c>
      <c r="B103" s="938"/>
      <c r="C103" s="938"/>
      <c r="D103" s="938"/>
      <c r="E103" s="938"/>
      <c r="F103" s="938"/>
      <c r="G103" s="939"/>
      <c r="H103" s="57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J103"/>
      <c r="AMK103"/>
    </row>
    <row r="104" spans="1:1025" s="69" customFormat="1" ht="47.25" customHeight="1" x14ac:dyDescent="0.2">
      <c r="A104" s="446" t="s">
        <v>132</v>
      </c>
      <c r="B104" s="72" t="s">
        <v>133</v>
      </c>
      <c r="C104" s="72" t="s">
        <v>282</v>
      </c>
      <c r="D104" s="72" t="s">
        <v>283</v>
      </c>
      <c r="E104" s="73" t="s">
        <v>284</v>
      </c>
      <c r="F104" s="73" t="s">
        <v>285</v>
      </c>
      <c r="G104" s="447" t="s">
        <v>286</v>
      </c>
      <c r="H104" s="443"/>
    </row>
    <row r="105" spans="1:1025" ht="20.25" customHeight="1" x14ac:dyDescent="0.2">
      <c r="A105" s="940" t="s">
        <v>287</v>
      </c>
      <c r="B105" s="941"/>
      <c r="C105" s="941"/>
      <c r="D105" s="941"/>
      <c r="E105" s="941"/>
      <c r="F105" s="942"/>
      <c r="G105" s="448">
        <f>SUM(G106:G111)</f>
        <v>27.875416666666666</v>
      </c>
      <c r="H105" s="57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J105"/>
      <c r="AMK105"/>
    </row>
    <row r="106" spans="1:1025" ht="15" customHeight="1" x14ac:dyDescent="0.2">
      <c r="A106" s="449" t="s">
        <v>288</v>
      </c>
      <c r="B106" s="40" t="s">
        <v>166</v>
      </c>
      <c r="C106" s="40">
        <v>2</v>
      </c>
      <c r="D106" s="339">
        <v>17.809999999999999</v>
      </c>
      <c r="E106" s="341">
        <v>24.93</v>
      </c>
      <c r="F106" s="41">
        <f t="shared" ref="F106:F111" si="9">(D106+E106)/2</f>
        <v>21.369999999999997</v>
      </c>
      <c r="G106" s="450">
        <f t="shared" ref="G106:G111" si="10">C106*F106/12</f>
        <v>3.5616666666666661</v>
      </c>
      <c r="H106" s="57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J106"/>
      <c r="AMK106"/>
    </row>
    <row r="107" spans="1:1025" ht="15" customHeight="1" x14ac:dyDescent="0.2">
      <c r="A107" s="451" t="s">
        <v>289</v>
      </c>
      <c r="B107" s="46" t="s">
        <v>166</v>
      </c>
      <c r="C107" s="46">
        <v>1</v>
      </c>
      <c r="D107" s="339">
        <v>38.08</v>
      </c>
      <c r="E107" s="341">
        <v>40.880000000000003</v>
      </c>
      <c r="F107" s="41">
        <f t="shared" si="9"/>
        <v>39.480000000000004</v>
      </c>
      <c r="G107" s="450">
        <f t="shared" si="10"/>
        <v>3.2900000000000005</v>
      </c>
      <c r="H107" s="5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J107"/>
      <c r="AMK107"/>
    </row>
    <row r="108" spans="1:1025" ht="15" customHeight="1" x14ac:dyDescent="0.2">
      <c r="A108" s="451" t="s">
        <v>290</v>
      </c>
      <c r="B108" s="46" t="s">
        <v>166</v>
      </c>
      <c r="C108" s="46">
        <v>2</v>
      </c>
      <c r="D108" s="339">
        <v>48.63</v>
      </c>
      <c r="E108" s="341">
        <v>58.87</v>
      </c>
      <c r="F108" s="41">
        <f t="shared" si="9"/>
        <v>53.75</v>
      </c>
      <c r="G108" s="450">
        <f t="shared" si="10"/>
        <v>8.9583333333333339</v>
      </c>
      <c r="H108" s="64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J108"/>
      <c r="AMK108"/>
    </row>
    <row r="109" spans="1:1025" ht="15" customHeight="1" x14ac:dyDescent="0.2">
      <c r="A109" s="451" t="s">
        <v>291</v>
      </c>
      <c r="B109" s="46" t="s">
        <v>166</v>
      </c>
      <c r="C109" s="46">
        <v>2</v>
      </c>
      <c r="D109" s="339">
        <v>19.149999999999999</v>
      </c>
      <c r="E109" s="341">
        <v>28.23</v>
      </c>
      <c r="F109" s="41">
        <f t="shared" si="9"/>
        <v>23.689999999999998</v>
      </c>
      <c r="G109" s="450">
        <f t="shared" si="10"/>
        <v>3.9483333333333328</v>
      </c>
      <c r="H109" s="57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J109"/>
      <c r="AMK109"/>
    </row>
    <row r="110" spans="1:1025" ht="15" customHeight="1" x14ac:dyDescent="0.2">
      <c r="A110" s="452" t="s">
        <v>292</v>
      </c>
      <c r="B110" s="49" t="s">
        <v>166</v>
      </c>
      <c r="C110" s="49">
        <v>1</v>
      </c>
      <c r="D110" s="340">
        <v>9.18</v>
      </c>
      <c r="E110" s="342">
        <v>9.3699999999999992</v>
      </c>
      <c r="F110" s="41">
        <f t="shared" si="9"/>
        <v>9.2749999999999986</v>
      </c>
      <c r="G110" s="450">
        <f t="shared" si="10"/>
        <v>0.77291666666666659</v>
      </c>
      <c r="H110" s="57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J110"/>
      <c r="AMK110"/>
    </row>
    <row r="111" spans="1:1025" ht="15" customHeight="1" x14ac:dyDescent="0.2">
      <c r="A111" s="453" t="s">
        <v>293</v>
      </c>
      <c r="B111" s="74" t="s">
        <v>186</v>
      </c>
      <c r="C111" s="74">
        <v>2</v>
      </c>
      <c r="D111" s="772">
        <v>47.88</v>
      </c>
      <c r="E111" s="343">
        <v>40.25</v>
      </c>
      <c r="F111" s="75">
        <f t="shared" si="9"/>
        <v>44.064999999999998</v>
      </c>
      <c r="G111" s="450">
        <f t="shared" si="10"/>
        <v>7.3441666666666663</v>
      </c>
      <c r="H111" s="57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J111"/>
      <c r="AMK111"/>
    </row>
    <row r="112" spans="1:1025" ht="20.25" customHeight="1" x14ac:dyDescent="0.2">
      <c r="A112" s="943" t="s">
        <v>294</v>
      </c>
      <c r="B112" s="944"/>
      <c r="C112" s="944"/>
      <c r="D112" s="944"/>
      <c r="E112" s="944"/>
      <c r="F112" s="945"/>
      <c r="G112" s="448">
        <f>SUM(G113:G116)</f>
        <v>34.030416666666667</v>
      </c>
      <c r="H112" s="57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J112"/>
      <c r="AMK112"/>
    </row>
    <row r="113" spans="1:1025" ht="15" customHeight="1" x14ac:dyDescent="0.2">
      <c r="A113" s="328" t="s">
        <v>295</v>
      </c>
      <c r="B113" s="40" t="s">
        <v>166</v>
      </c>
      <c r="C113" s="40">
        <v>2</v>
      </c>
      <c r="D113" s="339">
        <v>52.12</v>
      </c>
      <c r="E113" s="341">
        <v>57.27</v>
      </c>
      <c r="F113" s="41">
        <f>(D113+E113)/2</f>
        <v>54.695</v>
      </c>
      <c r="G113" s="450">
        <f>(C113*F113)/12</f>
        <v>9.1158333333333328</v>
      </c>
      <c r="H113" s="57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J113"/>
      <c r="AMK113"/>
    </row>
    <row r="114" spans="1:1025" ht="15" customHeight="1" x14ac:dyDescent="0.2">
      <c r="A114" s="328" t="s">
        <v>296</v>
      </c>
      <c r="B114" s="46" t="s">
        <v>166</v>
      </c>
      <c r="C114" s="46">
        <v>2</v>
      </c>
      <c r="D114" s="339">
        <v>58.38</v>
      </c>
      <c r="E114" s="341">
        <v>63.97</v>
      </c>
      <c r="F114" s="41">
        <f>(D114+E114)/2</f>
        <v>61.174999999999997</v>
      </c>
      <c r="G114" s="450">
        <f>(C114*F114)/12</f>
        <v>10.195833333333333</v>
      </c>
      <c r="H114" s="57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J114"/>
      <c r="AMK114"/>
    </row>
    <row r="115" spans="1:1025" ht="15" customHeight="1" x14ac:dyDescent="0.2">
      <c r="A115" s="328" t="s">
        <v>297</v>
      </c>
      <c r="B115" s="46" t="s">
        <v>166</v>
      </c>
      <c r="C115" s="46">
        <v>1</v>
      </c>
      <c r="D115" s="339">
        <v>9.18</v>
      </c>
      <c r="E115" s="341">
        <v>9.3699999999999992</v>
      </c>
      <c r="F115" s="41">
        <f>(D115+E115)/2</f>
        <v>9.2749999999999986</v>
      </c>
      <c r="G115" s="450">
        <f>(C115*F115)/12</f>
        <v>0.77291666666666659</v>
      </c>
      <c r="H115" s="57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J115"/>
      <c r="AMK115"/>
    </row>
    <row r="116" spans="1:1025" ht="15" customHeight="1" x14ac:dyDescent="0.2">
      <c r="A116" s="336" t="s">
        <v>298</v>
      </c>
      <c r="B116" s="49" t="s">
        <v>186</v>
      </c>
      <c r="C116" s="49">
        <v>2</v>
      </c>
      <c r="D116" s="340">
        <v>82.38</v>
      </c>
      <c r="E116" s="342">
        <v>84.97</v>
      </c>
      <c r="F116" s="41">
        <f>(D116+E116)/2</f>
        <v>83.674999999999997</v>
      </c>
      <c r="G116" s="450">
        <f>(C116*F116)/12</f>
        <v>13.945833333333333</v>
      </c>
      <c r="H116" s="57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J116"/>
      <c r="AMK116"/>
    </row>
    <row r="117" spans="1:1025" ht="20.25" customHeight="1" x14ac:dyDescent="0.2">
      <c r="A117" s="946" t="s">
        <v>299</v>
      </c>
      <c r="B117" s="947"/>
      <c r="C117" s="947"/>
      <c r="D117" s="947"/>
      <c r="E117" s="947"/>
      <c r="F117" s="948"/>
      <c r="G117" s="454">
        <f>G105</f>
        <v>27.875416666666666</v>
      </c>
      <c r="H117" s="5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J117"/>
      <c r="AMK117"/>
    </row>
    <row r="118" spans="1:1025" ht="20.25" customHeight="1" x14ac:dyDescent="0.2">
      <c r="A118" s="949" t="s">
        <v>300</v>
      </c>
      <c r="B118" s="950"/>
      <c r="C118" s="950"/>
      <c r="D118" s="950"/>
      <c r="E118" s="950"/>
      <c r="F118" s="951"/>
      <c r="G118" s="455">
        <f>G112</f>
        <v>34.030416666666667</v>
      </c>
      <c r="H118" s="57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J118"/>
      <c r="AMK118"/>
    </row>
    <row r="119" spans="1:1025" x14ac:dyDescent="0.2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5" ht="20.25" customHeight="1" x14ac:dyDescent="0.2">
      <c r="A120" s="934" t="s">
        <v>301</v>
      </c>
      <c r="B120" s="935"/>
      <c r="C120" s="935"/>
      <c r="D120" s="935"/>
      <c r="E120" s="935"/>
      <c r="F120" s="935"/>
      <c r="G120" s="935"/>
      <c r="H120" s="935"/>
      <c r="I120" s="936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J120"/>
      <c r="AMK120"/>
    </row>
    <row r="121" spans="1:1025" s="69" customFormat="1" ht="59.25" customHeight="1" x14ac:dyDescent="0.2">
      <c r="A121" s="444" t="s">
        <v>132</v>
      </c>
      <c r="B121" s="76" t="s">
        <v>133</v>
      </c>
      <c r="C121" s="76" t="s">
        <v>302</v>
      </c>
      <c r="D121" s="76" t="s">
        <v>303</v>
      </c>
      <c r="E121" s="76" t="s">
        <v>239</v>
      </c>
      <c r="F121" s="77" t="s">
        <v>304</v>
      </c>
      <c r="G121" s="77" t="s">
        <v>285</v>
      </c>
      <c r="H121" s="78" t="s">
        <v>305</v>
      </c>
      <c r="I121" s="445" t="s">
        <v>306</v>
      </c>
    </row>
    <row r="122" spans="1:1025" ht="20.25" customHeight="1" x14ac:dyDescent="0.2">
      <c r="A122" s="906" t="s">
        <v>307</v>
      </c>
      <c r="B122" s="907"/>
      <c r="C122" s="907"/>
      <c r="D122" s="907"/>
      <c r="E122" s="907"/>
      <c r="F122" s="907"/>
      <c r="G122" s="908"/>
      <c r="H122" s="434">
        <f>SUM(H123:H127)</f>
        <v>122.52333333333333</v>
      </c>
      <c r="I122" s="434">
        <f>SUM(I123:I127)</f>
        <v>142.21333333333334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I122"/>
      <c r="AMJ122"/>
      <c r="AMK122"/>
    </row>
    <row r="123" spans="1:1025" ht="15" customHeight="1" x14ac:dyDescent="0.2">
      <c r="A123" s="328" t="s">
        <v>308</v>
      </c>
      <c r="B123" s="260" t="s">
        <v>166</v>
      </c>
      <c r="C123" s="261">
        <f>22</f>
        <v>22</v>
      </c>
      <c r="D123" s="261">
        <f>22</f>
        <v>22</v>
      </c>
      <c r="E123" s="339">
        <v>2.83</v>
      </c>
      <c r="F123" s="331">
        <v>4.34</v>
      </c>
      <c r="G123" s="41">
        <f>(E123+F123)/2</f>
        <v>3.585</v>
      </c>
      <c r="H123" s="86">
        <f>C123*G123</f>
        <v>78.87</v>
      </c>
      <c r="I123" s="86">
        <f>D123*G123</f>
        <v>78.87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H123"/>
      <c r="AMI123"/>
      <c r="AMJ123"/>
      <c r="AMK123"/>
    </row>
    <row r="124" spans="1:1025" ht="15" customHeight="1" x14ac:dyDescent="0.2">
      <c r="A124" s="328" t="s">
        <v>309</v>
      </c>
      <c r="B124" s="91" t="s">
        <v>166</v>
      </c>
      <c r="C124" s="257">
        <f>1/6</f>
        <v>0.16666666666666666</v>
      </c>
      <c r="D124" s="435">
        <f>1/6</f>
        <v>0.16666666666666666</v>
      </c>
      <c r="E124" s="339">
        <v>9.4499999999999993</v>
      </c>
      <c r="F124" s="331">
        <v>7.51</v>
      </c>
      <c r="G124" s="81">
        <f>(E124+F124)/2</f>
        <v>8.48</v>
      </c>
      <c r="H124" s="82">
        <f>C124*G124</f>
        <v>1.4133333333333333</v>
      </c>
      <c r="I124" s="79">
        <f t="shared" ref="I124:I127" si="11">D124*G124</f>
        <v>1.4133333333333333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H124"/>
      <c r="AMI124"/>
      <c r="AMJ124"/>
      <c r="AMK124"/>
    </row>
    <row r="125" spans="1:1025" ht="15" customHeight="1" x14ac:dyDescent="0.2">
      <c r="A125" s="328" t="s">
        <v>310</v>
      </c>
      <c r="B125" s="91" t="s">
        <v>186</v>
      </c>
      <c r="C125" s="256">
        <f>2*22</f>
        <v>44</v>
      </c>
      <c r="D125" s="261">
        <f>3*22</f>
        <v>66</v>
      </c>
      <c r="E125" s="339">
        <v>0.61</v>
      </c>
      <c r="F125" s="331">
        <v>0.54</v>
      </c>
      <c r="G125" s="81">
        <f>(E125+F125)/2</f>
        <v>0.57499999999999996</v>
      </c>
      <c r="H125" s="82">
        <f>C125*G125</f>
        <v>25.299999999999997</v>
      </c>
      <c r="I125" s="79">
        <f t="shared" si="11"/>
        <v>37.949999999999996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H125"/>
      <c r="AMI125"/>
      <c r="AMJ125"/>
      <c r="AMK125"/>
    </row>
    <row r="126" spans="1:1025" ht="15" customHeight="1" x14ac:dyDescent="0.2">
      <c r="A126" s="328" t="s">
        <v>311</v>
      </c>
      <c r="B126" s="91" t="s">
        <v>166</v>
      </c>
      <c r="C126" s="259">
        <f>2*22</f>
        <v>44</v>
      </c>
      <c r="D126" s="436">
        <f>3*22</f>
        <v>66</v>
      </c>
      <c r="E126" s="340">
        <v>0.23</v>
      </c>
      <c r="F126" s="331">
        <v>0.41</v>
      </c>
      <c r="G126" s="81">
        <f>(E126+F126)/2</f>
        <v>0.32</v>
      </c>
      <c r="H126" s="82">
        <f>C126*G126</f>
        <v>14.08</v>
      </c>
      <c r="I126" s="79">
        <f t="shared" si="11"/>
        <v>21.12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H126"/>
      <c r="AMI126"/>
      <c r="AMJ126"/>
      <c r="AMK126"/>
    </row>
    <row r="127" spans="1:1025" ht="15" customHeight="1" x14ac:dyDescent="0.2">
      <c r="A127" s="336" t="s">
        <v>312</v>
      </c>
      <c r="B127" s="258" t="s">
        <v>166</v>
      </c>
      <c r="C127" s="259">
        <f>22</f>
        <v>22</v>
      </c>
      <c r="D127" s="259">
        <f>22</f>
        <v>22</v>
      </c>
      <c r="E127" s="464">
        <v>0.13</v>
      </c>
      <c r="F127" s="335">
        <v>0.13</v>
      </c>
      <c r="G127" s="83">
        <f>(E127+F127)/2</f>
        <v>0.13</v>
      </c>
      <c r="H127" s="84">
        <f>C127*G127</f>
        <v>2.8600000000000003</v>
      </c>
      <c r="I127" s="465">
        <f t="shared" si="11"/>
        <v>2.8600000000000003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H127"/>
      <c r="AMI127"/>
      <c r="AMJ127"/>
      <c r="AMK127"/>
    </row>
    <row r="128" spans="1:1025" s="69" customFormat="1" ht="56.25" customHeight="1" x14ac:dyDescent="0.2">
      <c r="A128" s="459" t="s">
        <v>132</v>
      </c>
      <c r="B128" s="460" t="s">
        <v>133</v>
      </c>
      <c r="C128" s="460" t="s">
        <v>313</v>
      </c>
      <c r="D128" s="460" t="s">
        <v>314</v>
      </c>
      <c r="E128" s="460" t="s">
        <v>315</v>
      </c>
      <c r="F128" s="461" t="s">
        <v>304</v>
      </c>
      <c r="G128" s="461" t="s">
        <v>285</v>
      </c>
      <c r="H128" s="462" t="s">
        <v>305</v>
      </c>
      <c r="I128" s="463" t="s">
        <v>306</v>
      </c>
    </row>
    <row r="129" spans="1:1025" ht="20.25" customHeight="1" x14ac:dyDescent="0.2">
      <c r="A129" s="912" t="s">
        <v>316</v>
      </c>
      <c r="B129" s="913"/>
      <c r="C129" s="913"/>
      <c r="D129" s="913"/>
      <c r="E129" s="913"/>
      <c r="F129" s="913"/>
      <c r="G129" s="914"/>
      <c r="H129" s="466">
        <f>SUM(H130:H133)</f>
        <v>25.446666666666665</v>
      </c>
      <c r="I129" s="466">
        <f>SUM(I130:I133)</f>
        <v>36.666666666666671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H129"/>
      <c r="AMI129"/>
      <c r="AMJ129"/>
      <c r="AMK129"/>
    </row>
    <row r="130" spans="1:1025" ht="15" customHeight="1" x14ac:dyDescent="0.2">
      <c r="A130" s="328" t="s">
        <v>317</v>
      </c>
      <c r="B130" s="40" t="s">
        <v>166</v>
      </c>
      <c r="C130" s="85">
        <v>1</v>
      </c>
      <c r="D130" s="85">
        <v>1</v>
      </c>
      <c r="E130" s="339">
        <v>11.69</v>
      </c>
      <c r="F130" s="331">
        <v>10</v>
      </c>
      <c r="G130" s="41">
        <f>(E130+F130)/2</f>
        <v>10.844999999999999</v>
      </c>
      <c r="H130" s="86">
        <f>(C130*G130)/12</f>
        <v>0.90374999999999994</v>
      </c>
      <c r="I130" s="86">
        <f>(D130*G130)/12</f>
        <v>0.90374999999999994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G130"/>
      <c r="AMH130"/>
      <c r="AMI130"/>
      <c r="AMJ130"/>
      <c r="AMK130"/>
    </row>
    <row r="131" spans="1:1025" ht="15" customHeight="1" x14ac:dyDescent="0.2">
      <c r="A131" s="328" t="s">
        <v>318</v>
      </c>
      <c r="B131" s="46" t="s">
        <v>186</v>
      </c>
      <c r="C131" s="80">
        <v>2</v>
      </c>
      <c r="D131" s="80">
        <v>2</v>
      </c>
      <c r="E131" s="339">
        <v>10.07</v>
      </c>
      <c r="F131" s="331">
        <v>10.98</v>
      </c>
      <c r="G131" s="81">
        <f>(E131+F131)/2</f>
        <v>10.525</v>
      </c>
      <c r="H131" s="86">
        <f>(C131*G131)/12</f>
        <v>1.7541666666666667</v>
      </c>
      <c r="I131" s="86">
        <f t="shared" ref="I131:I133" si="12">(D131*G131)/12</f>
        <v>1.7541666666666667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G131"/>
      <c r="AMH131"/>
      <c r="AMI131"/>
      <c r="AMJ131"/>
      <c r="AMK131"/>
    </row>
    <row r="132" spans="1:1025" ht="15" customHeight="1" x14ac:dyDescent="0.2">
      <c r="A132" s="328" t="s">
        <v>311</v>
      </c>
      <c r="B132" s="46" t="s">
        <v>166</v>
      </c>
      <c r="C132" s="46">
        <f>2*22*12</f>
        <v>528</v>
      </c>
      <c r="D132" s="46">
        <f>3*22*12</f>
        <v>792</v>
      </c>
      <c r="E132" s="339">
        <v>0.61</v>
      </c>
      <c r="F132" s="331">
        <v>0.41</v>
      </c>
      <c r="G132" s="81">
        <f>(E132+F132)/2</f>
        <v>0.51</v>
      </c>
      <c r="H132" s="86">
        <f>(C132*G132)/12</f>
        <v>22.44</v>
      </c>
      <c r="I132" s="86">
        <f t="shared" si="12"/>
        <v>33.660000000000004</v>
      </c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G132"/>
      <c r="AMH132"/>
      <c r="AMI132"/>
      <c r="AMJ132"/>
      <c r="AMK132"/>
    </row>
    <row r="133" spans="1:1025" ht="15" customHeight="1" x14ac:dyDescent="0.2">
      <c r="A133" s="328" t="s">
        <v>319</v>
      </c>
      <c r="B133" s="46" t="s">
        <v>166</v>
      </c>
      <c r="C133" s="80">
        <v>1</v>
      </c>
      <c r="D133" s="80">
        <v>1</v>
      </c>
      <c r="E133" s="339">
        <v>4.62</v>
      </c>
      <c r="F133" s="331">
        <v>3.75</v>
      </c>
      <c r="G133" s="81">
        <f>(E133+F133)/2</f>
        <v>4.1850000000000005</v>
      </c>
      <c r="H133" s="86">
        <f>(C133*G133)/12</f>
        <v>0.34875000000000006</v>
      </c>
      <c r="I133" s="86">
        <f t="shared" si="12"/>
        <v>0.34875000000000006</v>
      </c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G133"/>
      <c r="AMH133"/>
      <c r="AMI133"/>
      <c r="AMJ133"/>
      <c r="AMK133"/>
    </row>
    <row r="134" spans="1:1025" x14ac:dyDescent="0.2">
      <c r="A134" s="56"/>
      <c r="B134" s="57"/>
      <c r="C134" s="57"/>
      <c r="D134" s="57"/>
      <c r="E134" s="57"/>
      <c r="F134" s="57"/>
      <c r="G134" s="57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G134"/>
      <c r="AMH134"/>
      <c r="AMI134"/>
      <c r="AMJ134"/>
      <c r="AMK134"/>
    </row>
    <row r="135" spans="1:1025" ht="12.75" customHeight="1" x14ac:dyDescent="0.2">
      <c r="A135" s="909" t="s">
        <v>320</v>
      </c>
      <c r="B135" s="909"/>
      <c r="C135" s="909"/>
      <c r="D135" s="909"/>
      <c r="E135" s="909"/>
      <c r="F135" s="909"/>
      <c r="G135" s="57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G135"/>
      <c r="AMH135"/>
      <c r="AMI135"/>
      <c r="AMJ135"/>
      <c r="AMK135"/>
    </row>
    <row r="136" spans="1:1025" ht="12.75" customHeight="1" x14ac:dyDescent="0.2">
      <c r="A136" s="87" t="s">
        <v>308</v>
      </c>
      <c r="B136" s="910" t="s">
        <v>321</v>
      </c>
      <c r="C136" s="910"/>
      <c r="D136" s="910"/>
      <c r="E136" s="910"/>
      <c r="F136" s="910"/>
      <c r="G136" s="57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G136"/>
      <c r="AMH136"/>
      <c r="AMI136"/>
      <c r="AMJ136"/>
      <c r="AMK136"/>
    </row>
    <row r="137" spans="1:1025" ht="12.75" customHeight="1" x14ac:dyDescent="0.2">
      <c r="A137" s="87" t="s">
        <v>309</v>
      </c>
      <c r="B137" s="910" t="s">
        <v>322</v>
      </c>
      <c r="C137" s="910"/>
      <c r="D137" s="910"/>
      <c r="E137" s="910"/>
      <c r="F137" s="910"/>
      <c r="G137" s="5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G137"/>
      <c r="AMH137"/>
      <c r="AMI137"/>
      <c r="AMJ137"/>
      <c r="AMK137"/>
    </row>
    <row r="138" spans="1:1025" ht="12.75" customHeight="1" x14ac:dyDescent="0.2">
      <c r="A138" s="87" t="s">
        <v>310</v>
      </c>
      <c r="B138" s="910" t="s">
        <v>323</v>
      </c>
      <c r="C138" s="910"/>
      <c r="D138" s="910"/>
      <c r="E138" s="910"/>
      <c r="F138" s="910"/>
      <c r="G138" s="57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G138"/>
      <c r="AMH138"/>
      <c r="AMI138"/>
      <c r="AMJ138"/>
      <c r="AMK138"/>
    </row>
    <row r="139" spans="1:1025" ht="12.75" customHeight="1" x14ac:dyDescent="0.2">
      <c r="A139" s="87" t="s">
        <v>311</v>
      </c>
      <c r="B139" s="910" t="s">
        <v>324</v>
      </c>
      <c r="C139" s="910"/>
      <c r="D139" s="910"/>
      <c r="E139" s="910"/>
      <c r="F139" s="910"/>
      <c r="G139" s="57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G139"/>
      <c r="AMH139"/>
      <c r="AMI139"/>
      <c r="AMJ139"/>
      <c r="AMK139"/>
    </row>
    <row r="140" spans="1:1025" ht="12.75" customHeight="1" x14ac:dyDescent="0.2">
      <c r="A140" s="87" t="s">
        <v>312</v>
      </c>
      <c r="B140" s="910" t="s">
        <v>321</v>
      </c>
      <c r="C140" s="910"/>
      <c r="D140" s="910"/>
      <c r="E140" s="910"/>
      <c r="F140" s="910"/>
      <c r="G140" s="57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G140"/>
      <c r="AMH140"/>
      <c r="AMI140"/>
      <c r="AMJ140"/>
      <c r="AMK140"/>
    </row>
    <row r="141" spans="1:1025" ht="12.75" customHeight="1" x14ac:dyDescent="0.2">
      <c r="A141" s="87" t="s">
        <v>325</v>
      </c>
      <c r="B141" s="910" t="s">
        <v>326</v>
      </c>
      <c r="C141" s="910"/>
      <c r="D141" s="910"/>
      <c r="E141" s="910"/>
      <c r="F141" s="910"/>
      <c r="G141" s="57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G141"/>
      <c r="AMH141"/>
      <c r="AMI141"/>
      <c r="AMJ141"/>
      <c r="AMK141"/>
    </row>
    <row r="142" spans="1:1025" ht="12.75" customHeight="1" x14ac:dyDescent="0.2">
      <c r="A142" s="87" t="s">
        <v>327</v>
      </c>
      <c r="B142" s="910" t="s">
        <v>328</v>
      </c>
      <c r="C142" s="910"/>
      <c r="D142" s="910"/>
      <c r="E142" s="910"/>
      <c r="F142" s="910"/>
      <c r="G142" s="57"/>
      <c r="H142" s="57"/>
      <c r="I142" s="878"/>
      <c r="J142" s="878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5" ht="12.75" customHeight="1" x14ac:dyDescent="0.2">
      <c r="A143" s="87" t="s">
        <v>329</v>
      </c>
      <c r="B143" s="910" t="s">
        <v>330</v>
      </c>
      <c r="C143" s="910"/>
      <c r="D143" s="910"/>
      <c r="E143" s="910"/>
      <c r="F143" s="910"/>
      <c r="G143" s="57"/>
      <c r="H143" s="57"/>
      <c r="I143" s="878"/>
      <c r="J143" s="878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5" ht="15" thickBot="1" x14ac:dyDescent="0.25">
      <c r="A144" s="56"/>
      <c r="B144" s="57"/>
      <c r="C144" s="57"/>
      <c r="D144" s="57"/>
      <c r="E144" s="57"/>
      <c r="F144" s="57"/>
      <c r="G144" s="57"/>
      <c r="H144" s="57"/>
      <c r="I144" s="878"/>
      <c r="J144" s="878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" ht="20.25" customHeight="1" thickBot="1" x14ac:dyDescent="0.25">
      <c r="A145" s="911" t="s">
        <v>331</v>
      </c>
      <c r="B145" s="911"/>
      <c r="C145" s="911"/>
      <c r="D145" s="911"/>
      <c r="E145" s="911"/>
      <c r="F145" s="911"/>
      <c r="G145" s="911"/>
      <c r="H145" s="881">
        <f>SUM(H146:H146)</f>
        <v>50.323333333333331</v>
      </c>
      <c r="I145" s="879"/>
      <c r="J145" s="878"/>
    </row>
    <row r="146" spans="1:10" ht="15" customHeight="1" thickBot="1" x14ac:dyDescent="0.25">
      <c r="A146" s="88" t="s">
        <v>332</v>
      </c>
      <c r="B146" s="89" t="s">
        <v>166</v>
      </c>
      <c r="C146" s="89">
        <v>1</v>
      </c>
      <c r="D146" s="915">
        <f>(54.99+39.99+55.99)/3</f>
        <v>50.323333333333331</v>
      </c>
      <c r="E146" s="916"/>
      <c r="F146" s="916"/>
      <c r="G146" s="917"/>
      <c r="H146" s="90">
        <f>D146</f>
        <v>50.323333333333331</v>
      </c>
      <c r="I146" s="880"/>
      <c r="J146" s="878"/>
    </row>
    <row r="147" spans="1:10" x14ac:dyDescent="0.2">
      <c r="A147"/>
      <c r="B147"/>
      <c r="C147"/>
      <c r="D147"/>
      <c r="E147"/>
      <c r="F147"/>
      <c r="G147"/>
      <c r="H147"/>
      <c r="I147"/>
      <c r="J147"/>
    </row>
  </sheetData>
  <mergeCells count="28">
    <mergeCell ref="A97:G97"/>
    <mergeCell ref="A98:E98"/>
    <mergeCell ref="A69:F69"/>
    <mergeCell ref="A99:G99"/>
    <mergeCell ref="A120:I120"/>
    <mergeCell ref="A103:G103"/>
    <mergeCell ref="A105:F105"/>
    <mergeCell ref="A112:F112"/>
    <mergeCell ref="A117:F117"/>
    <mergeCell ref="A118:F118"/>
    <mergeCell ref="A58:F58"/>
    <mergeCell ref="A59:F59"/>
    <mergeCell ref="A61:H61"/>
    <mergeCell ref="A85:K85"/>
    <mergeCell ref="A1:H1"/>
    <mergeCell ref="D146:G146"/>
    <mergeCell ref="B143:F143"/>
    <mergeCell ref="B138:F138"/>
    <mergeCell ref="B139:F139"/>
    <mergeCell ref="B140:F140"/>
    <mergeCell ref="B141:F141"/>
    <mergeCell ref="B142:F142"/>
    <mergeCell ref="A122:G122"/>
    <mergeCell ref="A135:F135"/>
    <mergeCell ref="B136:F136"/>
    <mergeCell ref="B137:F137"/>
    <mergeCell ref="A145:G145"/>
    <mergeCell ref="A129:G12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AMA1048576"/>
  <sheetViews>
    <sheetView showGridLines="0" tabSelected="1" zoomScale="80" zoomScaleNormal="80" workbookViewId="0">
      <pane xSplit="4" ySplit="5" topLeftCell="N18" activePane="bottomRight" state="frozen"/>
      <selection pane="topRight"/>
      <selection pane="bottomLeft"/>
      <selection pane="bottomRight" activeCell="Y50" sqref="Y50"/>
    </sheetView>
  </sheetViews>
  <sheetFormatPr defaultRowHeight="14.25" x14ac:dyDescent="0.2"/>
  <cols>
    <col min="1" max="1" width="27.5" customWidth="1"/>
    <col min="2" max="2" width="34.125" customWidth="1"/>
    <col min="3" max="3" width="17.25" customWidth="1"/>
    <col min="6" max="6" width="8"/>
    <col min="7" max="7" width="8.5"/>
    <col min="8" max="8" width="6.625"/>
    <col min="9" max="9" width="7.875"/>
    <col min="10" max="10" width="7.375"/>
    <col min="11" max="11" width="9.25"/>
    <col min="12" max="12" width="7"/>
    <col min="13" max="13" width="8.25"/>
    <col min="14" max="14" width="6.25"/>
    <col min="15" max="15" width="7.5"/>
    <col min="16" max="16" width="7.375"/>
    <col min="17" max="17" width="8.625"/>
    <col min="18" max="18" width="6.875"/>
    <col min="19" max="19" width="7.5"/>
    <col min="20" max="20" width="7.375"/>
    <col min="21" max="21" width="7.5"/>
    <col min="22" max="22" width="7"/>
    <col min="23" max="23" width="8.875"/>
    <col min="24" max="24" width="7.25"/>
    <col min="25" max="25" width="12.375"/>
    <col min="26" max="27" width="11.5" customWidth="1"/>
    <col min="28" max="28" width="13.375"/>
    <col min="29" max="29" width="12.625"/>
    <col min="30" max="30" width="13.125" bestFit="1" customWidth="1"/>
    <col min="31" max="1016" width="10.625"/>
    <col min="16377" max="16384" width="8" customWidth="1"/>
  </cols>
  <sheetData>
    <row r="1" spans="1:29" ht="23.25" x14ac:dyDescent="0.2">
      <c r="A1" s="957"/>
      <c r="B1" s="957"/>
      <c r="C1" s="957"/>
      <c r="D1" s="957"/>
      <c r="E1" s="957"/>
      <c r="F1" s="957"/>
      <c r="G1" s="957"/>
      <c r="H1" s="957"/>
      <c r="I1" s="957"/>
      <c r="J1" s="957"/>
      <c r="K1" s="957"/>
      <c r="L1" s="957"/>
      <c r="M1" s="957"/>
      <c r="N1" s="957"/>
      <c r="O1" s="957"/>
      <c r="P1" s="957"/>
      <c r="Q1" s="957"/>
      <c r="R1" s="957"/>
      <c r="S1" s="957"/>
      <c r="T1" s="957"/>
      <c r="U1" s="957"/>
      <c r="V1" s="957"/>
      <c r="W1" s="957"/>
      <c r="X1" s="957"/>
      <c r="Y1" s="957"/>
      <c r="Z1" s="957"/>
      <c r="AA1" s="957"/>
      <c r="AB1" s="957"/>
      <c r="AC1" s="957"/>
    </row>
    <row r="2" spans="1:29" ht="15" customHeight="1" x14ac:dyDescent="0.2">
      <c r="A2" s="536"/>
      <c r="B2" s="267"/>
      <c r="C2" s="267"/>
      <c r="D2" s="267"/>
      <c r="E2" s="958" t="s">
        <v>333</v>
      </c>
      <c r="F2" s="958"/>
      <c r="G2" s="958"/>
      <c r="H2" s="958"/>
      <c r="I2" s="958"/>
      <c r="J2" s="958"/>
      <c r="K2" s="958"/>
      <c r="L2" s="958"/>
      <c r="M2" s="959" t="s">
        <v>334</v>
      </c>
      <c r="N2" s="959"/>
      <c r="O2" s="959"/>
      <c r="P2" s="959"/>
      <c r="Q2" s="959"/>
      <c r="R2" s="959"/>
      <c r="S2" s="960" t="s">
        <v>335</v>
      </c>
      <c r="T2" s="960"/>
      <c r="U2" s="960"/>
      <c r="V2" s="960"/>
      <c r="W2" s="960"/>
      <c r="X2" s="960"/>
      <c r="Y2" s="155" t="s">
        <v>336</v>
      </c>
      <c r="Z2" s="418" t="s">
        <v>337</v>
      </c>
      <c r="AA2" s="155" t="s">
        <v>338</v>
      </c>
      <c r="AB2" s="155" t="s">
        <v>339</v>
      </c>
      <c r="AC2" s="155" t="s">
        <v>340</v>
      </c>
    </row>
    <row r="3" spans="1:29" ht="59.25" customHeight="1" x14ac:dyDescent="0.2">
      <c r="A3" s="970" t="s">
        <v>86</v>
      </c>
      <c r="B3" s="970"/>
      <c r="C3" s="970"/>
      <c r="D3" s="967" t="s">
        <v>341</v>
      </c>
      <c r="E3" s="994" t="s">
        <v>342</v>
      </c>
      <c r="F3" s="964"/>
      <c r="G3" s="963" t="s">
        <v>343</v>
      </c>
      <c r="H3" s="964"/>
      <c r="I3" s="963" t="s">
        <v>344</v>
      </c>
      <c r="J3" s="964"/>
      <c r="K3" s="963" t="s">
        <v>345</v>
      </c>
      <c r="L3" s="964"/>
      <c r="M3" s="996" t="s">
        <v>346</v>
      </c>
      <c r="N3" s="997"/>
      <c r="O3" s="1000" t="s">
        <v>347</v>
      </c>
      <c r="P3" s="1001"/>
      <c r="Q3" s="996" t="s">
        <v>348</v>
      </c>
      <c r="R3" s="997"/>
      <c r="S3" s="990" t="s">
        <v>349</v>
      </c>
      <c r="T3" s="991"/>
      <c r="U3" s="990" t="s">
        <v>350</v>
      </c>
      <c r="V3" s="991"/>
      <c r="W3" s="986" t="s">
        <v>351</v>
      </c>
      <c r="X3" s="987"/>
      <c r="Y3" s="984" t="s">
        <v>352</v>
      </c>
      <c r="Z3" s="973" t="s">
        <v>353</v>
      </c>
      <c r="AA3" s="982" t="s">
        <v>354</v>
      </c>
      <c r="AB3" s="980" t="s">
        <v>355</v>
      </c>
      <c r="AC3" s="961" t="s">
        <v>356</v>
      </c>
    </row>
    <row r="4" spans="1:29" ht="15" customHeight="1" x14ac:dyDescent="0.2">
      <c r="A4" s="971"/>
      <c r="B4" s="971"/>
      <c r="C4" s="971"/>
      <c r="D4" s="968"/>
      <c r="E4" s="995"/>
      <c r="F4" s="966"/>
      <c r="G4" s="965"/>
      <c r="H4" s="966"/>
      <c r="I4" s="965"/>
      <c r="J4" s="966"/>
      <c r="K4" s="965"/>
      <c r="L4" s="966"/>
      <c r="M4" s="998"/>
      <c r="N4" s="999"/>
      <c r="O4" s="1002"/>
      <c r="P4" s="1003"/>
      <c r="Q4" s="998"/>
      <c r="R4" s="999"/>
      <c r="S4" s="992"/>
      <c r="T4" s="993"/>
      <c r="U4" s="992"/>
      <c r="V4" s="993"/>
      <c r="W4" s="988"/>
      <c r="X4" s="989"/>
      <c r="Y4" s="985"/>
      <c r="Z4" s="974"/>
      <c r="AA4" s="983"/>
      <c r="AB4" s="981"/>
      <c r="AC4" s="962"/>
    </row>
    <row r="5" spans="1:29" ht="24" x14ac:dyDescent="0.2">
      <c r="A5" s="972"/>
      <c r="B5" s="972"/>
      <c r="C5" s="972"/>
      <c r="D5" s="969"/>
      <c r="E5" s="298" t="s">
        <v>357</v>
      </c>
      <c r="F5" s="299" t="s">
        <v>358</v>
      </c>
      <c r="G5" s="161" t="s">
        <v>357</v>
      </c>
      <c r="H5" s="157" t="s">
        <v>358</v>
      </c>
      <c r="I5" s="161" t="s">
        <v>357</v>
      </c>
      <c r="J5" s="157" t="s">
        <v>358</v>
      </c>
      <c r="K5" s="161" t="s">
        <v>357</v>
      </c>
      <c r="L5" s="157" t="s">
        <v>358</v>
      </c>
      <c r="M5" s="158" t="s">
        <v>357</v>
      </c>
      <c r="N5" s="158" t="s">
        <v>358</v>
      </c>
      <c r="O5" s="158" t="s">
        <v>357</v>
      </c>
      <c r="P5" s="158" t="s">
        <v>358</v>
      </c>
      <c r="Q5" s="158" t="s">
        <v>357</v>
      </c>
      <c r="R5" s="158" t="s">
        <v>358</v>
      </c>
      <c r="S5" s="159" t="s">
        <v>357</v>
      </c>
      <c r="T5" s="159" t="s">
        <v>358</v>
      </c>
      <c r="U5" s="159" t="s">
        <v>357</v>
      </c>
      <c r="V5" s="159" t="s">
        <v>358</v>
      </c>
      <c r="W5" s="159" t="s">
        <v>357</v>
      </c>
      <c r="X5" s="162" t="s">
        <v>358</v>
      </c>
      <c r="Y5" s="344" t="s">
        <v>359</v>
      </c>
      <c r="Z5" s="349" t="s">
        <v>359</v>
      </c>
      <c r="AA5" s="345" t="s">
        <v>359</v>
      </c>
      <c r="AB5" s="163" t="s">
        <v>359</v>
      </c>
      <c r="AC5" s="164" t="s">
        <v>359</v>
      </c>
    </row>
    <row r="6" spans="1:29" ht="20.25" customHeight="1" x14ac:dyDescent="0.2">
      <c r="A6" s="537" t="s">
        <v>87</v>
      </c>
      <c r="B6" s="537" t="s">
        <v>362</v>
      </c>
      <c r="C6" s="537" t="s">
        <v>363</v>
      </c>
      <c r="D6" s="268">
        <f>MC!C73/100</f>
        <v>2.5000000000000001E-2</v>
      </c>
      <c r="E6" s="568">
        <f>'Prod. GEXFLO'!C4</f>
        <v>1685.66</v>
      </c>
      <c r="F6" s="295">
        <f>'GEXFLO Limp.Ord.'!F149</f>
        <v>5.8092819501975335</v>
      </c>
      <c r="G6" s="297">
        <f>'Prod. GEXFLO'!D4</f>
        <v>0</v>
      </c>
      <c r="H6" s="295">
        <f>'GEXFLO Limp.Ord.'!F155</f>
        <v>2.1145786298719025</v>
      </c>
      <c r="I6" s="292">
        <f>'Prod. GEXFLO'!E4</f>
        <v>315.92</v>
      </c>
      <c r="J6" s="293">
        <f>'GEXFLO Limp.Ord.'!F161</f>
        <v>3.5242977164531704</v>
      </c>
      <c r="K6" s="292">
        <f>'Prod. GEXFLO'!F4</f>
        <v>140.08000000000001</v>
      </c>
      <c r="L6" s="293">
        <f>'GEXFLO Limp.Ord.'!F167</f>
        <v>17.621488582265854</v>
      </c>
      <c r="M6" s="292">
        <f>'Prod. GEXFLO'!G4</f>
        <v>0</v>
      </c>
      <c r="N6" s="293">
        <f>'GEXFLO Limp.Ord.'!F173</f>
        <v>1.9579431758073169</v>
      </c>
      <c r="O6" s="292">
        <f>'Prod. GEXFLO'!H4</f>
        <v>0</v>
      </c>
      <c r="P6" s="293">
        <f>'GEXFLO Limp.Ord.'!F176</f>
        <v>5.2864465746797561E-2</v>
      </c>
      <c r="Q6" s="292">
        <f>'Prod. GEXFLO'!I4</f>
        <v>108.55</v>
      </c>
      <c r="R6" s="293">
        <f>'GEXFLO Limp.Ord.'!F179</f>
        <v>0.5873829527421951</v>
      </c>
      <c r="S6" s="292">
        <f>'Prod. GEXFLO'!J4</f>
        <v>370.86</v>
      </c>
      <c r="T6" s="295">
        <f>'GEXFLO Limp.Ord.'!F185</f>
        <v>0.29492112852465896</v>
      </c>
      <c r="U6" s="525">
        <v>123.07</v>
      </c>
      <c r="V6" s="295">
        <f>'GEXFLO Limp.Ord.'!F188</f>
        <v>1.1792075873969186</v>
      </c>
      <c r="W6" s="525">
        <v>493.93</v>
      </c>
      <c r="X6" s="295">
        <f>'GEXFLO Limp.Ord.'!F191</f>
        <v>1.1792075873969186</v>
      </c>
      <c r="Y6" s="165">
        <f>(E6*F6)+(G6*H6)+(I6*J6)+(K6*L6)+(M6*N6)+(O6*P6)+(Q6*R6)+(S6*T6)+(U6*V6)+(W6*X6)</f>
        <v>14274.99441802438</v>
      </c>
      <c r="Z6" s="350"/>
      <c r="AA6" s="346">
        <f>'Prod. GEXFLO'!R4*'GEXFLO Limp.Ord.'!C140</f>
        <v>138.56247418479549</v>
      </c>
      <c r="AB6" s="510">
        <f>'Prod. GEXFLO'!S4*'GEXFLO Covid'!C140</f>
        <v>147.56435862399951</v>
      </c>
      <c r="AC6" s="166">
        <f>'Prod. GEXFLO'!T4*MC!C16</f>
        <v>4043.6000000000004</v>
      </c>
    </row>
    <row r="7" spans="1:29" x14ac:dyDescent="0.2">
      <c r="A7" s="538" t="s">
        <v>90</v>
      </c>
      <c r="B7" s="538" t="s">
        <v>364</v>
      </c>
      <c r="C7" s="538" t="s">
        <v>365</v>
      </c>
      <c r="D7" s="269">
        <f>MC!C74/100</f>
        <v>0.05</v>
      </c>
      <c r="E7" s="569">
        <f>'Prod. GEXFLO'!C5</f>
        <v>205.83</v>
      </c>
      <c r="F7" s="296">
        <f>'GEXFLO Limp.Ord.'!L149</f>
        <v>5.9720546427757073</v>
      </c>
      <c r="G7" s="297">
        <f>'Prod. GEXFLO'!D5</f>
        <v>0</v>
      </c>
      <c r="H7" s="296">
        <f>'GEXFLO Limp.Ord.'!L155</f>
        <v>2.1738278899703576</v>
      </c>
      <c r="I7" s="292">
        <f>'Prod. GEXFLO'!E5</f>
        <v>0</v>
      </c>
      <c r="J7" s="294">
        <f>'GEXFLO Limp.Ord.'!L161</f>
        <v>3.6230464832839289</v>
      </c>
      <c r="K7" s="292">
        <f>'Prod. GEXFLO'!F5</f>
        <v>9.8800000000000008</v>
      </c>
      <c r="L7" s="294">
        <f>'GEXFLO Limp.Ord.'!L167</f>
        <v>18.115232416419648</v>
      </c>
      <c r="M7" s="292">
        <f>'Prod. GEXFLO'!G5</f>
        <v>0</v>
      </c>
      <c r="N7" s="294">
        <f>'GEXFLO Limp.Ord.'!L173</f>
        <v>2.0128036018244049</v>
      </c>
      <c r="O7" s="292">
        <f>'Prod. GEXFLO'!H5</f>
        <v>0</v>
      </c>
      <c r="P7" s="294">
        <f>'GEXFLO Limp.Ord.'!L176</f>
        <v>5.4345697249258938E-2</v>
      </c>
      <c r="Q7" s="292">
        <f>'Prod. GEXFLO'!I5</f>
        <v>76.02</v>
      </c>
      <c r="R7" s="294">
        <f>'GEXFLO Limp.Ord.'!L179</f>
        <v>0.60384108054732155</v>
      </c>
      <c r="S7" s="292">
        <f>'Prod. GEXFLO'!J5</f>
        <v>0</v>
      </c>
      <c r="T7" s="296">
        <f>'GEXFLO Limp.Ord.'!L185</f>
        <v>0.30166314843544328</v>
      </c>
      <c r="U7" s="525">
        <v>24.99</v>
      </c>
      <c r="V7" s="296">
        <f>'GEXFLO Limp.Ord.'!L188</f>
        <v>1.2122482963442063</v>
      </c>
      <c r="W7" s="525">
        <v>24.99</v>
      </c>
      <c r="X7" s="296">
        <f>'GEXFLO Limp.Ord.'!L191</f>
        <v>1.2122482963442063</v>
      </c>
      <c r="Y7" s="167">
        <f>(E7*F7)+(G7*H7)+(I7*J7)+(K7*L7)+(M7*N7)+(O7*P7)+(Q7*R7)+(S7*T7)+(U7*V7)+(W7*X7)</f>
        <v>1514.698672191241</v>
      </c>
      <c r="Z7" s="350"/>
      <c r="AA7" s="347">
        <f>'Prod. GEXFLO'!R5*'GEXFLO Limp.Ord.'!C143</f>
        <v>142.60219646423562</v>
      </c>
      <c r="AB7" s="510">
        <f>'Prod. GEXFLO'!S5*'GEXFLO Covid'!C143</f>
        <v>151.86652651391202</v>
      </c>
      <c r="AC7" s="168"/>
    </row>
    <row r="8" spans="1:29" x14ac:dyDescent="0.2">
      <c r="A8" s="538" t="s">
        <v>93</v>
      </c>
      <c r="B8" s="538" t="s">
        <v>366</v>
      </c>
      <c r="C8" s="538" t="s">
        <v>367</v>
      </c>
      <c r="D8" s="269">
        <f>MC!C75/100</f>
        <v>0.03</v>
      </c>
      <c r="E8" s="569">
        <f>'Prod. GEXFLO'!C6</f>
        <v>303.05</v>
      </c>
      <c r="F8" s="296">
        <f>'GEXFLO Limp.Ord.'!H149</f>
        <v>5.8410945049293357</v>
      </c>
      <c r="G8" s="297">
        <f>'Prod. GEXFLO'!D6</f>
        <v>0</v>
      </c>
      <c r="H8" s="296">
        <f>'GEXFLO Limp.Ord.'!H155</f>
        <v>2.1261583997942783</v>
      </c>
      <c r="I8" s="292">
        <f>'Prod. GEXFLO'!E6</f>
        <v>17.329999999999998</v>
      </c>
      <c r="J8" s="294">
        <f>'GEXFLO Limp.Ord.'!H161</f>
        <v>3.5435973329904638</v>
      </c>
      <c r="K8" s="292">
        <f>'Prod. GEXFLO'!F6</f>
        <v>17.88</v>
      </c>
      <c r="L8" s="294">
        <f>'GEXFLO Limp.Ord.'!H167</f>
        <v>17.717986664952321</v>
      </c>
      <c r="M8" s="292">
        <f>'Prod. GEXFLO'!G6</f>
        <v>153.11000000000001</v>
      </c>
      <c r="N8" s="294">
        <f>'GEXFLO Limp.Ord.'!H173</f>
        <v>1.9686651849947021</v>
      </c>
      <c r="O8" s="292">
        <f>'Prod. GEXFLO'!H6</f>
        <v>40.53</v>
      </c>
      <c r="P8" s="294">
        <f>'GEXFLO Limp.Ord.'!H176</f>
        <v>5.3153959994856961E-2</v>
      </c>
      <c r="Q8" s="292">
        <f>'Prod. GEXFLO'!I6</f>
        <v>25.8</v>
      </c>
      <c r="R8" s="294">
        <f>'GEXFLO Limp.Ord.'!H179</f>
        <v>0.5905995554984107</v>
      </c>
      <c r="S8" s="292">
        <f>'Prod. GEXFLO'!J6</f>
        <v>0</v>
      </c>
      <c r="T8" s="296">
        <f>'GEXFLO Limp.Ord.'!H185</f>
        <v>0.29623879965252164</v>
      </c>
      <c r="U8" s="525">
        <v>54.06</v>
      </c>
      <c r="V8" s="296">
        <f>'GEXFLO Limp.Ord.'!H188</f>
        <v>1.1856651162680978</v>
      </c>
      <c r="W8" s="525">
        <v>54.06</v>
      </c>
      <c r="X8" s="296">
        <f>'GEXFLO Limp.Ord.'!H191</f>
        <v>1.1859284364039964</v>
      </c>
      <c r="Y8" s="167">
        <f>(E8*F8)+(G8*H8)+(I8*J8)+(K8*L8)+(M8*N8)+(O8*P8)+(Q8*R8)+(S8*T8)+(U8*V8)+(W8*X8)</f>
        <v>2595.3743055313503</v>
      </c>
      <c r="Z8" s="350">
        <f>'Prod. GEXFLO'!Q6*'GEXFLO Covid'!C136</f>
        <v>4946.8393726753875</v>
      </c>
      <c r="AA8" s="347">
        <f>'Prod. GEXFLO'!R6*'GEXFLO Limp.Ord.'!C141</f>
        <v>139.35200395223021</v>
      </c>
      <c r="AB8" s="510">
        <f>'Prod. GEXFLO'!S6*'GEXFLO Covid'!C141</f>
        <v>148.40518118026162</v>
      </c>
      <c r="AC8" s="168"/>
    </row>
    <row r="9" spans="1:29" x14ac:dyDescent="0.2">
      <c r="A9" s="538" t="s">
        <v>96</v>
      </c>
      <c r="B9" s="538" t="s">
        <v>368</v>
      </c>
      <c r="C9" s="538" t="s">
        <v>369</v>
      </c>
      <c r="D9" s="269">
        <f>MC!C76/100</f>
        <v>0.05</v>
      </c>
      <c r="E9" s="569">
        <f>'Prod. GEXFLO'!C7</f>
        <v>1603.29</v>
      </c>
      <c r="F9" s="296">
        <f>'GEXFLO Limp.Ord.'!L149</f>
        <v>5.9720546427757073</v>
      </c>
      <c r="G9" s="297">
        <f>'Prod. GEXFLO'!D7</f>
        <v>0</v>
      </c>
      <c r="H9" s="296">
        <f>'GEXFLO Limp.Ord.'!L155</f>
        <v>2.1738278899703576</v>
      </c>
      <c r="I9" s="292">
        <f>'Prod. GEXFLO'!E7</f>
        <v>31.66</v>
      </c>
      <c r="J9" s="294">
        <f>'GEXFLO Limp.Ord.'!L161</f>
        <v>3.6230464832839289</v>
      </c>
      <c r="K9" s="292">
        <f>'Prod. GEXFLO'!F7</f>
        <v>54.3</v>
      </c>
      <c r="L9" s="294">
        <f>'GEXFLO Limp.Ord.'!L167</f>
        <v>18.115232416419648</v>
      </c>
      <c r="M9" s="292">
        <f>'Prod. GEXFLO'!G7</f>
        <v>253.11</v>
      </c>
      <c r="N9" s="294">
        <f>'GEXFLO Limp.Ord.'!L173</f>
        <v>2.0128036018244049</v>
      </c>
      <c r="O9" s="292">
        <f>'Prod. GEXFLO'!H7</f>
        <v>610.95000000000005</v>
      </c>
      <c r="P9" s="294">
        <f>'GEXFLO Limp.Ord.'!L176</f>
        <v>5.4345697249258938E-2</v>
      </c>
      <c r="Q9" s="292">
        <f>'Prod. GEXFLO'!I7</f>
        <v>205.15</v>
      </c>
      <c r="R9" s="294">
        <f>'GEXFLO Limp.Ord.'!L179</f>
        <v>0.60384108054732155</v>
      </c>
      <c r="S9" s="292">
        <f>'Prod. GEXFLO'!J7</f>
        <v>0</v>
      </c>
      <c r="T9" s="296">
        <f>'GEXFLO Limp.Ord.'!L185</f>
        <v>0.30166314843544328</v>
      </c>
      <c r="U9" s="525">
        <v>365.74</v>
      </c>
      <c r="V9" s="296">
        <f>'GEXFLO Limp.Ord.'!L188</f>
        <v>1.2122482963442063</v>
      </c>
      <c r="W9" s="525">
        <v>365.74</v>
      </c>
      <c r="X9" s="296">
        <f>'GEXFLO Limp.Ord.'!L191</f>
        <v>1.2122482963442063</v>
      </c>
      <c r="Y9" s="167">
        <f>(E9*F9)+(G9*H9)+(I9*J9)+(K9*L9)+(M9*N9)+(O9*P9)+(Q9*R9)+(S9*T9)+(U9*V9)+(W9*X9)</f>
        <v>12226.574864964574</v>
      </c>
      <c r="Z9" s="350">
        <f>'Prod. GEXFLO'!P7*'GEXFLO Covid'!D138</f>
        <v>4267.285617135215</v>
      </c>
      <c r="AA9" s="347">
        <f>'Prod. GEXFLO'!R7*'GEXFLO Limp.Ord.'!C143</f>
        <v>142.60219646423562</v>
      </c>
      <c r="AB9" s="510">
        <f>'Prod. GEXFLO'!S7*'GEXFLO Covid'!C143</f>
        <v>151.86652651391202</v>
      </c>
      <c r="AC9" s="168"/>
    </row>
    <row r="10" spans="1:29" x14ac:dyDescent="0.2">
      <c r="A10" s="538" t="s">
        <v>99</v>
      </c>
      <c r="B10" s="538" t="s">
        <v>362</v>
      </c>
      <c r="C10" s="538" t="s">
        <v>363</v>
      </c>
      <c r="D10" s="269">
        <f>MC!C77/100</f>
        <v>2.5000000000000001E-2</v>
      </c>
      <c r="E10" s="569">
        <f>'Prod. GEXFLO'!C8</f>
        <v>924.57</v>
      </c>
      <c r="F10" s="296">
        <f>'GEXFLO Limp.Ord.'!F149</f>
        <v>5.8092819501975335</v>
      </c>
      <c r="G10" s="297">
        <f>'Prod. GEXFLO'!D8</f>
        <v>0</v>
      </c>
      <c r="H10" s="296">
        <f>'GEXFLO Limp.Ord.'!F155</f>
        <v>2.1145786298719025</v>
      </c>
      <c r="I10" s="292">
        <f>'Prod. GEXFLO'!E8</f>
        <v>0</v>
      </c>
      <c r="J10" s="294">
        <f>'GEXFLO Limp.Ord.'!F161</f>
        <v>3.5242977164531704</v>
      </c>
      <c r="K10" s="292">
        <f>'Prod. GEXFLO'!F8</f>
        <v>89.18</v>
      </c>
      <c r="L10" s="294">
        <f>'GEXFLO Limp.Ord.'!F167</f>
        <v>17.621488582265854</v>
      </c>
      <c r="M10" s="292">
        <f>'Prod. GEXFLO'!G8</f>
        <v>0</v>
      </c>
      <c r="N10" s="294">
        <f>'GEXFLO Limp.Ord.'!F173</f>
        <v>1.9579431758073169</v>
      </c>
      <c r="O10" s="292">
        <f>'Prod. GEXFLO'!H8</f>
        <v>0</v>
      </c>
      <c r="P10" s="294">
        <f>'GEXFLO Limp.Ord.'!F176</f>
        <v>5.2864465746797561E-2</v>
      </c>
      <c r="Q10" s="292">
        <f>'Prod. GEXFLO'!I8</f>
        <v>0</v>
      </c>
      <c r="R10" s="294">
        <f>'GEXFLO Limp.Ord.'!F179</f>
        <v>0.5873829527421951</v>
      </c>
      <c r="S10" s="292">
        <f>'Prod. GEXFLO'!J8</f>
        <v>109.56000000000002</v>
      </c>
      <c r="T10" s="296">
        <f>'GEXFLO Limp.Ord.'!F185</f>
        <v>0.29492112852465896</v>
      </c>
      <c r="U10" s="525">
        <v>93.49</v>
      </c>
      <c r="V10" s="296">
        <f>'GEXFLO Limp.Ord.'!F188</f>
        <v>1.1792075873969186</v>
      </c>
      <c r="W10" s="525">
        <v>203.05</v>
      </c>
      <c r="X10" s="296">
        <f>'GEXFLO Limp.Ord.'!F191</f>
        <v>1.1792075873969186</v>
      </c>
      <c r="Y10" s="167">
        <f>(E10*F10)+(G10*H10)+(I10*J10)+(K10*L10)+(M10*N10)+(O10*P10)+(Q10*R10)+(S10*T10)+(U10*V10)+(W10*X10)</f>
        <v>7324.5659412684463</v>
      </c>
      <c r="Z10" s="350">
        <f>'Prod. GEXFLO'!Q8*'GEXFLO Covid'!C135</f>
        <v>9837.6239082666343</v>
      </c>
      <c r="AA10" s="347">
        <f>'Prod. GEXFLO'!R8*'GEXFLO Limp.Ord.'!C140</f>
        <v>138.56247418479549</v>
      </c>
      <c r="AB10" s="510">
        <f>'Prod. GEXFLO'!S8*'GEXFLO Covid'!C140</f>
        <v>147.56435862399951</v>
      </c>
      <c r="AC10" s="168"/>
    </row>
    <row r="11" spans="1:29" x14ac:dyDescent="0.2">
      <c r="A11" s="538" t="s">
        <v>102</v>
      </c>
      <c r="B11" s="538" t="s">
        <v>370</v>
      </c>
      <c r="C11" s="538" t="s">
        <v>363</v>
      </c>
      <c r="D11" s="269">
        <f>MC!C78/100</f>
        <v>2.5000000000000001E-2</v>
      </c>
      <c r="E11" s="569">
        <f>'Prod. GEXFLO'!C9</f>
        <v>0</v>
      </c>
      <c r="F11" s="296">
        <f>'GEXFLO Limp.Ord.'!F149</f>
        <v>5.8092819501975335</v>
      </c>
      <c r="G11" s="297">
        <f>'Prod. GEXFLO'!D9</f>
        <v>733.24</v>
      </c>
      <c r="H11" s="296">
        <f>'GEXFLO Limp.Ord.'!F155</f>
        <v>2.1145786298719025</v>
      </c>
      <c r="I11" s="292">
        <f>'Prod. GEXFLO'!E9</f>
        <v>2021.22</v>
      </c>
      <c r="J11" s="294">
        <f>'GEXFLO Limp.Ord.'!F161</f>
        <v>3.5242977164531704</v>
      </c>
      <c r="K11" s="292">
        <f>'Prod. GEXFLO'!F9</f>
        <v>188.52</v>
      </c>
      <c r="L11" s="294">
        <f>'GEXFLO Limp.Ord.'!F167</f>
        <v>17.621488582265854</v>
      </c>
      <c r="M11" s="292">
        <f>'Prod. GEXFLO'!G9</f>
        <v>2104.21</v>
      </c>
      <c r="N11" s="294">
        <f>'GEXFLO Limp.Ord.'!F173</f>
        <v>1.9579431758073169</v>
      </c>
      <c r="O11" s="292">
        <f>'Prod. GEXFLO'!H9</f>
        <v>1082.81</v>
      </c>
      <c r="P11" s="294">
        <f>'GEXFLO Limp.Ord.'!F176</f>
        <v>5.2864465746797561E-2</v>
      </c>
      <c r="Q11" s="292">
        <f>'Prod. GEXFLO'!I9</f>
        <v>1235.71</v>
      </c>
      <c r="R11" s="294">
        <f>'GEXFLO Limp.Ord.'!F179</f>
        <v>0.5873829527421951</v>
      </c>
      <c r="S11" s="292">
        <f>'Prod. GEXFLO'!J9</f>
        <v>98.139999999999986</v>
      </c>
      <c r="T11" s="296">
        <f>'GEXFLO Limp.Ord.'!F185</f>
        <v>0.29492112852465896</v>
      </c>
      <c r="U11" s="525">
        <v>651.53</v>
      </c>
      <c r="V11" s="296">
        <f>'GEXFLO Limp.Ord.'!F188</f>
        <v>1.1792075873969186</v>
      </c>
      <c r="W11" s="525">
        <v>749.67</v>
      </c>
      <c r="X11" s="296">
        <f>'GEXFLO Limp.Ord.'!F191</f>
        <v>1.1792075873969186</v>
      </c>
      <c r="Y11" s="167">
        <f t="shared" ref="Y11:Y23" si="0">(E11*F11)+(G11*H11)+(I11*J11)+(K11*L11)+(M11*N11)+(O11*P11)+(Q11*R11)+(S11*T11)+(U11*V11)+(W11*X11)</f>
        <v>18580.127694213341</v>
      </c>
      <c r="Z11" s="350"/>
      <c r="AA11" s="347">
        <f>'Prod. GEXFLO'!R9*'GEXFLO Limp.Ord.'!C140</f>
        <v>138.56247418479549</v>
      </c>
      <c r="AB11" s="510">
        <f>'Prod. GEXFLO'!S9*'GEXFLO Covid'!C140</f>
        <v>147.56435862399951</v>
      </c>
      <c r="AC11" s="168"/>
    </row>
    <row r="12" spans="1:29" x14ac:dyDescent="0.2">
      <c r="A12" s="538" t="s">
        <v>106</v>
      </c>
      <c r="B12" s="538" t="s">
        <v>371</v>
      </c>
      <c r="C12" s="538" t="s">
        <v>372</v>
      </c>
      <c r="D12" s="269">
        <f>MC!C79/100</f>
        <v>0.05</v>
      </c>
      <c r="E12" s="569">
        <f>'Prod. GEXFLO'!C10</f>
        <v>404.33</v>
      </c>
      <c r="F12" s="296">
        <f>'GEXFLO Limp.Ord.'!L149</f>
        <v>5.9720546427757073</v>
      </c>
      <c r="G12" s="297">
        <f>'Prod. GEXFLO'!D10</f>
        <v>0</v>
      </c>
      <c r="H12" s="296">
        <f>'GEXFLO Limp.Ord.'!L155</f>
        <v>2.1738278899703576</v>
      </c>
      <c r="I12" s="292">
        <f>'Prod. GEXFLO'!E10</f>
        <v>0</v>
      </c>
      <c r="J12" s="294">
        <f>'GEXFLO Limp.Ord.'!L161</f>
        <v>3.6230464832839289</v>
      </c>
      <c r="K12" s="292">
        <f>'Prod. GEXFLO'!F10</f>
        <v>20.97</v>
      </c>
      <c r="L12" s="294">
        <f>'GEXFLO Limp.Ord.'!L167</f>
        <v>18.115232416419648</v>
      </c>
      <c r="M12" s="292">
        <f>'Prod. GEXFLO'!G10</f>
        <v>16.059999999999999</v>
      </c>
      <c r="N12" s="294">
        <f>'GEXFLO Limp.Ord.'!L173</f>
        <v>2.0128036018244049</v>
      </c>
      <c r="O12" s="292">
        <f>'Prod. GEXFLO'!H10</f>
        <v>0</v>
      </c>
      <c r="P12" s="294">
        <f>'GEXFLO Limp.Ord.'!L176</f>
        <v>5.4345697249258938E-2</v>
      </c>
      <c r="Q12" s="292">
        <f>'Prod. GEXFLO'!I10</f>
        <v>288.67</v>
      </c>
      <c r="R12" s="294">
        <f>'GEXFLO Limp.Ord.'!L179</f>
        <v>0.60384108054732155</v>
      </c>
      <c r="S12" s="292">
        <f>'Prod. GEXFLO'!J10</f>
        <v>0</v>
      </c>
      <c r="T12" s="296">
        <f>'GEXFLO Limp.Ord.'!L185</f>
        <v>0.30166314843544328</v>
      </c>
      <c r="U12" s="525">
        <v>60.2</v>
      </c>
      <c r="V12" s="296">
        <f>'GEXFLO Limp.Ord.'!L188</f>
        <v>1.2122482963442063</v>
      </c>
      <c r="W12" s="525">
        <v>60.2</v>
      </c>
      <c r="X12" s="296">
        <f>'GEXFLO Limp.Ord.'!L191</f>
        <v>1.2122482963442063</v>
      </c>
      <c r="Y12" s="167">
        <f t="shared" si="0"/>
        <v>3147.1484029325593</v>
      </c>
      <c r="Z12" s="350">
        <f>'Prod. GEXFLO'!Q10*'GEXFLO Covid'!C138</f>
        <v>5062.2175504637344</v>
      </c>
      <c r="AA12" s="347">
        <f>'Prod. GEXFLO'!R10*'GEXFLO Limp.Ord.'!C143</f>
        <v>142.60219646423562</v>
      </c>
      <c r="AB12" s="510">
        <f>'Prod. GEXFLO'!S10*'GEXFLO Covid'!C143</f>
        <v>151.86652651391202</v>
      </c>
      <c r="AC12" s="168"/>
    </row>
    <row r="13" spans="1:29" x14ac:dyDescent="0.2">
      <c r="A13" s="538" t="s">
        <v>109</v>
      </c>
      <c r="B13" s="538" t="s">
        <v>373</v>
      </c>
      <c r="C13" s="538" t="s">
        <v>374</v>
      </c>
      <c r="D13" s="269">
        <f>MC!C80/100</f>
        <v>0.05</v>
      </c>
      <c r="E13" s="569">
        <f>'Prod. GEXFLO'!C11</f>
        <v>271.87</v>
      </c>
      <c r="F13" s="296">
        <f>'GEXFLO Limp.Ord.'!L149</f>
        <v>5.9720546427757073</v>
      </c>
      <c r="G13" s="297">
        <f>'Prod. GEXFLO'!D11</f>
        <v>0</v>
      </c>
      <c r="H13" s="296">
        <f>'GEXFLO Limp.Ord.'!L155</f>
        <v>2.1738278899703576</v>
      </c>
      <c r="I13" s="292">
        <f>'Prod. GEXFLO'!E11</f>
        <v>0</v>
      </c>
      <c r="J13" s="294">
        <f>'GEXFLO Limp.Ord.'!L161</f>
        <v>3.6230464832839289</v>
      </c>
      <c r="K13" s="292">
        <f>'Prod. GEXFLO'!F11</f>
        <v>24.27</v>
      </c>
      <c r="L13" s="294">
        <f>'GEXFLO Limp.Ord.'!L167</f>
        <v>18.115232416419648</v>
      </c>
      <c r="M13" s="292">
        <f>'Prod. GEXFLO'!G11</f>
        <v>185.97</v>
      </c>
      <c r="N13" s="294">
        <f>'GEXFLO Limp.Ord.'!L173</f>
        <v>2.0128036018244049</v>
      </c>
      <c r="O13" s="292">
        <f>'Prod. GEXFLO'!H11</f>
        <v>405.01</v>
      </c>
      <c r="P13" s="294">
        <f>'GEXFLO Limp.Ord.'!L176</f>
        <v>5.4345697249258938E-2</v>
      </c>
      <c r="Q13" s="292">
        <f>'Prod. GEXFLO'!I11</f>
        <v>68.08</v>
      </c>
      <c r="R13" s="294">
        <f>'GEXFLO Limp.Ord.'!L179</f>
        <v>0.60384108054732155</v>
      </c>
      <c r="S13" s="292">
        <f>'Prod. GEXFLO'!J11</f>
        <v>0</v>
      </c>
      <c r="T13" s="296">
        <f>'GEXFLO Limp.Ord.'!L185</f>
        <v>0.30166314843544328</v>
      </c>
      <c r="U13" s="525">
        <v>80.489999999999995</v>
      </c>
      <c r="V13" s="296">
        <f>'GEXFLO Limp.Ord.'!L188</f>
        <v>1.2122482963442063</v>
      </c>
      <c r="W13" s="525">
        <v>80.489999999999995</v>
      </c>
      <c r="X13" s="296">
        <f>'GEXFLO Limp.Ord.'!L191</f>
        <v>1.2122482963442063</v>
      </c>
      <c r="Y13" s="167">
        <f t="shared" si="0"/>
        <v>2695.8680546612959</v>
      </c>
      <c r="Z13" s="350">
        <f>'Prod. GEXFLO'!Q11*'GEXFLO Covid'!C138</f>
        <v>5062.2175504637344</v>
      </c>
      <c r="AA13" s="347">
        <f>'Prod. GEXFLO'!R11*'GEXFLO Limp.Ord.'!C143</f>
        <v>142.60219646423562</v>
      </c>
      <c r="AB13" s="510">
        <f>'Prod. GEXFLO'!S11*'GEXFLO Covid'!C143</f>
        <v>151.86652651391202</v>
      </c>
      <c r="AC13" s="168"/>
    </row>
    <row r="14" spans="1:29" x14ac:dyDescent="0.2">
      <c r="A14" s="538" t="s">
        <v>112</v>
      </c>
      <c r="B14" s="538" t="s">
        <v>375</v>
      </c>
      <c r="C14" s="538" t="s">
        <v>376</v>
      </c>
      <c r="D14" s="269">
        <f>MC!C81/100</f>
        <v>0.02</v>
      </c>
      <c r="E14" s="569">
        <f>'Prod. GEXFLO'!C12</f>
        <v>1117.1300000000001</v>
      </c>
      <c r="F14" s="296">
        <f>'GEXFLO Limp.Ord.'!D149</f>
        <v>5.7778278467866526</v>
      </c>
      <c r="G14" s="297">
        <f>'Prod. GEXFLO'!D12</f>
        <v>716.73</v>
      </c>
      <c r="H14" s="296">
        <f>'GEXFLO Limp.Ord.'!D155</f>
        <v>2.1031293362303418</v>
      </c>
      <c r="I14" s="292">
        <f>'Prod. GEXFLO'!E12</f>
        <v>836.34</v>
      </c>
      <c r="J14" s="294">
        <f>'GEXFLO Limp.Ord.'!D161</f>
        <v>3.505215560383903</v>
      </c>
      <c r="K14" s="292">
        <f>'Prod. GEXFLO'!F12</f>
        <v>92.57</v>
      </c>
      <c r="L14" s="294">
        <f>'GEXFLO Limp.Ord.'!D167</f>
        <v>17.526077801919516</v>
      </c>
      <c r="M14" s="292">
        <f>'Prod. GEXFLO'!G12</f>
        <v>933.08</v>
      </c>
      <c r="N14" s="294">
        <f>'GEXFLO Limp.Ord.'!D173</f>
        <v>1.947341977991057</v>
      </c>
      <c r="O14" s="292">
        <f>'Prod. GEXFLO'!H12</f>
        <v>0</v>
      </c>
      <c r="P14" s="294">
        <f>'GEXFLO Limp.Ord.'!D176</f>
        <v>5.2578233405758547E-2</v>
      </c>
      <c r="Q14" s="292">
        <f>'Prod. GEXFLO'!I12</f>
        <v>65.150000000000006</v>
      </c>
      <c r="R14" s="294">
        <f>'GEXFLO Limp.Ord.'!D179</f>
        <v>0.58420259339731717</v>
      </c>
      <c r="S14" s="292">
        <f>'Prod. GEXFLO'!J12</f>
        <v>0</v>
      </c>
      <c r="T14" s="296">
        <f>'GEXFLO Limp.Ord.'!D185</f>
        <v>0.29361830439542008</v>
      </c>
      <c r="U14" s="525">
        <v>708.7</v>
      </c>
      <c r="V14" s="296">
        <f>'GEXFLO Limp.Ord.'!D188</f>
        <v>1.1728228194144288</v>
      </c>
      <c r="W14" s="525">
        <v>708.7</v>
      </c>
      <c r="X14" s="296">
        <f>'GEXFLO Limp.Ord.'!D191</f>
        <v>1.1728228194144288</v>
      </c>
      <c r="Y14" s="167">
        <f t="shared" si="0"/>
        <v>16033.347431554052</v>
      </c>
      <c r="Z14" s="350">
        <f>'Prod. GEXFLO'!Q12*'GEXFLO Covid'!C134</f>
        <v>4891.1003374903121</v>
      </c>
      <c r="AA14" s="347">
        <f>'Prod. GEXFLO'!R12*'GEXFLO Limp.Ord.'!C139</f>
        <v>137.78184052741636</v>
      </c>
      <c r="AB14" s="510">
        <f>'Prod. GEXFLO'!S12*'GEXFLO Covid'!C139</f>
        <v>146.73301012470935</v>
      </c>
      <c r="AC14" s="168"/>
    </row>
    <row r="15" spans="1:29" x14ac:dyDescent="0.2">
      <c r="A15" s="538" t="s">
        <v>115</v>
      </c>
      <c r="B15" s="538" t="s">
        <v>377</v>
      </c>
      <c r="C15" s="538" t="s">
        <v>378</v>
      </c>
      <c r="D15" s="269">
        <f>MC!C82/100</f>
        <v>0.02</v>
      </c>
      <c r="E15" s="569">
        <f>'Prod. GEXFLO'!C13</f>
        <v>416.25</v>
      </c>
      <c r="F15" s="296">
        <f>'GEXFLO Limp.Ord.'!D149</f>
        <v>5.7778278467866526</v>
      </c>
      <c r="G15" s="297">
        <f>'Prod. GEXFLO'!D13</f>
        <v>0</v>
      </c>
      <c r="H15" s="296">
        <f>'GEXFLO Limp.Ord.'!D155</f>
        <v>2.1031293362303418</v>
      </c>
      <c r="I15" s="292">
        <f>'Prod. GEXFLO'!E13</f>
        <v>0</v>
      </c>
      <c r="J15" s="294">
        <f>'GEXFLO Limp.Ord.'!D161</f>
        <v>3.505215560383903</v>
      </c>
      <c r="K15" s="292">
        <f>'Prod. GEXFLO'!F13</f>
        <v>31.62</v>
      </c>
      <c r="L15" s="294">
        <f>'GEXFLO Limp.Ord.'!D167</f>
        <v>17.526077801919516</v>
      </c>
      <c r="M15" s="292">
        <f>'Prod. GEXFLO'!G13</f>
        <v>51.62</v>
      </c>
      <c r="N15" s="294">
        <f>'GEXFLO Limp.Ord.'!D173</f>
        <v>1.947341977991057</v>
      </c>
      <c r="O15" s="292">
        <f>'Prod. GEXFLO'!H13</f>
        <v>19.53</v>
      </c>
      <c r="P15" s="294">
        <f>'GEXFLO Limp.Ord.'!D176</f>
        <v>5.2578233405758547E-2</v>
      </c>
      <c r="Q15" s="292">
        <f>'Prod. GEXFLO'!I13</f>
        <v>98.69</v>
      </c>
      <c r="R15" s="294">
        <f>'GEXFLO Limp.Ord.'!D179</f>
        <v>0.58420259339731717</v>
      </c>
      <c r="S15" s="292">
        <f>'Prod. GEXFLO'!J13</f>
        <v>0</v>
      </c>
      <c r="T15" s="296">
        <f>'GEXFLO Limp.Ord.'!D185</f>
        <v>0.29361830439542008</v>
      </c>
      <c r="U15" s="525">
        <v>92.29</v>
      </c>
      <c r="V15" s="296">
        <f>'GEXFLO Limp.Ord.'!D188</f>
        <v>1.1728228194144288</v>
      </c>
      <c r="W15" s="525">
        <v>92.29</v>
      </c>
      <c r="X15" s="296">
        <f>'GEXFLO Limp.Ord.'!D191</f>
        <v>1.1728228194144288</v>
      </c>
      <c r="Y15" s="167">
        <f t="shared" si="0"/>
        <v>3334.8786570738484</v>
      </c>
      <c r="Z15" s="350">
        <f>'Prod. GEXFLO'!Q13*'GEXFLO Covid'!C134</f>
        <v>4891.1003374903121</v>
      </c>
      <c r="AA15" s="347">
        <f>'Prod. GEXFLO'!R13*'GEXFLO Limp.Ord.'!C139</f>
        <v>137.78184052741636</v>
      </c>
      <c r="AB15" s="510">
        <f>'Prod. GEXFLO'!S13*'GEXFLO Covid'!C139</f>
        <v>146.73301012470935</v>
      </c>
      <c r="AC15" s="168"/>
    </row>
    <row r="16" spans="1:29" x14ac:dyDescent="0.2">
      <c r="A16" s="538" t="s">
        <v>118</v>
      </c>
      <c r="B16" s="538" t="s">
        <v>379</v>
      </c>
      <c r="C16" s="538" t="s">
        <v>380</v>
      </c>
      <c r="D16" s="269">
        <f>MC!C83/100</f>
        <v>0.03</v>
      </c>
      <c r="E16" s="569">
        <f>'Prod. GEXFLO'!C14</f>
        <v>257.49</v>
      </c>
      <c r="F16" s="296">
        <f>'GEXFLO Limp.Ord.'!H149</f>
        <v>5.8410945049293357</v>
      </c>
      <c r="G16" s="297">
        <f>'Prod. GEXFLO'!D14</f>
        <v>0</v>
      </c>
      <c r="H16" s="296">
        <f>'GEXFLO Limp.Ord.'!H155</f>
        <v>2.1261583997942783</v>
      </c>
      <c r="I16" s="292">
        <f>'Prod. GEXFLO'!E14</f>
        <v>0</v>
      </c>
      <c r="J16" s="294">
        <f>'GEXFLO Limp.Ord.'!H161</f>
        <v>3.5435973329904638</v>
      </c>
      <c r="K16" s="292">
        <f>'Prod. GEXFLO'!F14</f>
        <v>15.68</v>
      </c>
      <c r="L16" s="294">
        <f>'GEXFLO Limp.Ord.'!H167</f>
        <v>17.717986664952321</v>
      </c>
      <c r="M16" s="292">
        <f>'Prod. GEXFLO'!G14</f>
        <v>128.9</v>
      </c>
      <c r="N16" s="294">
        <f>'GEXFLO Limp.Ord.'!H173</f>
        <v>1.9686651849947021</v>
      </c>
      <c r="O16" s="292">
        <f>'Prod. GEXFLO'!H14</f>
        <v>839.45</v>
      </c>
      <c r="P16" s="294">
        <f>'GEXFLO Limp.Ord.'!H176</f>
        <v>5.3153959994856961E-2</v>
      </c>
      <c r="Q16" s="292">
        <f>'Prod. GEXFLO'!I14</f>
        <v>209.78</v>
      </c>
      <c r="R16" s="294">
        <f>'GEXFLO Limp.Ord.'!H179</f>
        <v>0.5905995554984107</v>
      </c>
      <c r="S16" s="292">
        <f>'Prod. GEXFLO'!J14</f>
        <v>0</v>
      </c>
      <c r="T16" s="296">
        <f>'GEXFLO Limp.Ord.'!H185</f>
        <v>0.29623879965252164</v>
      </c>
      <c r="U16" s="525">
        <v>96.6</v>
      </c>
      <c r="V16" s="296">
        <f>'GEXFLO Limp.Ord.'!H188</f>
        <v>1.1856651162680978</v>
      </c>
      <c r="W16" s="525">
        <v>96.6</v>
      </c>
      <c r="X16" s="296">
        <f>'GEXFLO Limp.Ord.'!H191</f>
        <v>1.1859284364039964</v>
      </c>
      <c r="Y16" s="167">
        <f t="shared" si="0"/>
        <v>2433.2144009847875</v>
      </c>
      <c r="Z16" s="350">
        <f>'Prod. GEXFLO'!P14*'GEXFLO Covid'!D136</f>
        <v>4170.0255460893977</v>
      </c>
      <c r="AA16" s="347">
        <f>'Prod. GEXFLO'!R14*'GEXFLO Limp.Ord.'!C141</f>
        <v>139.35200395223021</v>
      </c>
      <c r="AB16" s="510">
        <f>'Prod. GEXFLO'!S14*'GEXFLO Covid'!C141</f>
        <v>148.40518118026162</v>
      </c>
      <c r="AC16" s="168"/>
    </row>
    <row r="17" spans="1:1015" x14ac:dyDescent="0.2">
      <c r="A17" s="538" t="s">
        <v>121</v>
      </c>
      <c r="B17" s="538" t="s">
        <v>381</v>
      </c>
      <c r="C17" s="538" t="s">
        <v>382</v>
      </c>
      <c r="D17" s="269">
        <f>MC!C84/100</f>
        <v>2.5000000000000001E-2</v>
      </c>
      <c r="E17" s="569">
        <f>'Prod. GEXFLO'!C15</f>
        <v>422.67</v>
      </c>
      <c r="F17" s="296">
        <f>'GEXFLO Limp.Ord.'!F149</f>
        <v>5.8092819501975335</v>
      </c>
      <c r="G17" s="297">
        <f>'Prod. GEXFLO'!D15</f>
        <v>0</v>
      </c>
      <c r="H17" s="296">
        <f>'GEXFLO Limp.Ord.'!F155</f>
        <v>2.1145786298719025</v>
      </c>
      <c r="I17" s="292">
        <f>'Prod. GEXFLO'!E15</f>
        <v>0</v>
      </c>
      <c r="J17" s="294">
        <f>'GEXFLO Limp.Ord.'!F161</f>
        <v>3.5242977164531704</v>
      </c>
      <c r="K17" s="292">
        <f>'Prod. GEXFLO'!F15</f>
        <v>37.200000000000003</v>
      </c>
      <c r="L17" s="294">
        <f>'GEXFLO Limp.Ord.'!F167</f>
        <v>17.621488582265854</v>
      </c>
      <c r="M17" s="292">
        <f>'Prod. GEXFLO'!G15</f>
        <v>140.88</v>
      </c>
      <c r="N17" s="294">
        <f>'GEXFLO Limp.Ord.'!F173</f>
        <v>1.9579431758073169</v>
      </c>
      <c r="O17" s="292">
        <f>'Prod. GEXFLO'!H15</f>
        <v>403.92</v>
      </c>
      <c r="P17" s="294">
        <f>'GEXFLO Limp.Ord.'!F176</f>
        <v>5.2864465746797561E-2</v>
      </c>
      <c r="Q17" s="292">
        <f>'Prod. GEXFLO'!I15</f>
        <v>107.09</v>
      </c>
      <c r="R17" s="294">
        <f>'GEXFLO Limp.Ord.'!F179</f>
        <v>0.5873829527421951</v>
      </c>
      <c r="S17" s="292">
        <f>'Prod. GEXFLO'!J15</f>
        <v>0</v>
      </c>
      <c r="T17" s="296">
        <f>'GEXFLO Limp.Ord.'!F185</f>
        <v>0.29492112852465896</v>
      </c>
      <c r="U17" s="525">
        <v>124.1</v>
      </c>
      <c r="V17" s="296">
        <f>'GEXFLO Limp.Ord.'!F188</f>
        <v>1.1792075873969186</v>
      </c>
      <c r="W17" s="525">
        <v>124.1</v>
      </c>
      <c r="X17" s="296">
        <f>'GEXFLO Limp.Ord.'!F191</f>
        <v>1.1792075873969186</v>
      </c>
      <c r="Y17" s="167">
        <f t="shared" si="0"/>
        <v>3763.6987903635404</v>
      </c>
      <c r="Z17" s="350">
        <f>'Prod. GEXFLO'!Q15*'GEXFLO Covid'!C135</f>
        <v>4918.8119541333172</v>
      </c>
      <c r="AA17" s="347">
        <f>'Prod. GEXFLO'!R15*'GEXFLO Limp.Ord.'!C140</f>
        <v>138.56247418479549</v>
      </c>
      <c r="AB17" s="510">
        <f>'Prod. GEXFLO'!S15*'GEXFLO Covid'!C140</f>
        <v>147.56435862399951</v>
      </c>
      <c r="AC17" s="168"/>
    </row>
    <row r="18" spans="1:1015" x14ac:dyDescent="0.2">
      <c r="A18" s="538" t="s">
        <v>124</v>
      </c>
      <c r="B18" s="538" t="s">
        <v>383</v>
      </c>
      <c r="C18" s="538" t="s">
        <v>384</v>
      </c>
      <c r="D18" s="269">
        <f>MC!C85/100</f>
        <v>0.02</v>
      </c>
      <c r="E18" s="569">
        <f>'Prod. GEXFLO'!C16</f>
        <v>279.19</v>
      </c>
      <c r="F18" s="296">
        <f>'GEXFLO Limp.Ord.'!D149</f>
        <v>5.7778278467866526</v>
      </c>
      <c r="G18" s="297">
        <f>'Prod. GEXFLO'!D16</f>
        <v>0</v>
      </c>
      <c r="H18" s="296">
        <f>'GEXFLO Limp.Ord.'!D155</f>
        <v>2.1031293362303418</v>
      </c>
      <c r="I18" s="292">
        <f>'Prod. GEXFLO'!E16</f>
        <v>0</v>
      </c>
      <c r="J18" s="294">
        <f>'GEXFLO Limp.Ord.'!D161</f>
        <v>3.505215560383903</v>
      </c>
      <c r="K18" s="292">
        <f>'Prod. GEXFLO'!F16</f>
        <v>17.87</v>
      </c>
      <c r="L18" s="294">
        <f>'GEXFLO Limp.Ord.'!D167</f>
        <v>17.526077801919516</v>
      </c>
      <c r="M18" s="292">
        <f>'Prod. GEXFLO'!G16</f>
        <v>122.92</v>
      </c>
      <c r="N18" s="294">
        <f>'GEXFLO Limp.Ord.'!D173</f>
        <v>1.947341977991057</v>
      </c>
      <c r="O18" s="292">
        <f>'Prod. GEXFLO'!H16</f>
        <v>152.91999999999999</v>
      </c>
      <c r="P18" s="294">
        <f>'GEXFLO Limp.Ord.'!D176</f>
        <v>5.2578233405758547E-2</v>
      </c>
      <c r="Q18" s="292">
        <f>'Prod. GEXFLO'!I16</f>
        <v>22.01</v>
      </c>
      <c r="R18" s="294">
        <f>'GEXFLO Limp.Ord.'!D179</f>
        <v>0.58420259339731717</v>
      </c>
      <c r="S18" s="292">
        <f>'Prod. GEXFLO'!J16</f>
        <v>0</v>
      </c>
      <c r="T18" s="296">
        <f>'GEXFLO Limp.Ord.'!D185</f>
        <v>0.29361830439542008</v>
      </c>
      <c r="U18" s="525">
        <v>93.78</v>
      </c>
      <c r="V18" s="296">
        <f>'GEXFLO Limp.Ord.'!D188</f>
        <v>1.1728228194144288</v>
      </c>
      <c r="W18" s="525">
        <v>93.78</v>
      </c>
      <c r="X18" s="296">
        <f>'GEXFLO Limp.Ord.'!D191</f>
        <v>1.1728228194144288</v>
      </c>
      <c r="Y18" s="167">
        <f t="shared" si="0"/>
        <v>2406.5432533417816</v>
      </c>
      <c r="Z18" s="350">
        <f>'Prod. GEXFLO'!P16*'GEXFLO Covid'!D134</f>
        <v>4123.039342753179</v>
      </c>
      <c r="AA18" s="347">
        <f>'Prod. GEXFLO'!R16*'GEXFLO Limp.Ord.'!C139</f>
        <v>137.78184052741636</v>
      </c>
      <c r="AB18" s="510">
        <f>'Prod. GEXFLO'!S16*'GEXFLO Covid'!C139</f>
        <v>146.73301012470935</v>
      </c>
      <c r="AC18" s="168"/>
    </row>
    <row r="19" spans="1:1015" x14ac:dyDescent="0.2">
      <c r="A19" s="538" t="s">
        <v>125</v>
      </c>
      <c r="B19" s="538" t="s">
        <v>385</v>
      </c>
      <c r="C19" s="538" t="s">
        <v>378</v>
      </c>
      <c r="D19" s="269">
        <f>MC!C86/100</f>
        <v>0.02</v>
      </c>
      <c r="E19" s="569">
        <f>'Prod. GEXFLO'!C17</f>
        <v>0</v>
      </c>
      <c r="F19" s="296">
        <f>'GEXFLO Limp.Ord.'!D149</f>
        <v>5.7778278467866526</v>
      </c>
      <c r="G19" s="297">
        <f>'Prod. GEXFLO'!D17</f>
        <v>225.95</v>
      </c>
      <c r="H19" s="296">
        <f>'GEXFLO Limp.Ord.'!D155</f>
        <v>2.1031293362303418</v>
      </c>
      <c r="I19" s="292">
        <f>'Prod. GEXFLO'!E17</f>
        <v>0</v>
      </c>
      <c r="J19" s="294">
        <f>'GEXFLO Limp.Ord.'!D161</f>
        <v>3.505215560383903</v>
      </c>
      <c r="K19" s="292">
        <f>'Prod. GEXFLO'!F17</f>
        <v>20.05</v>
      </c>
      <c r="L19" s="294">
        <f>'GEXFLO Limp.Ord.'!D167</f>
        <v>17.526077801919516</v>
      </c>
      <c r="M19" s="292">
        <f>'Prod. GEXFLO'!G17</f>
        <v>234.3</v>
      </c>
      <c r="N19" s="294">
        <f>'GEXFLO Limp.Ord.'!D173</f>
        <v>1.947341977991057</v>
      </c>
      <c r="O19" s="292">
        <f>'Prod. GEXFLO'!H17</f>
        <v>171.14</v>
      </c>
      <c r="P19" s="294">
        <f>'GEXFLO Limp.Ord.'!D176</f>
        <v>5.2578233405758547E-2</v>
      </c>
      <c r="Q19" s="292">
        <f>'Prod. GEXFLO'!I17</f>
        <v>63.6</v>
      </c>
      <c r="R19" s="294">
        <f>'GEXFLO Limp.Ord.'!D179</f>
        <v>0.58420259339731717</v>
      </c>
      <c r="S19" s="292">
        <f>'Prod. GEXFLO'!J17</f>
        <v>0</v>
      </c>
      <c r="T19" s="296">
        <f>'GEXFLO Limp.Ord.'!D185</f>
        <v>0.29361830439542008</v>
      </c>
      <c r="U19" s="525">
        <v>62.59</v>
      </c>
      <c r="V19" s="296">
        <f>'GEXFLO Limp.Ord.'!D188</f>
        <v>1.1728228194144288</v>
      </c>
      <c r="W19" s="525">
        <v>62.59</v>
      </c>
      <c r="X19" s="296">
        <f>'GEXFLO Limp.Ord.'!D191</f>
        <v>1.1728228194144288</v>
      </c>
      <c r="Y19" s="167">
        <f t="shared" si="0"/>
        <v>1475.8296432324655</v>
      </c>
      <c r="Z19" s="350"/>
      <c r="AA19" s="347">
        <f>'Prod. GEXFLO'!R17*'GEXFLO Limp.Ord.'!C139</f>
        <v>137.78184052741636</v>
      </c>
      <c r="AB19" s="510">
        <f>'Prod. GEXFLO'!S17*'GEXFLO Covid'!C139</f>
        <v>146.73301012470935</v>
      </c>
      <c r="AC19" s="168"/>
    </row>
    <row r="20" spans="1:1015" x14ac:dyDescent="0.2">
      <c r="A20" s="538" t="s">
        <v>126</v>
      </c>
      <c r="B20" s="538" t="s">
        <v>386</v>
      </c>
      <c r="C20" s="538" t="s">
        <v>363</v>
      </c>
      <c r="D20" s="269">
        <f>MC!C87/100</f>
        <v>2.5000000000000001E-2</v>
      </c>
      <c r="E20" s="569">
        <f>'Prod. GEXFLO'!C18</f>
        <v>1330.2</v>
      </c>
      <c r="F20" s="296">
        <f>'GEXFLO Limp.Ord.'!F149</f>
        <v>5.8092819501975335</v>
      </c>
      <c r="G20" s="297">
        <f>'Prod. GEXFLO'!D18</f>
        <v>2736.12</v>
      </c>
      <c r="H20" s="296">
        <f>'GEXFLO Limp.Ord.'!F155</f>
        <v>2.1145786298719025</v>
      </c>
      <c r="I20" s="292">
        <f>'Prod. GEXFLO'!E18</f>
        <v>0</v>
      </c>
      <c r="J20" s="294">
        <f>'GEXFLO Limp.Ord.'!F161</f>
        <v>3.5242977164531704</v>
      </c>
      <c r="K20" s="292">
        <f>'Prod. GEXFLO'!F18</f>
        <v>27.05</v>
      </c>
      <c r="L20" s="294">
        <f>'GEXFLO Limp.Ord.'!F167</f>
        <v>17.621488582265854</v>
      </c>
      <c r="M20" s="292">
        <f>'Prod. GEXFLO'!G18</f>
        <v>0</v>
      </c>
      <c r="N20" s="294">
        <f>'GEXFLO Limp.Ord.'!F173</f>
        <v>1.9579431758073169</v>
      </c>
      <c r="O20" s="292">
        <f>'Prod. GEXFLO'!H18</f>
        <v>1567.93</v>
      </c>
      <c r="P20" s="294">
        <f>'GEXFLO Limp.Ord.'!F176</f>
        <v>5.2864465746797561E-2</v>
      </c>
      <c r="Q20" s="292">
        <f>'Prod. GEXFLO'!I18</f>
        <v>1405.98</v>
      </c>
      <c r="R20" s="294">
        <f>'GEXFLO Limp.Ord.'!F179</f>
        <v>0.5873829527421951</v>
      </c>
      <c r="S20" s="292">
        <f>'Prod. GEXFLO'!J18</f>
        <v>0</v>
      </c>
      <c r="T20" s="296">
        <f>'GEXFLO Limp.Ord.'!F185</f>
        <v>0.29492112852465896</v>
      </c>
      <c r="U20" s="525">
        <v>92.13</v>
      </c>
      <c r="V20" s="296">
        <f>'GEXFLO Limp.Ord.'!F188</f>
        <v>1.1792075873969186</v>
      </c>
      <c r="W20" s="525">
        <v>92.13</v>
      </c>
      <c r="X20" s="296">
        <f>'GEXFLO Limp.Ord.'!F191</f>
        <v>1.1792075873969186</v>
      </c>
      <c r="Y20" s="167">
        <f t="shared" si="0"/>
        <v>15115.926252796762</v>
      </c>
      <c r="Z20" s="350"/>
      <c r="AA20" s="347">
        <f>'Prod. GEXFLO'!R18*'GEXFLO Limp.Ord.'!C140</f>
        <v>138.56247418479549</v>
      </c>
      <c r="AB20" s="510">
        <f>'Prod. GEXFLO'!S18*'GEXFLO Covid'!C140</f>
        <v>147.56435862399951</v>
      </c>
      <c r="AC20" s="168"/>
    </row>
    <row r="21" spans="1:1015" x14ac:dyDescent="0.2">
      <c r="A21" s="538" t="s">
        <v>127</v>
      </c>
      <c r="B21" s="538" t="s">
        <v>387</v>
      </c>
      <c r="C21" s="538" t="s">
        <v>363</v>
      </c>
      <c r="D21" s="269">
        <f>MC!C88/100</f>
        <v>2.5000000000000001E-2</v>
      </c>
      <c r="E21" s="569">
        <f>'Prod. GEXFLO'!C19</f>
        <v>182.51</v>
      </c>
      <c r="F21" s="296">
        <f>'GEXFLO Limp.Ord.'!F149</f>
        <v>5.8092819501975335</v>
      </c>
      <c r="G21" s="297">
        <f>'Prod. GEXFLO'!D19</f>
        <v>0</v>
      </c>
      <c r="H21" s="296">
        <f>'GEXFLO Limp.Ord.'!F155</f>
        <v>2.1145786298719025</v>
      </c>
      <c r="I21" s="292">
        <f>'Prod. GEXFLO'!E19</f>
        <v>0</v>
      </c>
      <c r="J21" s="294">
        <f>'GEXFLO Limp.Ord.'!F161</f>
        <v>3.5242977164531704</v>
      </c>
      <c r="K21" s="292">
        <f>'Prod. GEXFLO'!F19</f>
        <v>19.2</v>
      </c>
      <c r="L21" s="294">
        <f>'GEXFLO Limp.Ord.'!F167</f>
        <v>17.621488582265854</v>
      </c>
      <c r="M21" s="292">
        <f>'Prod. GEXFLO'!G19</f>
        <v>0</v>
      </c>
      <c r="N21" s="294">
        <f>'GEXFLO Limp.Ord.'!F173</f>
        <v>1.9579431758073169</v>
      </c>
      <c r="O21" s="292">
        <f>'Prod. GEXFLO'!H19</f>
        <v>0</v>
      </c>
      <c r="P21" s="294">
        <f>'GEXFLO Limp.Ord.'!F176</f>
        <v>5.2864465746797561E-2</v>
      </c>
      <c r="Q21" s="292">
        <f>'Prod. GEXFLO'!I19</f>
        <v>0</v>
      </c>
      <c r="R21" s="294">
        <f>'GEXFLO Limp.Ord.'!F179</f>
        <v>0.5873829527421951</v>
      </c>
      <c r="S21" s="292">
        <f>'Prod. GEXFLO'!J19</f>
        <v>0</v>
      </c>
      <c r="T21" s="296">
        <f>'GEXFLO Limp.Ord.'!F185</f>
        <v>0.29492112852465896</v>
      </c>
      <c r="U21" s="525">
        <v>57.29</v>
      </c>
      <c r="V21" s="296">
        <f>'GEXFLO Limp.Ord.'!F188</f>
        <v>1.1792075873969186</v>
      </c>
      <c r="W21" s="525">
        <v>57.29</v>
      </c>
      <c r="X21" s="296">
        <f>'GEXFLO Limp.Ord.'!F191</f>
        <v>1.1792075873969186</v>
      </c>
      <c r="Y21" s="167">
        <f t="shared" si="0"/>
        <v>1533.6982348739948</v>
      </c>
      <c r="Z21" s="350"/>
      <c r="AA21" s="347">
        <f>'Prod. GEXFLO'!R19*'GEXFLO Limp.Ord.'!C140</f>
        <v>138.56247418479549</v>
      </c>
      <c r="AB21" s="510">
        <f>'Prod. GEXFLO'!S19*'GEXFLO Covid'!C140</f>
        <v>147.56435862399951</v>
      </c>
      <c r="AC21" s="168"/>
    </row>
    <row r="22" spans="1:1015" x14ac:dyDescent="0.2">
      <c r="A22" s="538" t="s">
        <v>128</v>
      </c>
      <c r="B22" s="538" t="s">
        <v>388</v>
      </c>
      <c r="C22" s="538" t="s">
        <v>363</v>
      </c>
      <c r="D22" s="269">
        <f>MC!C89/100</f>
        <v>2.5000000000000001E-2</v>
      </c>
      <c r="E22" s="569">
        <f>'Prod. GEXFLO'!C20</f>
        <v>1068.8800000000001</v>
      </c>
      <c r="F22" s="296">
        <f>'GEXFLO Limp.Ord.'!F149</f>
        <v>5.8092819501975335</v>
      </c>
      <c r="G22" s="297">
        <f>'Prod. GEXFLO'!D20</f>
        <v>0</v>
      </c>
      <c r="H22" s="296">
        <f>'GEXFLO Limp.Ord.'!H155</f>
        <v>2.1261583997942783</v>
      </c>
      <c r="I22" s="292">
        <f>'Prod. GEXFLO'!E20</f>
        <v>753.45</v>
      </c>
      <c r="J22" s="294">
        <f>'GEXFLO Limp.Ord.'!F161</f>
        <v>3.5242977164531704</v>
      </c>
      <c r="K22" s="292">
        <f>'Prod. GEXFLO'!F20</f>
        <v>65.28</v>
      </c>
      <c r="L22" s="294">
        <f>'GEXFLO Limp.Ord.'!F167</f>
        <v>17.621488582265854</v>
      </c>
      <c r="M22" s="292">
        <f>'Prod. GEXFLO'!G20</f>
        <v>0</v>
      </c>
      <c r="N22" s="294">
        <f>'GEXFLO Limp.Ord.'!F173</f>
        <v>1.9579431758073169</v>
      </c>
      <c r="O22" s="292">
        <f>'Prod. GEXFLO'!H20</f>
        <v>0</v>
      </c>
      <c r="P22" s="294">
        <f>'GEXFLO Limp.Ord.'!F176</f>
        <v>5.2864465746797561E-2</v>
      </c>
      <c r="Q22" s="292">
        <f>'Prod. GEXFLO'!I20</f>
        <v>0</v>
      </c>
      <c r="R22" s="294">
        <f>'GEXFLO Limp.Ord.'!F179</f>
        <v>0.5873829527421951</v>
      </c>
      <c r="S22" s="292">
        <f>'Prod. GEXFLO'!J20</f>
        <v>0</v>
      </c>
      <c r="T22" s="296">
        <f>'GEXFLO Limp.Ord.'!F185</f>
        <v>0.29492112852465896</v>
      </c>
      <c r="U22" s="525">
        <v>137.63</v>
      </c>
      <c r="V22" s="296">
        <f>'GEXFLO Limp.Ord.'!F188</f>
        <v>1.1792075873969186</v>
      </c>
      <c r="W22" s="525">
        <v>326.57</v>
      </c>
      <c r="X22" s="296">
        <f>'GEXFLO Limp.Ord.'!F191</f>
        <v>1.1792075873969186</v>
      </c>
      <c r="Y22" s="167">
        <f t="shared" si="0"/>
        <v>10562.526342108746</v>
      </c>
      <c r="Z22" s="350">
        <f>'Prod. GEXFLO'!Q20*'GEXFLO Covid'!C135</f>
        <v>14756.435862399951</v>
      </c>
      <c r="AA22" s="347">
        <f>'Prod. GEXFLO'!R20*'GEXFLO Limp.Ord.'!C140</f>
        <v>138.56247418479549</v>
      </c>
      <c r="AB22" s="510">
        <f>'Prod. GEXFLO'!S20*'GEXFLO Covid'!C140</f>
        <v>147.56435862399951</v>
      </c>
      <c r="AC22" s="168"/>
    </row>
    <row r="23" spans="1:1015" s="156" customFormat="1" ht="12.75" x14ac:dyDescent="0.2">
      <c r="A23" s="538" t="s">
        <v>129</v>
      </c>
      <c r="B23" s="538" t="s">
        <v>389</v>
      </c>
      <c r="C23" s="538" t="s">
        <v>363</v>
      </c>
      <c r="D23" s="269">
        <f>MC!C90/100</f>
        <v>2.5000000000000001E-2</v>
      </c>
      <c r="E23" s="570">
        <f>'Prod. GEXFLO'!C21</f>
        <v>3867.48</v>
      </c>
      <c r="F23" s="296">
        <f>'GEXFLO Limp.Ord.'!F149</f>
        <v>5.8092819501975335</v>
      </c>
      <c r="G23" s="297">
        <f>'Prod. GEXFLO'!D21</f>
        <v>0</v>
      </c>
      <c r="H23" s="296">
        <f>'GEXFLO Limp.Ord.'!H155</f>
        <v>2.1261583997942783</v>
      </c>
      <c r="I23" s="292">
        <f>'Prod. GEXFLO'!E21</f>
        <v>177.16</v>
      </c>
      <c r="J23" s="294">
        <f>'GEXFLO Limp.Ord.'!F161</f>
        <v>3.5242977164531704</v>
      </c>
      <c r="K23" s="292">
        <f>'Prod. GEXFLO'!F21</f>
        <v>133.13</v>
      </c>
      <c r="L23" s="294">
        <f>'GEXFLO Limp.Ord.'!F167</f>
        <v>17.621488582265854</v>
      </c>
      <c r="M23" s="292">
        <f>'Prod. GEXFLO'!G21</f>
        <v>312.32</v>
      </c>
      <c r="N23" s="294">
        <f>'GEXFLO Limp.Ord.'!F173</f>
        <v>1.9579431758073169</v>
      </c>
      <c r="O23" s="292">
        <f>'Prod. GEXFLO'!H21</f>
        <v>0</v>
      </c>
      <c r="P23" s="294">
        <f>'GEXFLO Limp.Ord.'!F176</f>
        <v>5.2864465746797561E-2</v>
      </c>
      <c r="Q23" s="292">
        <f>'Prod. GEXFLO'!I21</f>
        <v>300.82</v>
      </c>
      <c r="R23" s="294">
        <f>'GEXFLO Limp.Ord.'!F179</f>
        <v>0.5873829527421951</v>
      </c>
      <c r="S23" s="292">
        <f>'Prod. GEXFLO'!J21</f>
        <v>553.68000000000006</v>
      </c>
      <c r="T23" s="296">
        <f>'GEXFLO Limp.Ord.'!F185</f>
        <v>0.29492112852465896</v>
      </c>
      <c r="U23" s="525">
        <v>216.14</v>
      </c>
      <c r="V23" s="296">
        <f>'GEXFLO Limp.Ord.'!F188</f>
        <v>1.1792075873969186</v>
      </c>
      <c r="W23" s="525">
        <v>769.82</v>
      </c>
      <c r="X23" s="296">
        <f>'GEXFLO Limp.Ord.'!F191</f>
        <v>1.1792075873969186</v>
      </c>
      <c r="Y23" s="167">
        <f t="shared" si="0"/>
        <v>27551.7399109773</v>
      </c>
      <c r="Z23" s="350"/>
      <c r="AA23" s="347">
        <f>'Prod. GEXFLO'!R21*'GEXFLO Limp.Ord.'!C140</f>
        <v>138.56247418479549</v>
      </c>
      <c r="AB23" s="557">
        <f>'Prod. GEXFLO'!S21*'GEXFLO Covid'!C140</f>
        <v>147.56435862399951</v>
      </c>
      <c r="AC23" s="168"/>
      <c r="ALO23" s="169"/>
      <c r="ALP23" s="169"/>
      <c r="ALQ23" s="169"/>
      <c r="ALR23" s="169"/>
      <c r="ALS23" s="169"/>
      <c r="ALT23" s="169"/>
      <c r="ALU23" s="169"/>
      <c r="ALV23" s="169"/>
      <c r="ALW23" s="169"/>
      <c r="ALX23" s="169"/>
      <c r="ALY23" s="169"/>
      <c r="ALZ23" s="169"/>
      <c r="AMA23" s="169"/>
    </row>
    <row r="24" spans="1:1015" s="156" customFormat="1" ht="14.25" customHeight="1" x14ac:dyDescent="0.2">
      <c r="A24" s="978"/>
      <c r="B24" s="978"/>
      <c r="C24" s="978"/>
      <c r="D24" s="979"/>
      <c r="E24" s="591">
        <f>SUM(E6:E23)</f>
        <v>14340.399999999998</v>
      </c>
      <c r="F24" s="592"/>
      <c r="G24" s="593">
        <f>SUM(G6:G23)</f>
        <v>4412.04</v>
      </c>
      <c r="H24" s="594"/>
      <c r="I24" s="593">
        <f>SUM(I6:I23)</f>
        <v>4153.08</v>
      </c>
      <c r="J24" s="594"/>
      <c r="K24" s="593">
        <f>SUM(K6:K23)</f>
        <v>1004.73</v>
      </c>
      <c r="L24" s="594"/>
      <c r="M24" s="593">
        <f>SUM(M6:M23)</f>
        <v>4636.4799999999996</v>
      </c>
      <c r="N24" s="594"/>
      <c r="O24" s="593">
        <f>SUM(O6:O23)</f>
        <v>5294.1900000000005</v>
      </c>
      <c r="P24" s="594"/>
      <c r="Q24" s="593">
        <f>SUM(Q6:Q23)</f>
        <v>4281.1000000000004</v>
      </c>
      <c r="R24" s="594"/>
      <c r="S24" s="593">
        <f>SUM(S6:S23)</f>
        <v>1132.24</v>
      </c>
      <c r="T24" s="594"/>
      <c r="U24" s="593">
        <f>SUM(U6:U23)</f>
        <v>3134.8200000000006</v>
      </c>
      <c r="V24" s="594"/>
      <c r="W24" s="601">
        <f>SUM(W6:W23)</f>
        <v>4456</v>
      </c>
      <c r="X24" s="594"/>
      <c r="Y24" s="594">
        <f>SUM(Y6:Y23)</f>
        <v>146570.75527109447</v>
      </c>
      <c r="Z24" s="661">
        <f>SUM(Z6:Z23)</f>
        <v>66926.697379361169</v>
      </c>
      <c r="AA24" s="601">
        <f>SUM(AA6:AA23)</f>
        <v>2508.7399493494322</v>
      </c>
      <c r="AB24" s="647">
        <f>SUM(AB6:AB23)</f>
        <v>2671.7233779070048</v>
      </c>
      <c r="AC24" s="594">
        <f>SUM(AC6:AC23)</f>
        <v>4043.6000000000004</v>
      </c>
      <c r="AD24" s="643"/>
      <c r="ALO24" s="169"/>
      <c r="ALP24" s="169"/>
      <c r="ALQ24" s="169"/>
      <c r="ALR24" s="169"/>
      <c r="ALS24" s="169"/>
      <c r="ALT24" s="169"/>
      <c r="ALU24" s="169"/>
      <c r="ALV24" s="169"/>
      <c r="ALW24" s="169"/>
      <c r="ALX24" s="169"/>
      <c r="ALY24" s="169"/>
      <c r="ALZ24" s="169"/>
      <c r="AMA24" s="169"/>
    </row>
    <row r="25" spans="1:1015" s="156" customFormat="1" ht="12.75" x14ac:dyDescent="0.2">
      <c r="A25" s="648" t="str">
        <f>'Prod. GEXBLU'!A4</f>
        <v>GERÊNCIA EXECUTIVA BLUMENAU</v>
      </c>
      <c r="B25" s="649" t="s">
        <v>390</v>
      </c>
      <c r="C25" s="649" t="s">
        <v>391</v>
      </c>
      <c r="D25" s="650">
        <f>MC!I73/100</f>
        <v>0.03</v>
      </c>
      <c r="E25" s="773">
        <f>'Prod. GEXBLU'!C4</f>
        <v>1239.6099999999999</v>
      </c>
      <c r="F25" s="651">
        <f>'GEXBLU Limp.Ord. '!H156</f>
        <v>6.7821094859654822</v>
      </c>
      <c r="G25" s="773">
        <f>'Prod. GEXBLU'!D4</f>
        <v>45.94</v>
      </c>
      <c r="H25" s="652">
        <f>'GEXBLU Limp.Ord. '!H162</f>
        <v>3.6171250591815904</v>
      </c>
      <c r="I25" s="773">
        <f>'Prod. GEXBLU'!E4</f>
        <v>327</v>
      </c>
      <c r="J25" s="652">
        <f>'GEXBLU Limp.Ord. '!H168</f>
        <v>5.4256875887723854</v>
      </c>
      <c r="K25" s="773">
        <f>'Prod. GEXBLU'!F4</f>
        <v>78.7</v>
      </c>
      <c r="L25" s="653">
        <f>'GEXBLU Limp.Ord. '!H174</f>
        <v>27.128437943861929</v>
      </c>
      <c r="M25" s="773">
        <f>'Prod. GEXBLU'!G4</f>
        <v>0</v>
      </c>
      <c r="N25" s="652">
        <f>'GEXBLU Limp.Ord. '!H180</f>
        <v>3.0142708826513256</v>
      </c>
      <c r="O25" s="773">
        <f>'Prod. GEXBLU'!H4</f>
        <v>0</v>
      </c>
      <c r="P25" s="652">
        <f>'GEXBLU Limp.Ord. '!H183</f>
        <v>5.4256875887723863E-2</v>
      </c>
      <c r="Q25" s="773">
        <f>'Prod. GEXBLU'!I4</f>
        <v>0</v>
      </c>
      <c r="R25" s="652">
        <f>'GEXBLU Limp.Ord. '!H186</f>
        <v>0.90428126479539761</v>
      </c>
      <c r="S25" s="654">
        <f>'Prod. GEXBLU'!J4</f>
        <v>0</v>
      </c>
      <c r="T25" s="652"/>
      <c r="U25" s="773">
        <f>'Prod. GEXBLU'!K4</f>
        <v>0</v>
      </c>
      <c r="V25" s="652">
        <f>'GEXBLU Limp.Ord. '!H195</f>
        <v>1.210267025523335</v>
      </c>
      <c r="W25" s="776">
        <f>'Prod. GEXBLU'!L4</f>
        <v>0</v>
      </c>
      <c r="X25" s="652">
        <f>'GEXBLU Limp.Ord. '!H198</f>
        <v>1.210267025523335</v>
      </c>
      <c r="Y25" s="655">
        <f t="shared" ref="Y25:Y36" si="1">(E25*F25)+(G25*H25)+(I25*J25)+(K25*L25)+(M25*N25)+(O25*P25)+(Q25*R25)+(S25*T25)+(U25*V25)+(W25*X25)</f>
        <v>12482.549372826978</v>
      </c>
      <c r="Z25" s="656"/>
      <c r="AA25" s="657">
        <f>'Prod. GEXFLO'!R4*'GEXBLU Limp.Ord. '!C147</f>
        <v>139.20123112878642</v>
      </c>
      <c r="AB25" s="510">
        <f>'Prod. GEXBLU'!S4*'GEXBLU Covid'!C147</f>
        <v>148.20958396648405</v>
      </c>
      <c r="AC25" s="658">
        <f>MC!C16*'Prod. GEXBLU'!T4</f>
        <v>4043.6000000000004</v>
      </c>
      <c r="ALO25" s="169"/>
      <c r="ALP25" s="169"/>
      <c r="ALQ25" s="169"/>
      <c r="ALR25" s="169"/>
      <c r="ALS25" s="169"/>
      <c r="ALT25" s="169"/>
      <c r="ALU25" s="169"/>
      <c r="ALV25" s="169"/>
      <c r="ALW25" s="169"/>
      <c r="ALX25" s="169"/>
      <c r="ALY25" s="169"/>
      <c r="ALZ25" s="169"/>
      <c r="AMA25" s="169"/>
    </row>
    <row r="26" spans="1:1015" s="156" customFormat="1" ht="12.75" x14ac:dyDescent="0.2">
      <c r="A26" s="659" t="str">
        <f>'Prod. GEXBLU'!A5</f>
        <v>CEDOC Prev</v>
      </c>
      <c r="B26" s="538" t="s">
        <v>392</v>
      </c>
      <c r="C26" s="538" t="s">
        <v>391</v>
      </c>
      <c r="D26" s="269">
        <f>MC!I74/100</f>
        <v>0.03</v>
      </c>
      <c r="E26" s="774">
        <f>'Prod. GEXBLU'!C5</f>
        <v>188.9</v>
      </c>
      <c r="F26" s="589">
        <f>'GEXBLU Limp.Ord. '!H156</f>
        <v>6.7821094859654822</v>
      </c>
      <c r="G26" s="774">
        <f>'Prod. GEXBLU'!D5</f>
        <v>268.93</v>
      </c>
      <c r="H26" s="590">
        <f>'GEXBLU Limp.Ord. '!H162</f>
        <v>3.6171250591815904</v>
      </c>
      <c r="I26" s="774">
        <f>'Prod. GEXBLU'!E5</f>
        <v>0</v>
      </c>
      <c r="J26" s="590">
        <f>'GEXBLU Limp.Ord. '!H168</f>
        <v>5.4256875887723854</v>
      </c>
      <c r="K26" s="774">
        <f>'Prod. GEXBLU'!F5</f>
        <v>14</v>
      </c>
      <c r="L26" s="598">
        <f>'GEXBLU Limp.Ord. '!H174</f>
        <v>27.128437943861929</v>
      </c>
      <c r="M26" s="774">
        <f>'Prod. GEXBLU'!G5</f>
        <v>618</v>
      </c>
      <c r="N26" s="590">
        <f>'GEXBLU Limp.Ord. '!H180</f>
        <v>3.0142708826513256</v>
      </c>
      <c r="O26" s="774">
        <f>'Prod. GEXBLU'!H5</f>
        <v>0</v>
      </c>
      <c r="P26" s="590">
        <f>'GEXBLU Limp.Ord. '!H183</f>
        <v>5.4256875887723863E-2</v>
      </c>
      <c r="Q26" s="774">
        <f>'Prod. GEXBLU'!I5</f>
        <v>145</v>
      </c>
      <c r="R26" s="590">
        <f>'GEXBLU Limp.Ord. '!H186</f>
        <v>0.90428126479539761</v>
      </c>
      <c r="S26" s="597">
        <f>'Prod. GEXBLU'!J5</f>
        <v>0</v>
      </c>
      <c r="T26" s="590"/>
      <c r="U26" s="774">
        <f>'Prod. GEXBLU'!K5</f>
        <v>99</v>
      </c>
      <c r="V26" s="590">
        <f>'GEXBLU Limp.Ord. '!H195</f>
        <v>1.210267025523335</v>
      </c>
      <c r="W26" s="777">
        <f>'Prod. GEXBLU'!L5</f>
        <v>99</v>
      </c>
      <c r="X26" s="590">
        <f>'GEXBLU Limp.Ord. '!H198</f>
        <v>1.210267025523335</v>
      </c>
      <c r="Y26" s="600">
        <f t="shared" si="1"/>
        <v>4867.2651152061244</v>
      </c>
      <c r="Z26" s="646"/>
      <c r="AA26" s="645">
        <f>'Prod. GEXFLO'!R5*'GEXBLU Limp.Ord. '!C147</f>
        <v>139.20123112878642</v>
      </c>
      <c r="AB26" s="510">
        <f>'Prod. GEXBLU'!S5*'GEXBLU Covid'!C147</f>
        <v>148.20958396648405</v>
      </c>
      <c r="AC26" s="660"/>
      <c r="ALO26" s="169"/>
      <c r="ALP26" s="169"/>
      <c r="ALQ26" s="169"/>
      <c r="ALR26" s="169"/>
      <c r="ALS26" s="169"/>
      <c r="ALT26" s="169"/>
      <c r="ALU26" s="169"/>
      <c r="ALV26" s="169"/>
      <c r="ALW26" s="169"/>
      <c r="ALX26" s="169"/>
      <c r="ALY26" s="169"/>
      <c r="ALZ26" s="169"/>
      <c r="AMA26" s="169"/>
    </row>
    <row r="27" spans="1:1015" s="156" customFormat="1" ht="12.75" x14ac:dyDescent="0.2">
      <c r="A27" s="659" t="str">
        <f>'Prod. GEXBLU'!A6</f>
        <v>APS BLUMENAU</v>
      </c>
      <c r="B27" s="538" t="s">
        <v>390</v>
      </c>
      <c r="C27" s="538" t="s">
        <v>391</v>
      </c>
      <c r="D27" s="269">
        <f>MC!I75/100</f>
        <v>0.03</v>
      </c>
      <c r="E27" s="774">
        <f>'Prod. GEXBLU'!C6</f>
        <v>1138.97</v>
      </c>
      <c r="F27" s="589">
        <f>'GEXBLU Limp.Ord. '!H156</f>
        <v>6.7821094859654822</v>
      </c>
      <c r="G27" s="774">
        <f>'Prod. GEXBLU'!D6</f>
        <v>222.29</v>
      </c>
      <c r="H27" s="590">
        <f>'GEXBLU Limp.Ord. '!H162</f>
        <v>3.6171250591815904</v>
      </c>
      <c r="I27" s="774">
        <f>'Prod. GEXBLU'!E6</f>
        <v>82.46</v>
      </c>
      <c r="J27" s="590">
        <f>'GEXBLU Limp.Ord. '!H168</f>
        <v>5.4256875887723854</v>
      </c>
      <c r="K27" s="774">
        <f>'Prod. GEXBLU'!F6</f>
        <v>47.44</v>
      </c>
      <c r="L27" s="598">
        <f>'GEXBLU Limp.Ord. '!H174</f>
        <v>27.128437943861929</v>
      </c>
      <c r="M27" s="774">
        <f>'Prod. GEXBLU'!G6</f>
        <v>388.09</v>
      </c>
      <c r="N27" s="590">
        <f>'GEXBLU Limp.Ord. '!H180</f>
        <v>3.0142708826513256</v>
      </c>
      <c r="O27" s="774">
        <f>'Prod. GEXBLU'!H6</f>
        <v>118.12</v>
      </c>
      <c r="P27" s="590">
        <f>'GEXBLU Limp.Ord. '!H183</f>
        <v>5.4256875887723863E-2</v>
      </c>
      <c r="Q27" s="774">
        <f>'Prod. GEXBLU'!I6</f>
        <v>265.26</v>
      </c>
      <c r="R27" s="590">
        <f>'GEXBLU Limp.Ord. '!H186</f>
        <v>0.90428126479539761</v>
      </c>
      <c r="S27" s="597">
        <f>'Prod. GEXBLU'!J6</f>
        <v>0</v>
      </c>
      <c r="T27" s="590"/>
      <c r="U27" s="774">
        <f>'Prod. GEXBLU'!K6</f>
        <v>232.04</v>
      </c>
      <c r="V27" s="590">
        <f>'GEXBLU Limp.Ord. '!H195</f>
        <v>1.210267025523335</v>
      </c>
      <c r="W27" s="777">
        <f>'Prod. GEXBLU'!L6</f>
        <v>232.04</v>
      </c>
      <c r="X27" s="590">
        <f>'GEXBLU Limp.Ord. '!H198</f>
        <v>1.210267025523335</v>
      </c>
      <c r="Y27" s="600">
        <f t="shared" si="1"/>
        <v>12240.79284379507</v>
      </c>
      <c r="Z27" s="646">
        <f>'Prod. GEXBLU'!Q6*'GEXBLU Covid'!C141</f>
        <v>14820.958396648406</v>
      </c>
      <c r="AA27" s="645">
        <f>'Prod. GEXFLO'!R6*'GEXBLU Limp.Ord. '!C147</f>
        <v>139.20123112878642</v>
      </c>
      <c r="AB27" s="510">
        <f>'Prod. GEXBLU'!S6*'GEXBLU Covid'!C147</f>
        <v>148.20958396648405</v>
      </c>
      <c r="AC27" s="660"/>
      <c r="ALO27" s="169"/>
      <c r="ALP27" s="169"/>
      <c r="ALQ27" s="169"/>
      <c r="ALR27" s="169"/>
      <c r="ALS27" s="169"/>
      <c r="ALT27" s="169"/>
      <c r="ALU27" s="169"/>
      <c r="ALV27" s="169"/>
      <c r="ALW27" s="169"/>
      <c r="ALX27" s="169"/>
      <c r="ALY27" s="169"/>
      <c r="ALZ27" s="169"/>
      <c r="AMA27" s="169"/>
    </row>
    <row r="28" spans="1:1015" s="156" customFormat="1" ht="12.75" x14ac:dyDescent="0.2">
      <c r="A28" s="659" t="str">
        <f>'Prod. GEXBLU'!A7</f>
        <v>APS BRUSQUE</v>
      </c>
      <c r="B28" s="538" t="s">
        <v>393</v>
      </c>
      <c r="C28" s="538" t="s">
        <v>394</v>
      </c>
      <c r="D28" s="269">
        <f>MC!I76/100</f>
        <v>0.02</v>
      </c>
      <c r="E28" s="774">
        <f>'Prod. GEXBLU'!C7</f>
        <v>511.2</v>
      </c>
      <c r="F28" s="589">
        <f>'GEXBLU Limp.Ord. '!D156</f>
        <v>6.7102215262276115</v>
      </c>
      <c r="G28" s="774">
        <f>'Prod. GEXBLU'!D7</f>
        <v>1175.1500000000001</v>
      </c>
      <c r="H28" s="590">
        <f>'GEXBLU Limp.Ord. '!D162</f>
        <v>3.5787848139880589</v>
      </c>
      <c r="I28" s="774">
        <f>'Prod. GEXBLU'!E7</f>
        <v>39.1</v>
      </c>
      <c r="J28" s="590">
        <f>'GEXBLU Limp.Ord. '!D168</f>
        <v>5.3681772209820888</v>
      </c>
      <c r="K28" s="774">
        <f>'Prod. GEXBLU'!F7</f>
        <v>65.08</v>
      </c>
      <c r="L28" s="598">
        <f>'GEXBLU Limp.Ord. '!D174</f>
        <v>26.840886104910446</v>
      </c>
      <c r="M28" s="774">
        <f>'Prod. GEXBLU'!G7</f>
        <v>853.03</v>
      </c>
      <c r="N28" s="590">
        <f>'GEXBLU Limp.Ord. '!D180</f>
        <v>2.9823206783233829</v>
      </c>
      <c r="O28" s="774">
        <f>'Prod. GEXBLU'!H7</f>
        <v>440.53</v>
      </c>
      <c r="P28" s="590">
        <f>'GEXBLU Limp.Ord. '!D183</f>
        <v>5.3681772209820892E-2</v>
      </c>
      <c r="Q28" s="774">
        <f>'Prod. GEXBLU'!I7</f>
        <v>244.09</v>
      </c>
      <c r="R28" s="590">
        <f>'GEXBLU Limp.Ord. '!D186</f>
        <v>0.89469620349701473</v>
      </c>
      <c r="S28" s="597">
        <f>'Prod. GEXBLU'!J7</f>
        <v>0</v>
      </c>
      <c r="T28" s="590"/>
      <c r="U28" s="774">
        <f>'Prod. GEXBLU'!K7</f>
        <v>69.870000000000019</v>
      </c>
      <c r="V28" s="590">
        <f>'GEXBLU Limp.Ord. '!D195</f>
        <v>1.1974386234777863</v>
      </c>
      <c r="W28" s="777">
        <f>'Prod. GEXBLU'!L7</f>
        <v>69.870000000000019</v>
      </c>
      <c r="X28" s="590">
        <f>'GEXBLU Limp.Ord. '!D198</f>
        <v>1.1974386234777863</v>
      </c>
      <c r="Y28" s="600">
        <f t="shared" si="1"/>
        <v>12545.948724311755</v>
      </c>
      <c r="Z28" s="646">
        <f>'Prod. GEXBLU'!Q7*'GEXBLU Covid'!C139</f>
        <v>4884.6538941066574</v>
      </c>
      <c r="AA28" s="645">
        <f>'Prod. GEXFLO'!R7*'GEXBLU Limp.Ord. '!C145</f>
        <v>137.6327665526874</v>
      </c>
      <c r="AB28" s="510">
        <f>'Prod. GEXBLU'!S7*'GEXBLU Covid'!C145</f>
        <v>146.53961682319974</v>
      </c>
      <c r="AC28" s="660"/>
      <c r="ALO28" s="169"/>
      <c r="ALP28" s="169"/>
      <c r="ALQ28" s="169"/>
      <c r="ALR28" s="169"/>
      <c r="ALS28" s="169"/>
      <c r="ALT28" s="169"/>
      <c r="ALU28" s="169"/>
      <c r="ALV28" s="169"/>
      <c r="ALW28" s="169"/>
      <c r="ALX28" s="169"/>
      <c r="ALY28" s="169"/>
      <c r="ALZ28" s="169"/>
      <c r="AMA28" s="169"/>
    </row>
    <row r="29" spans="1:1015" s="156" customFormat="1" ht="12.75" x14ac:dyDescent="0.2">
      <c r="A29" s="659" t="str">
        <f>'Prod. GEXBLU'!A8</f>
        <v>APS IBIRAMA</v>
      </c>
      <c r="B29" s="538" t="s">
        <v>395</v>
      </c>
      <c r="C29" s="538" t="s">
        <v>396</v>
      </c>
      <c r="D29" s="269">
        <f>MC!I77/100</f>
        <v>0.05</v>
      </c>
      <c r="E29" s="774">
        <f>'Prod. GEXBLU'!C8</f>
        <v>317.24</v>
      </c>
      <c r="F29" s="589">
        <f>'GEXBLU Limp.Ord. '!N156</f>
        <v>6.9309154667639898</v>
      </c>
      <c r="G29" s="774">
        <f>'Prod. GEXBLU'!D8</f>
        <v>84.04</v>
      </c>
      <c r="H29" s="590">
        <f>'GEXBLU Limp.Ord. '!N162</f>
        <v>3.6964882489407942</v>
      </c>
      <c r="I29" s="774">
        <f>'Prod. GEXBLU'!E8</f>
        <v>0</v>
      </c>
      <c r="J29" s="590">
        <f>'GEXBLU Limp.Ord. '!N168</f>
        <v>5.5522832630563217</v>
      </c>
      <c r="K29" s="774">
        <f>'Prod. GEXBLU'!F8</f>
        <v>37</v>
      </c>
      <c r="L29" s="598">
        <f>'GEXBLU Limp.Ord. '!N174</f>
        <v>27.723661867055959</v>
      </c>
      <c r="M29" s="774">
        <f>'Prod. GEXBLU'!G8</f>
        <v>60.76</v>
      </c>
      <c r="N29" s="590">
        <f>'GEXBLU Limp.Ord. '!N180</f>
        <v>3.0804068741173287</v>
      </c>
      <c r="O29" s="774">
        <f>'Prod. GEXBLU'!H8</f>
        <v>517.51</v>
      </c>
      <c r="P29" s="590">
        <f>'GEXBLU Limp.Ord. '!N183</f>
        <v>5.5447323734111924E-2</v>
      </c>
      <c r="Q29" s="774">
        <f>'Prod. GEXBLU'!I8</f>
        <v>108</v>
      </c>
      <c r="R29" s="590">
        <f>'GEXBLU Limp.Ord. '!N186</f>
        <v>0.92412206223519855</v>
      </c>
      <c r="S29" s="597">
        <f>'Prod. GEXBLU'!J8</f>
        <v>0</v>
      </c>
      <c r="T29" s="590"/>
      <c r="U29" s="774">
        <f>'Prod. GEXBLU'!K8</f>
        <v>115.75</v>
      </c>
      <c r="V29" s="590">
        <f>'GEXBLU Limp.Ord. '!N195</f>
        <v>1.2368214437517298</v>
      </c>
      <c r="W29" s="777">
        <f>'Prod. GEXBLU'!L8</f>
        <v>115.75</v>
      </c>
      <c r="X29" s="590">
        <f>'GEXBLU Limp.Ord. '!N198</f>
        <v>1.2368214437517298</v>
      </c>
      <c r="Y29" s="600">
        <f t="shared" si="1"/>
        <v>4137.1813973251992</v>
      </c>
      <c r="Z29" s="646"/>
      <c r="AA29" s="645">
        <f>'Prod. GEXFLO'!R8*'GEXBLU Limp.Ord. '!C150</f>
        <v>142.44790707348113</v>
      </c>
      <c r="AB29" s="510">
        <f>'Prod. GEXBLU'!S8*'GEXBLU Covid'!C150</f>
        <v>151.66636726599387</v>
      </c>
      <c r="AC29" s="660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</row>
    <row r="30" spans="1:1015" s="156" customFormat="1" ht="12.75" x14ac:dyDescent="0.2">
      <c r="A30" s="659" t="str">
        <f>'Prod. GEXBLU'!A9</f>
        <v>APS INDAIAL</v>
      </c>
      <c r="B30" s="538" t="s">
        <v>397</v>
      </c>
      <c r="C30" s="538" t="s">
        <v>398</v>
      </c>
      <c r="D30" s="269">
        <f>MC!I78/100</f>
        <v>0.03</v>
      </c>
      <c r="E30" s="774">
        <f>'Prod. GEXBLU'!C9</f>
        <v>174.1</v>
      </c>
      <c r="F30" s="589">
        <f>'GEXBLU Limp.Ord. '!H156</f>
        <v>6.7821094859654822</v>
      </c>
      <c r="G30" s="774">
        <f>'Prod. GEXBLU'!D9</f>
        <v>19</v>
      </c>
      <c r="H30" s="590">
        <f>'GEXBLU Limp.Ord. '!H162</f>
        <v>3.6171250591815904</v>
      </c>
      <c r="I30" s="774">
        <f>'Prod. GEXBLU'!E9</f>
        <v>0</v>
      </c>
      <c r="J30" s="590">
        <f>'GEXBLU Limp.Ord. '!H168</f>
        <v>5.4256875887723854</v>
      </c>
      <c r="K30" s="774">
        <f>'Prod. GEXBLU'!F9</f>
        <v>9.3000000000000007</v>
      </c>
      <c r="L30" s="598">
        <f>'GEXBLU Limp.Ord. '!H174</f>
        <v>27.128437943861929</v>
      </c>
      <c r="M30" s="774">
        <f>'Prod. GEXBLU'!G9</f>
        <v>51.38</v>
      </c>
      <c r="N30" s="590">
        <f>'GEXBLU Limp.Ord. '!H180</f>
        <v>3.0142708826513256</v>
      </c>
      <c r="O30" s="774">
        <f>'Prod. GEXBLU'!H9</f>
        <v>0</v>
      </c>
      <c r="P30" s="590">
        <f>'GEXBLU Limp.Ord. '!H183</f>
        <v>5.4256875887723863E-2</v>
      </c>
      <c r="Q30" s="774">
        <f>'Prod. GEXBLU'!I9</f>
        <v>0</v>
      </c>
      <c r="R30" s="590">
        <f>'GEXBLU Limp.Ord. '!H186</f>
        <v>0.90428126479539761</v>
      </c>
      <c r="S30" s="597">
        <f>'Prod. GEXBLU'!J9</f>
        <v>0</v>
      </c>
      <c r="T30" s="590"/>
      <c r="U30" s="774">
        <f>'Prod. GEXBLU'!K9</f>
        <v>0</v>
      </c>
      <c r="V30" s="590">
        <f>'GEXBLU Limp.Ord. '!H195</f>
        <v>1.210267025523335</v>
      </c>
      <c r="W30" s="777">
        <f>'Prod. GEXBLU'!L9</f>
        <v>0</v>
      </c>
      <c r="X30" s="590">
        <f>'GEXBLU Limp.Ord. '!H198</f>
        <v>1.210267025523335</v>
      </c>
      <c r="Y30" s="600">
        <f t="shared" si="1"/>
        <v>1656.6583484595815</v>
      </c>
      <c r="Z30" s="646"/>
      <c r="AA30" s="645">
        <f>'Prod. GEXFLO'!R9*'GEXBLU Limp.Ord. '!C147</f>
        <v>139.20123112878642</v>
      </c>
      <c r="AB30" s="510">
        <f>'Prod. GEXBLU'!S9*'GEXBLU Covid'!C147</f>
        <v>148.20958396648405</v>
      </c>
      <c r="AC30" s="660"/>
      <c r="ALO30" s="169"/>
      <c r="ALP30" s="169"/>
      <c r="ALQ30" s="169"/>
      <c r="ALR30" s="169"/>
      <c r="ALS30" s="169"/>
      <c r="ALT30" s="169"/>
      <c r="ALU30" s="169"/>
      <c r="ALV30" s="169"/>
      <c r="ALW30" s="169"/>
      <c r="ALX30" s="169"/>
      <c r="ALY30" s="169"/>
      <c r="ALZ30" s="169"/>
      <c r="AMA30" s="169"/>
    </row>
    <row r="31" spans="1:1015" s="156" customFormat="1" ht="12.75" x14ac:dyDescent="0.2">
      <c r="A31" s="659" t="str">
        <f>'Prod. GEXBLU'!A10</f>
        <v>APS ITAJAÍ</v>
      </c>
      <c r="B31" s="538" t="s">
        <v>399</v>
      </c>
      <c r="C31" s="538" t="s">
        <v>400</v>
      </c>
      <c r="D31" s="269">
        <f>MC!I79/100</f>
        <v>0.02</v>
      </c>
      <c r="E31" s="774">
        <f>'Prod. GEXBLU'!C10</f>
        <v>959.92</v>
      </c>
      <c r="F31" s="589">
        <f>'GEXBLU Limp.Ord. '!D156</f>
        <v>6.7102215262276115</v>
      </c>
      <c r="G31" s="774">
        <f>'Prod. GEXBLU'!D10</f>
        <v>1697</v>
      </c>
      <c r="H31" s="590">
        <f>'GEXBLU Limp.Ord. '!D162</f>
        <v>3.5787848139880589</v>
      </c>
      <c r="I31" s="774">
        <f>'Prod. GEXBLU'!E10</f>
        <v>182</v>
      </c>
      <c r="J31" s="590">
        <f>'GEXBLU Limp.Ord. '!D168</f>
        <v>5.3681772209820888</v>
      </c>
      <c r="K31" s="774">
        <f>'Prod. GEXBLU'!F10</f>
        <v>98</v>
      </c>
      <c r="L31" s="598">
        <f>'GEXBLU Limp.Ord. '!D174</f>
        <v>26.840886104910446</v>
      </c>
      <c r="M31" s="774">
        <f>'Prod. GEXBLU'!G10</f>
        <v>264.07</v>
      </c>
      <c r="N31" s="590">
        <f>'GEXBLU Limp.Ord. '!D180</f>
        <v>2.9823206783233829</v>
      </c>
      <c r="O31" s="774">
        <f>'Prod. GEXBLU'!H10</f>
        <v>0</v>
      </c>
      <c r="P31" s="590">
        <f>'GEXBLU Limp.Ord. '!D183</f>
        <v>5.3681772209820892E-2</v>
      </c>
      <c r="Q31" s="774">
        <f>'Prod. GEXBLU'!I10</f>
        <v>222.62</v>
      </c>
      <c r="R31" s="590">
        <f>'GEXBLU Limp.Ord. '!D186</f>
        <v>0.89469620349701473</v>
      </c>
      <c r="S31" s="597">
        <f>'Prod. GEXBLU'!J10</f>
        <v>0</v>
      </c>
      <c r="T31" s="590"/>
      <c r="U31" s="774">
        <f>'Prod. GEXBLU'!K10</f>
        <v>185.39000000000004</v>
      </c>
      <c r="V31" s="590">
        <f>'GEXBLU Limp.Ord. '!D195</f>
        <v>1.1974386234777863</v>
      </c>
      <c r="W31" s="777">
        <f>'Prod. GEXBLU'!L10</f>
        <v>185.39000000000004</v>
      </c>
      <c r="X31" s="590">
        <f>'GEXBLU Limp.Ord. '!D198</f>
        <v>1.1974386234777863</v>
      </c>
      <c r="Y31" s="600">
        <f t="shared" si="1"/>
        <v>17552.593752454566</v>
      </c>
      <c r="Z31" s="646">
        <f>'Prod. GEXBLU'!Q10*'GEXBLU Covid'!C139</f>
        <v>4884.6538941066574</v>
      </c>
      <c r="AA31" s="645">
        <f>'Prod. GEXFLO'!R10*'GEXBLU Limp.Ord. '!C145</f>
        <v>137.6327665526874</v>
      </c>
      <c r="AB31" s="510">
        <f>'Prod. GEXBLU'!S10*'GEXBLU Covid'!C145</f>
        <v>146.53961682319974</v>
      </c>
      <c r="AC31" s="660"/>
      <c r="ALO31" s="169"/>
      <c r="ALP31" s="169"/>
      <c r="ALQ31" s="169"/>
      <c r="ALR31" s="169"/>
      <c r="ALS31" s="169"/>
      <c r="ALT31" s="169"/>
      <c r="ALU31" s="169"/>
      <c r="ALV31" s="169"/>
      <c r="ALW31" s="169"/>
      <c r="ALX31" s="169"/>
      <c r="ALY31" s="169"/>
      <c r="ALZ31" s="169"/>
      <c r="AMA31" s="169"/>
    </row>
    <row r="32" spans="1:1015" s="156" customFormat="1" ht="12.75" x14ac:dyDescent="0.2">
      <c r="A32" s="659" t="str">
        <f>'Prod. GEXBLU'!A11</f>
        <v>APS RIO DO SUL</v>
      </c>
      <c r="B32" s="538" t="s">
        <v>401</v>
      </c>
      <c r="C32" s="538" t="s">
        <v>402</v>
      </c>
      <c r="D32" s="269">
        <f>MC!I80/100</f>
        <v>0.02</v>
      </c>
      <c r="E32" s="774">
        <f>'Prod. GEXBLU'!C11</f>
        <v>596.27</v>
      </c>
      <c r="F32" s="589">
        <f>'GEXBLU Limp.Ord. '!D156</f>
        <v>6.7102215262276115</v>
      </c>
      <c r="G32" s="774">
        <f>'Prod. GEXBLU'!D11</f>
        <v>1271.3800000000001</v>
      </c>
      <c r="H32" s="590">
        <f>'GEXBLU Limp.Ord. '!D162</f>
        <v>3.5787848139880589</v>
      </c>
      <c r="I32" s="774">
        <f>'Prod. GEXBLU'!E11</f>
        <v>31.65</v>
      </c>
      <c r="J32" s="590">
        <f>'GEXBLU Limp.Ord. '!D168</f>
        <v>5.3681772209820888</v>
      </c>
      <c r="K32" s="774">
        <f>'Prod. GEXBLU'!F11</f>
        <v>46.3</v>
      </c>
      <c r="L32" s="598">
        <f>'GEXBLU Limp.Ord. '!D174</f>
        <v>26.840886104910446</v>
      </c>
      <c r="M32" s="774">
        <f>'Prod. GEXBLU'!G11</f>
        <v>257.76</v>
      </c>
      <c r="N32" s="590">
        <f>'GEXBLU Limp.Ord. '!D180</f>
        <v>2.9823206783233829</v>
      </c>
      <c r="O32" s="774">
        <f>'Prod. GEXBLU'!H11</f>
        <v>6</v>
      </c>
      <c r="P32" s="590">
        <f>'GEXBLU Limp.Ord. '!D183</f>
        <v>5.3681772209820892E-2</v>
      </c>
      <c r="Q32" s="774">
        <f>'Prod. GEXBLU'!I11</f>
        <v>120</v>
      </c>
      <c r="R32" s="590">
        <f>'GEXBLU Limp.Ord. '!D186</f>
        <v>0.89469620349701473</v>
      </c>
      <c r="S32" s="597">
        <f>'Prod. GEXBLU'!J11</f>
        <v>0</v>
      </c>
      <c r="T32" s="590"/>
      <c r="U32" s="774">
        <f>'Prod. GEXBLU'!K11</f>
        <v>141.43</v>
      </c>
      <c r="V32" s="590">
        <f>'GEXBLU Limp.Ord. '!D195</f>
        <v>1.1974386234777863</v>
      </c>
      <c r="W32" s="777">
        <f>'Prod. GEXBLU'!L11</f>
        <v>141.43</v>
      </c>
      <c r="X32" s="590">
        <f>'GEXBLU Limp.Ord. '!D198</f>
        <v>1.1974386234777863</v>
      </c>
      <c r="Y32" s="600">
        <f t="shared" si="1"/>
        <v>11178.851164087777</v>
      </c>
      <c r="Z32" s="646">
        <f>'Prod. GEXBLU'!Q11*'GEXBLU Covid'!C139</f>
        <v>4884.6538941066574</v>
      </c>
      <c r="AA32" s="645">
        <f>'Prod. GEXFLO'!R11*'GEXBLU Limp.Ord. '!C145</f>
        <v>137.6327665526874</v>
      </c>
      <c r="AB32" s="510">
        <f>'Prod. GEXBLU'!S11*'GEXBLU Covid'!C145</f>
        <v>146.53961682319974</v>
      </c>
      <c r="AC32" s="660"/>
      <c r="ALO32" s="169"/>
      <c r="ALP32" s="169"/>
      <c r="ALQ32" s="169"/>
      <c r="ALR32" s="169"/>
      <c r="ALS32" s="169"/>
      <c r="ALT32" s="169"/>
      <c r="ALU32" s="169"/>
      <c r="ALV32" s="169"/>
      <c r="ALW32" s="169"/>
      <c r="ALX32" s="169"/>
      <c r="ALY32" s="169"/>
      <c r="ALZ32" s="169"/>
      <c r="AMA32" s="169"/>
    </row>
    <row r="33" spans="1:1015" s="156" customFormat="1" ht="12.75" x14ac:dyDescent="0.2">
      <c r="A33" s="659" t="str">
        <f>'Prod. GEXBLU'!A12</f>
        <v>APS TIMBÓ</v>
      </c>
      <c r="B33" s="538" t="s">
        <v>403</v>
      </c>
      <c r="C33" s="538" t="s">
        <v>404</v>
      </c>
      <c r="D33" s="269">
        <f>MC!I81/100</f>
        <v>0.03</v>
      </c>
      <c r="E33" s="774">
        <f>'Prod. GEXBLU'!C12</f>
        <v>374</v>
      </c>
      <c r="F33" s="589">
        <f>'GEXBLU Limp.Ord. '!H156</f>
        <v>6.7821094859654822</v>
      </c>
      <c r="G33" s="774">
        <f>'Prod. GEXBLU'!D12</f>
        <v>382</v>
      </c>
      <c r="H33" s="590">
        <f>'GEXBLU Limp.Ord. '!H162</f>
        <v>3.6171250591815904</v>
      </c>
      <c r="I33" s="774">
        <f>'Prod. GEXBLU'!E12</f>
        <v>39.700000000000003</v>
      </c>
      <c r="J33" s="590">
        <f>'GEXBLU Limp.Ord. '!H168</f>
        <v>5.4256875887723854</v>
      </c>
      <c r="K33" s="774">
        <f>'Prod. GEXBLU'!F12</f>
        <v>41</v>
      </c>
      <c r="L33" s="598">
        <f>'GEXBLU Limp.Ord. '!H174</f>
        <v>27.128437943861929</v>
      </c>
      <c r="M33" s="774">
        <f>'Prod. GEXBLU'!G12</f>
        <v>269.70999999999998</v>
      </c>
      <c r="N33" s="590">
        <f>'GEXBLU Limp.Ord. '!H180</f>
        <v>3.0142708826513256</v>
      </c>
      <c r="O33" s="774">
        <f>'Prod. GEXBLU'!H12</f>
        <v>1053.18</v>
      </c>
      <c r="P33" s="590">
        <f>'GEXBLU Limp.Ord. '!H183</f>
        <v>5.4256875887723863E-2</v>
      </c>
      <c r="Q33" s="774">
        <f>'Prod. GEXBLU'!I12</f>
        <v>368.21</v>
      </c>
      <c r="R33" s="590">
        <f>'GEXBLU Limp.Ord. '!H186</f>
        <v>0.90428126479539761</v>
      </c>
      <c r="S33" s="597">
        <f>'Prod. GEXBLU'!J12</f>
        <v>0</v>
      </c>
      <c r="T33" s="590"/>
      <c r="U33" s="774">
        <f>'Prod. GEXBLU'!K12</f>
        <v>90.66</v>
      </c>
      <c r="V33" s="590">
        <f>'GEXBLU Limp.Ord. '!H195</f>
        <v>1.210267025523335</v>
      </c>
      <c r="W33" s="777">
        <f>'Prod. GEXBLU'!L12</f>
        <v>90.66</v>
      </c>
      <c r="X33" s="590">
        <f>'GEXBLU Limp.Ord. '!H198</f>
        <v>1.210267025523335</v>
      </c>
      <c r="Y33" s="600">
        <f t="shared" si="1"/>
        <v>6668.4487512165879</v>
      </c>
      <c r="Z33" s="646">
        <f>'Prod. GEXBLU'!P12*'GEXBLU Covid'!D141</f>
        <v>8327.0112779269566</v>
      </c>
      <c r="AA33" s="645">
        <f>'Prod. GEXFLO'!R12*'GEXBLU Limp.Ord. '!C147</f>
        <v>139.20123112878642</v>
      </c>
      <c r="AB33" s="510">
        <f>'Prod. GEXBLU'!S12*'GEXBLU Covid'!C147</f>
        <v>148.20958396648405</v>
      </c>
      <c r="AC33" s="660"/>
      <c r="ALO33" s="169"/>
      <c r="ALP33" s="169"/>
      <c r="ALQ33" s="169"/>
      <c r="ALR33" s="169"/>
      <c r="ALS33" s="169"/>
      <c r="ALT33" s="169"/>
      <c r="ALU33" s="169"/>
      <c r="ALV33" s="169"/>
      <c r="ALW33" s="169"/>
      <c r="ALX33" s="169"/>
      <c r="ALY33" s="169"/>
      <c r="ALZ33" s="169"/>
      <c r="AMA33" s="169"/>
    </row>
    <row r="34" spans="1:1015" s="156" customFormat="1" ht="12.75" x14ac:dyDescent="0.2">
      <c r="A34" s="659" t="str">
        <f>'Prod. GEXBLU'!A13</f>
        <v>APS BALNEÁRIO DE CAMBORIÚ</v>
      </c>
      <c r="B34" s="538" t="s">
        <v>405</v>
      </c>
      <c r="C34" s="538" t="s">
        <v>406</v>
      </c>
      <c r="D34" s="269">
        <f>MC!I82/100</f>
        <v>2.5000000000000001E-2</v>
      </c>
      <c r="E34" s="774">
        <f>'Prod. GEXBLU'!C13</f>
        <v>374.46</v>
      </c>
      <c r="F34" s="589">
        <f>'GEXBLU Limp.Ord. '!F156</f>
        <v>6.7459618574853915</v>
      </c>
      <c r="G34" s="774">
        <f>'Prod. GEXBLU'!D13</f>
        <v>54.12</v>
      </c>
      <c r="H34" s="590">
        <f>'GEXBLU Limp.Ord. '!F162</f>
        <v>3.5978463239922083</v>
      </c>
      <c r="I34" s="774">
        <f>'Prod. GEXBLU'!E13</f>
        <v>70.349999999999994</v>
      </c>
      <c r="J34" s="590">
        <f>'GEXBLU Limp.Ord. '!F168</f>
        <v>5.3949352401325914</v>
      </c>
      <c r="K34" s="774">
        <f>'Prod. GEXBLU'!F13</f>
        <v>30.38</v>
      </c>
      <c r="L34" s="598">
        <f>'GEXBLU Limp.Ord. '!F174</f>
        <v>26.983847429941566</v>
      </c>
      <c r="M34" s="774">
        <f>'Prod. GEXBLU'!G13</f>
        <v>0</v>
      </c>
      <c r="N34" s="590">
        <f>'GEXBLU Limp.Ord. '!F180</f>
        <v>2.9982052699935071</v>
      </c>
      <c r="O34" s="774">
        <f>'Prod. GEXBLU'!H13</f>
        <v>0</v>
      </c>
      <c r="P34" s="590">
        <f>'GEXBLU Limp.Ord. '!F183</f>
        <v>5.3967694859883127E-2</v>
      </c>
      <c r="Q34" s="774">
        <f>'Prod. GEXBLU'!I13</f>
        <v>30</v>
      </c>
      <c r="R34" s="590">
        <f>'GEXBLU Limp.Ord. '!F186</f>
        <v>0.89946158099805207</v>
      </c>
      <c r="S34" s="597">
        <f>'Prod. GEXBLU'!J13</f>
        <v>0</v>
      </c>
      <c r="T34" s="590"/>
      <c r="U34" s="774">
        <f>'Prod. GEXBLU'!K13</f>
        <v>18.18</v>
      </c>
      <c r="V34" s="590">
        <f>'GEXBLU Limp.Ord. '!F195</f>
        <v>1.2038164834182785</v>
      </c>
      <c r="W34" s="777">
        <f>'Prod. GEXBLU'!L13</f>
        <v>18.18</v>
      </c>
      <c r="X34" s="590">
        <f>'GEXBLU Limp.Ord. '!F198</f>
        <v>1.2038164834182785</v>
      </c>
      <c r="Y34" s="600">
        <f t="shared" si="1"/>
        <v>3990.8659140404211</v>
      </c>
      <c r="Z34" s="646">
        <f>'Prod. GEXBLU'!Q13*'GEXBLU Covid'!C140</f>
        <v>4912.328986991115</v>
      </c>
      <c r="AA34" s="645">
        <f>'Prod. GEXFLO'!R13*'GEXBLU Limp.Ord. '!C146</f>
        <v>138.41255559831168</v>
      </c>
      <c r="AB34" s="510">
        <f>'Prod. GEXBLU'!S13*'GEXBLU Covid'!C146</f>
        <v>147.36986960973343</v>
      </c>
      <c r="AC34" s="660"/>
      <c r="ALO34" s="169"/>
      <c r="ALP34" s="169"/>
      <c r="ALQ34" s="169"/>
      <c r="ALR34" s="169"/>
      <c r="ALS34" s="169"/>
      <c r="ALT34" s="169"/>
      <c r="ALU34" s="169"/>
      <c r="ALV34" s="169"/>
      <c r="ALW34" s="169"/>
      <c r="ALX34" s="169"/>
      <c r="ALY34" s="169"/>
      <c r="ALZ34" s="169"/>
      <c r="AMA34" s="169"/>
    </row>
    <row r="35" spans="1:1015" s="156" customFormat="1" ht="12.75" x14ac:dyDescent="0.2">
      <c r="A35" s="659" t="str">
        <f>'Prod. GEXBLU'!A14</f>
        <v>APS PENHA</v>
      </c>
      <c r="B35" s="538" t="s">
        <v>407</v>
      </c>
      <c r="C35" s="538" t="s">
        <v>408</v>
      </c>
      <c r="D35" s="269">
        <f>MC!I83/100</f>
        <v>0.03</v>
      </c>
      <c r="E35" s="774">
        <f>'Prod. GEXBLU'!C14</f>
        <v>258.60000000000002</v>
      </c>
      <c r="F35" s="589">
        <f>'GEXBLU Limp.Ord. '!H156</f>
        <v>6.7821094859654822</v>
      </c>
      <c r="G35" s="774">
        <f>'Prod. GEXBLU'!D14</f>
        <v>21.85</v>
      </c>
      <c r="H35" s="590">
        <f>'GEXBLU Limp.Ord. '!H162</f>
        <v>3.6171250591815904</v>
      </c>
      <c r="I35" s="774">
        <f>'Prod. GEXBLU'!E14</f>
        <v>33.79</v>
      </c>
      <c r="J35" s="590">
        <f>'GEXBLU Limp.Ord. '!H168</f>
        <v>5.4256875887723854</v>
      </c>
      <c r="K35" s="774">
        <f>'Prod. GEXBLU'!F14</f>
        <v>24.05</v>
      </c>
      <c r="L35" s="598">
        <f>'GEXBLU Limp.Ord. '!H174</f>
        <v>27.128437943861929</v>
      </c>
      <c r="M35" s="774">
        <f>'Prod. GEXBLU'!G14</f>
        <v>314.49</v>
      </c>
      <c r="N35" s="590">
        <f>'GEXBLU Limp.Ord. '!H180</f>
        <v>3.0142708826513256</v>
      </c>
      <c r="O35" s="774">
        <f>'Prod. GEXBLU'!H14</f>
        <v>128.33000000000001</v>
      </c>
      <c r="P35" s="590">
        <f>'GEXBLU Limp.Ord. '!H183</f>
        <v>5.4256875887723863E-2</v>
      </c>
      <c r="Q35" s="774">
        <f>'Prod. GEXBLU'!I14</f>
        <v>232.21</v>
      </c>
      <c r="R35" s="590">
        <f>'GEXBLU Limp.Ord. '!H186</f>
        <v>0.90428126479539761</v>
      </c>
      <c r="S35" s="597">
        <f>'Prod. GEXBLU'!J14</f>
        <v>0</v>
      </c>
      <c r="T35" s="590"/>
      <c r="U35" s="774">
        <f>'Prod. GEXBLU'!K14</f>
        <v>69.77</v>
      </c>
      <c r="V35" s="590">
        <f>'GEXBLU Limp.Ord. '!H195</f>
        <v>1.210267025523335</v>
      </c>
      <c r="W35" s="777">
        <f>'Prod. GEXBLU'!L14</f>
        <v>69.77</v>
      </c>
      <c r="X35" s="590">
        <f>'GEXBLU Limp.Ord. '!H198</f>
        <v>1.210267025523335</v>
      </c>
      <c r="Y35" s="600">
        <f t="shared" si="1"/>
        <v>4002.4452597956429</v>
      </c>
      <c r="Z35" s="646"/>
      <c r="AA35" s="645">
        <f>'Prod. GEXFLO'!R14*'GEXBLU Limp.Ord. '!C147</f>
        <v>139.20123112878642</v>
      </c>
      <c r="AB35" s="510">
        <f>'Prod. GEXBLU'!S14*'GEXBLU Covid'!C147</f>
        <v>148.20958396648405</v>
      </c>
      <c r="AC35" s="660"/>
      <c r="ALO35" s="169"/>
      <c r="ALP35" s="169"/>
      <c r="ALQ35" s="169"/>
      <c r="ALR35" s="169"/>
      <c r="ALS35" s="169"/>
      <c r="ALT35" s="169"/>
      <c r="ALU35" s="169"/>
      <c r="ALV35" s="169"/>
      <c r="ALW35" s="169"/>
      <c r="ALX35" s="169"/>
      <c r="ALY35" s="169"/>
      <c r="ALZ35" s="169"/>
      <c r="AMA35" s="169"/>
    </row>
    <row r="36" spans="1:1015" s="156" customFormat="1" ht="12.75" x14ac:dyDescent="0.2">
      <c r="A36" s="696" t="str">
        <f>'Prod. GEXBLU'!A15</f>
        <v>APS POMERODE</v>
      </c>
      <c r="B36" s="697" t="s">
        <v>409</v>
      </c>
      <c r="C36" s="697" t="s">
        <v>410</v>
      </c>
      <c r="D36" s="698">
        <f>MC!I84/100</f>
        <v>3.5000000000000003E-2</v>
      </c>
      <c r="E36" s="775">
        <f>'Prod. GEXBLU'!C15</f>
        <v>258.60000000000002</v>
      </c>
      <c r="F36" s="699">
        <f>'GEXBLU Limp.Ord. '!J156</f>
        <v>6.8186714139123943</v>
      </c>
      <c r="G36" s="775">
        <f>'Prod. GEXBLU'!D15</f>
        <v>21.85</v>
      </c>
      <c r="H36" s="700">
        <f>'GEXBLU Limp.Ord. '!J162</f>
        <v>3.6366247540866099</v>
      </c>
      <c r="I36" s="775">
        <f>'Prod. GEXBLU'!E15</f>
        <v>33.79</v>
      </c>
      <c r="J36" s="700">
        <f>'GEXBLU Limp.Ord. '!J168</f>
        <v>5.4549371311299151</v>
      </c>
      <c r="K36" s="775">
        <f>'Prod. GEXBLU'!F15</f>
        <v>24.05</v>
      </c>
      <c r="L36" s="701">
        <f>'GEXBLU Limp.Ord. '!J174</f>
        <v>27.274685655649577</v>
      </c>
      <c r="M36" s="775">
        <f>'Prod. GEXBLU'!G15</f>
        <v>611.16</v>
      </c>
      <c r="N36" s="700">
        <f>'GEXBLU Limp.Ord. '!J180</f>
        <v>3.0305206284055086</v>
      </c>
      <c r="O36" s="775">
        <f>'Prod. GEXBLU'!H15</f>
        <v>278</v>
      </c>
      <c r="P36" s="700">
        <f>'GEXBLU Limp.Ord. '!J183</f>
        <v>5.4549371311299152E-2</v>
      </c>
      <c r="Q36" s="775">
        <f>'Prod. GEXBLU'!I15</f>
        <v>175.23</v>
      </c>
      <c r="R36" s="700">
        <f>'GEXBLU Limp.Ord. '!J186</f>
        <v>0.90915618852165248</v>
      </c>
      <c r="S36" s="702">
        <f>'Prod. GEXBLU'!J15</f>
        <v>0</v>
      </c>
      <c r="T36" s="700"/>
      <c r="U36" s="775">
        <f>'Prod. GEXBLU'!K15</f>
        <v>69.77</v>
      </c>
      <c r="V36" s="700">
        <f>'GEXBLU Limp.Ord. '!J195</f>
        <v>1.2167914993430624</v>
      </c>
      <c r="W36" s="778">
        <f>'Prod. GEXBLU'!L15</f>
        <v>69.77</v>
      </c>
      <c r="X36" s="700">
        <f>'GEXBLU Limp.Ord. '!J198</f>
        <v>1.2167914993430624</v>
      </c>
      <c r="Y36" s="703">
        <f t="shared" si="1"/>
        <v>4879.4474314076233</v>
      </c>
      <c r="Z36" s="704"/>
      <c r="AA36" s="705">
        <f>'Prod. GEXFLO'!R15*'GEXBLU Limp.Ord. '!C148</f>
        <v>139.9989459203554</v>
      </c>
      <c r="AB36" s="557">
        <f>'Prod. GEXBLU'!S15*'GEXBLU Covid'!C148</f>
        <v>149.05892255654985</v>
      </c>
      <c r="AC36" s="706"/>
      <c r="ALO36" s="169"/>
      <c r="ALP36" s="169"/>
      <c r="ALQ36" s="169"/>
      <c r="ALR36" s="169"/>
      <c r="ALS36" s="169"/>
      <c r="ALT36" s="169"/>
      <c r="ALU36" s="169"/>
      <c r="ALV36" s="169"/>
      <c r="ALW36" s="169"/>
      <c r="ALX36" s="169"/>
      <c r="ALY36" s="169"/>
      <c r="ALZ36" s="169"/>
      <c r="AMA36" s="169"/>
    </row>
    <row r="37" spans="1:1015" s="156" customFormat="1" ht="12.75" x14ac:dyDescent="0.2">
      <c r="A37" s="954"/>
      <c r="B37" s="955"/>
      <c r="C37" s="955"/>
      <c r="D37" s="956"/>
      <c r="E37" s="687">
        <f>SUM(E25:E36)</f>
        <v>6391.87</v>
      </c>
      <c r="F37" s="688"/>
      <c r="G37" s="689">
        <f>SUM(G25:G36)</f>
        <v>5263.55</v>
      </c>
      <c r="H37" s="689">
        <f t="shared" ref="H37:I37" si="2">SUM(H25:H36)</f>
        <v>43.37006412407333</v>
      </c>
      <c r="I37" s="689">
        <f t="shared" si="2"/>
        <v>839.83999999999992</v>
      </c>
      <c r="J37" s="689"/>
      <c r="K37" s="689">
        <f>SUM(K25:K36)</f>
        <v>515.29999999999995</v>
      </c>
      <c r="L37" s="690"/>
      <c r="M37" s="691">
        <f>SUM(M25:M36)</f>
        <v>3688.45</v>
      </c>
      <c r="N37" s="692"/>
      <c r="O37" s="691">
        <f>SUM(O25:O36)</f>
        <v>2541.67</v>
      </c>
      <c r="P37" s="690"/>
      <c r="Q37" s="689">
        <f>SUM(Q25:Q36)</f>
        <v>1910.6200000000001</v>
      </c>
      <c r="R37" s="690"/>
      <c r="S37" s="689">
        <f>SUM(S25:S36)</f>
        <v>0</v>
      </c>
      <c r="T37" s="690"/>
      <c r="U37" s="691">
        <f>SUM(U25:U36)</f>
        <v>1091.8599999999999</v>
      </c>
      <c r="V37" s="690"/>
      <c r="W37" s="693">
        <f>SUM(W25:W36)</f>
        <v>1091.8599999999999</v>
      </c>
      <c r="X37" s="690"/>
      <c r="Y37" s="690">
        <f>SUM(Y25:Y36)</f>
        <v>96203.048074927327</v>
      </c>
      <c r="Z37" s="694">
        <f>SUM(Z25:Z36)</f>
        <v>42714.260343886453</v>
      </c>
      <c r="AA37" s="693">
        <f>SUM(AA25:AA36)</f>
        <v>1668.9650950229291</v>
      </c>
      <c r="AB37" s="694">
        <f>SUM(AB25:AB36)</f>
        <v>1776.9715137007804</v>
      </c>
      <c r="AC37" s="695">
        <f>SUM(AC25:AC36)</f>
        <v>4043.6000000000004</v>
      </c>
      <c r="ALO37" s="169"/>
      <c r="ALP37" s="169"/>
      <c r="ALQ37" s="169"/>
      <c r="ALR37" s="169"/>
      <c r="ALS37" s="169"/>
      <c r="ALT37" s="169"/>
      <c r="ALU37" s="169"/>
      <c r="ALV37" s="169"/>
      <c r="ALW37" s="169"/>
      <c r="ALX37" s="169"/>
      <c r="ALY37" s="169"/>
      <c r="ALZ37" s="169"/>
      <c r="AMA37" s="169"/>
    </row>
    <row r="38" spans="1:1015" s="156" customFormat="1" ht="15" x14ac:dyDescent="0.25">
      <c r="A38" s="707" t="s">
        <v>89</v>
      </c>
      <c r="B38" s="537" t="s">
        <v>411</v>
      </c>
      <c r="C38" s="537" t="s">
        <v>412</v>
      </c>
      <c r="D38" s="268">
        <f>MC!O73/100</f>
        <v>2.5000000000000001E-2</v>
      </c>
      <c r="E38" s="779">
        <f>'Prod. GEXJVL'!C4</f>
        <v>1038</v>
      </c>
      <c r="F38" s="708">
        <f>'GEXJVL Limp.Ord.'!F156</f>
        <v>6.8071700534449189</v>
      </c>
      <c r="G38" s="779">
        <f>'Prod. GEXJVL'!D4</f>
        <v>395.4</v>
      </c>
      <c r="H38" s="709">
        <f>'GEXJVL Limp.Ord.'!F162</f>
        <v>3.6304906951706233</v>
      </c>
      <c r="I38" s="779">
        <f>'Prod. GEXJVL'!E4</f>
        <v>0</v>
      </c>
      <c r="J38" s="709">
        <f>'GEXJVL Limp.Ord.'!F168</f>
        <v>5.4457360427559349</v>
      </c>
      <c r="K38" s="779">
        <f>'Prod. GEXJVL'!F4</f>
        <v>81.400000000000006</v>
      </c>
      <c r="L38" s="709">
        <f>'GEXJVL Limp.Ord.'!F174</f>
        <v>27.228680213779676</v>
      </c>
      <c r="M38" s="779">
        <f>'Prod. GEXJVL'!G4</f>
        <v>766.1</v>
      </c>
      <c r="N38" s="709">
        <f>'GEXJVL Limp.Ord.'!F180</f>
        <v>3.0254089126421859</v>
      </c>
      <c r="O38" s="779">
        <f>'Prod. GEXJVL'!H4</f>
        <v>0</v>
      </c>
      <c r="P38" s="709">
        <f>'GEXJVL Limp.Ord.'!F183</f>
        <v>5.4457360427559359E-2</v>
      </c>
      <c r="Q38" s="779">
        <f>'Prod. GEXJVL'!I4</f>
        <v>0</v>
      </c>
      <c r="R38" s="709">
        <f>'GEXJVL Limp.Ord.'!F186</f>
        <v>0.90762267379265582</v>
      </c>
      <c r="S38" s="781">
        <v>166.24</v>
      </c>
      <c r="T38" s="709">
        <f>'GEXJVL Limp.Ord.'!F192</f>
        <v>0.29523971380074349</v>
      </c>
      <c r="U38" s="781">
        <v>249.36</v>
      </c>
      <c r="V38" s="709">
        <f>'GEXJVL Limp.Ord.'!F195</f>
        <v>1.5386695042045451</v>
      </c>
      <c r="W38" s="780">
        <f>'Prod. GEXJVL'!L4</f>
        <v>415.6</v>
      </c>
      <c r="X38" s="709">
        <f>'GEXJVL Limp.Ord.'!F198</f>
        <v>1.5386695042045451</v>
      </c>
      <c r="Y38" s="599">
        <f t="shared" ref="Y38:Y47" si="3">(E38*F38)+(G38*H38)+(I38*J38)+(K38*L38)+(M38*N38)+(O38*P38)+(Q38*R38)+(S38*T38)+(U38*V38)+(W38*X38)</f>
        <v>14107.753197261225</v>
      </c>
      <c r="Z38" s="656"/>
      <c r="AA38" s="710">
        <f>'Prod. GEXJVL'!R4*'GEXJVL Limp.Ord.'!C146</f>
        <v>138.68768496069583</v>
      </c>
      <c r="AB38" s="711">
        <f>'Prod. GEXJVL'!S4*'GEXJVL Covid'!C146</f>
        <v>147.72348599930814</v>
      </c>
      <c r="AC38" s="712">
        <f>'Prod. GEXJVL'!T4*MC!C16</f>
        <v>4043.6000000000004</v>
      </c>
      <c r="ALR38" s="171"/>
      <c r="ALS38" s="171"/>
      <c r="ALT38" s="171"/>
      <c r="ALU38" s="171"/>
      <c r="ALV38" s="171"/>
      <c r="ALW38" s="171"/>
      <c r="ALX38" s="171"/>
      <c r="ALY38" s="171"/>
      <c r="ALZ38" s="171"/>
      <c r="AMA38" s="171"/>
    </row>
    <row r="39" spans="1:1015" x14ac:dyDescent="0.2">
      <c r="A39" s="659" t="s">
        <v>92</v>
      </c>
      <c r="B39" s="538" t="s">
        <v>413</v>
      </c>
      <c r="C39" s="538" t="s">
        <v>414</v>
      </c>
      <c r="D39" s="269">
        <f>MC!O74/100</f>
        <v>0.03</v>
      </c>
      <c r="E39" s="774">
        <f>'Prod. GEXJVL'!C5</f>
        <v>545</v>
      </c>
      <c r="F39" s="589">
        <f>'GEXJVL Limp.Ord.'!H156</f>
        <v>6.8433895343225934</v>
      </c>
      <c r="G39" s="774">
        <f>'Prod. GEXJVL'!D5</f>
        <v>1438</v>
      </c>
      <c r="H39" s="590">
        <f>'GEXJVL Limp.Ord.'!H162</f>
        <v>3.6498077516387166</v>
      </c>
      <c r="I39" s="774">
        <f>'Prod. GEXJVL'!E5</f>
        <v>40.4</v>
      </c>
      <c r="J39" s="590">
        <f>'GEXJVL Limp.Ord.'!H168</f>
        <v>5.4747116274580749</v>
      </c>
      <c r="K39" s="774">
        <f>'Prod. GEXJVL'!F5</f>
        <v>74.599999999999994</v>
      </c>
      <c r="L39" s="590">
        <f>'GEXJVL Limp.Ord.'!H174</f>
        <v>27.373558137290374</v>
      </c>
      <c r="M39" s="774">
        <f>'Prod. GEXJVL'!G5</f>
        <v>483.2</v>
      </c>
      <c r="N39" s="590">
        <f>'GEXJVL Limp.Ord.'!H180</f>
        <v>3.0415064596989301</v>
      </c>
      <c r="O39" s="774">
        <f>'Prod. GEXJVL'!H5</f>
        <v>91</v>
      </c>
      <c r="P39" s="590">
        <f>'GEXJVL Limp.Ord.'!H183</f>
        <v>5.4747116274580752E-2</v>
      </c>
      <c r="Q39" s="774">
        <f>'Prod. GEXJVL'!I5</f>
        <v>149</v>
      </c>
      <c r="R39" s="590">
        <f>'GEXJVL Limp.Ord.'!H186</f>
        <v>0.91245193790967916</v>
      </c>
      <c r="S39" s="781">
        <v>250</v>
      </c>
      <c r="T39" s="590">
        <f>'GEXJVL Limp.Ord.'!H192</f>
        <v>0.29655886631934786</v>
      </c>
      <c r="U39" s="781">
        <v>273</v>
      </c>
      <c r="V39" s="590">
        <f>'GEXJVL Limp.Ord.'!H195</f>
        <v>1.5468564321418594</v>
      </c>
      <c r="W39" s="777">
        <f>'Prod. GEXJVL'!L5</f>
        <v>523</v>
      </c>
      <c r="X39" s="590">
        <f>'GEXJVL Limp.Ord.'!H198</f>
        <v>1.5468564321418594</v>
      </c>
      <c r="Y39" s="600">
        <f t="shared" si="3"/>
        <v>14157.347314074266</v>
      </c>
      <c r="Z39" s="646">
        <f>'Prod. GEXJVL'!P5*'GEXJVL Covid'!D141</f>
        <v>4175.3600155560589</v>
      </c>
      <c r="AA39" s="710">
        <f>'Prod. GEXJVL'!R5*'GEXJVL Limp.Ord.'!C147</f>
        <v>139.47792817984509</v>
      </c>
      <c r="AB39" s="711">
        <f>'Prod. GEXJVL'!S5*'GEXJVL Covid'!C147</f>
        <v>148.56521526426147</v>
      </c>
      <c r="AC39" s="660"/>
      <c r="AD39" s="156"/>
    </row>
    <row r="40" spans="1:1015" x14ac:dyDescent="0.2">
      <c r="A40" s="659" t="s">
        <v>95</v>
      </c>
      <c r="B40" s="538" t="s">
        <v>415</v>
      </c>
      <c r="C40" s="538" t="s">
        <v>416</v>
      </c>
      <c r="D40" s="269">
        <f>MC!O75/100</f>
        <v>0.05</v>
      </c>
      <c r="E40" s="774">
        <f>'Prod. GEXJVL'!C6</f>
        <v>542</v>
      </c>
      <c r="F40" s="589">
        <f>'GEXJVL Limp.Ord.'!N156</f>
        <v>6.9924913039997847</v>
      </c>
      <c r="G40" s="774">
        <f>'Prod. GEXJVL'!D6</f>
        <v>680</v>
      </c>
      <c r="H40" s="590">
        <f>'GEXJVL Limp.Ord.'!N162</f>
        <v>3.7293286954665521</v>
      </c>
      <c r="I40" s="774">
        <f>'Prod. GEXJVL'!E6</f>
        <v>0</v>
      </c>
      <c r="J40" s="590">
        <f>'GEXJVL Limp.Ord.'!N168</f>
        <v>5.5939930431998288</v>
      </c>
      <c r="K40" s="774">
        <f>'Prod. GEXJVL'!F6</f>
        <v>42.6</v>
      </c>
      <c r="L40" s="590">
        <f>'GEXJVL Limp.Ord.'!N174</f>
        <v>27.969965215999139</v>
      </c>
      <c r="M40" s="774">
        <f>'Prod. GEXJVL'!G6</f>
        <v>313.39999999999998</v>
      </c>
      <c r="N40" s="590">
        <f>'GEXJVL Limp.Ord.'!N180</f>
        <v>3.1077739128887933</v>
      </c>
      <c r="O40" s="774">
        <f>'Prod. GEXJVL'!H6</f>
        <v>2578.9</v>
      </c>
      <c r="P40" s="590">
        <f>'GEXJVL Limp.Ord.'!N183</f>
        <v>5.593993043199829E-2</v>
      </c>
      <c r="Q40" s="774">
        <f>'Prod. GEXJVL'!I6</f>
        <v>104</v>
      </c>
      <c r="R40" s="590">
        <f>'GEXJVL Limp.Ord.'!N186</f>
        <v>0.93233217386663803</v>
      </c>
      <c r="S40" s="781"/>
      <c r="T40" s="590">
        <f>'GEXJVL Limp.Ord.'!N192</f>
        <v>0.30198931342217389</v>
      </c>
      <c r="U40" s="781">
        <v>274.5</v>
      </c>
      <c r="V40" s="590">
        <f>'GEXJVL Limp.Ord.'!N195</f>
        <v>1.5805588876738939</v>
      </c>
      <c r="W40" s="777">
        <f>'Prod. GEXJVL'!L6</f>
        <v>274.5</v>
      </c>
      <c r="X40" s="590">
        <f>'GEXJVL Limp.Ord.'!N198</f>
        <v>1.5805588876738939</v>
      </c>
      <c r="Y40" s="600">
        <f t="shared" si="3"/>
        <v>9600.3235241922284</v>
      </c>
      <c r="Z40" s="646">
        <f>'Prod. GEXJVL'!Q6*'GEXJVL Covid'!C144</f>
        <v>5067.6764390433209</v>
      </c>
      <c r="AA40" s="710">
        <f>'Prod. GEXJVL'!R6*'GEXJVL Limp.Ord.'!C150</f>
        <v>142.73105770007473</v>
      </c>
      <c r="AB40" s="711">
        <f>'Prod. GEXJVL'!S6*'GEXJVL Covid'!C150</f>
        <v>152.0302931712996</v>
      </c>
      <c r="AC40" s="660"/>
      <c r="AD40" s="156"/>
    </row>
    <row r="41" spans="1:1015" x14ac:dyDescent="0.2">
      <c r="A41" s="659" t="s">
        <v>98</v>
      </c>
      <c r="B41" s="538" t="s">
        <v>411</v>
      </c>
      <c r="C41" s="538" t="s">
        <v>412</v>
      </c>
      <c r="D41" s="269">
        <f>MC!O76/100</f>
        <v>2.5000000000000001E-2</v>
      </c>
      <c r="E41" s="774">
        <f>'Prod. GEXJVL'!C7</f>
        <v>1058</v>
      </c>
      <c r="F41" s="589">
        <f>'GEXJVL Limp.Ord.'!F156</f>
        <v>6.8071700534449189</v>
      </c>
      <c r="G41" s="774">
        <f>'Prod. GEXJVL'!D7</f>
        <v>432.5</v>
      </c>
      <c r="H41" s="590">
        <f>'GEXJVL Limp.Ord.'!F162</f>
        <v>3.6304906951706233</v>
      </c>
      <c r="I41" s="774">
        <f>'Prod. GEXJVL'!E7</f>
        <v>28.5</v>
      </c>
      <c r="J41" s="590">
        <f>'GEXJVL Limp.Ord.'!F168</f>
        <v>5.4457360427559349</v>
      </c>
      <c r="K41" s="774">
        <f>'Prod. GEXJVL'!F7</f>
        <v>57.2</v>
      </c>
      <c r="L41" s="590">
        <f>'GEXJVL Limp.Ord.'!F174</f>
        <v>27.228680213779676</v>
      </c>
      <c r="M41" s="774">
        <f>'Prod. GEXJVL'!G7</f>
        <v>112.5</v>
      </c>
      <c r="N41" s="590">
        <f>'GEXJVL Limp.Ord.'!F180</f>
        <v>3.0254089126421859</v>
      </c>
      <c r="O41" s="774">
        <f>'Prod. GEXJVL'!H7</f>
        <v>52.5</v>
      </c>
      <c r="P41" s="590">
        <f>'GEXJVL Limp.Ord.'!F183</f>
        <v>5.4457360427559359E-2</v>
      </c>
      <c r="Q41" s="774">
        <f>'Prod. GEXJVL'!I7</f>
        <v>210.8</v>
      </c>
      <c r="R41" s="590">
        <f>'GEXJVL Limp.Ord.'!F186</f>
        <v>0.90762267379265582</v>
      </c>
      <c r="S41" s="781"/>
      <c r="T41" s="590">
        <f>'GEXJVL Limp.Ord.'!F192</f>
        <v>0.29523971380074349</v>
      </c>
      <c r="U41" s="781">
        <v>225</v>
      </c>
      <c r="V41" s="590">
        <f>'GEXJVL Limp.Ord.'!F195</f>
        <v>1.5386695042045451</v>
      </c>
      <c r="W41" s="777">
        <f>'Prod. GEXJVL'!L7</f>
        <v>225</v>
      </c>
      <c r="X41" s="590">
        <f>'GEXJVL Limp.Ord.'!F198</f>
        <v>1.5386695042045451</v>
      </c>
      <c r="Y41" s="600">
        <f t="shared" si="3"/>
        <v>11711.802778274989</v>
      </c>
      <c r="Z41" s="646">
        <f>'Prod. GEXJVL'!Q7*'GEXJVL Covid'!C140</f>
        <v>9848.2323999538748</v>
      </c>
      <c r="AA41" s="710">
        <f>'Prod. GEXJVL'!R7*'GEXJVL Limp.Ord.'!C146</f>
        <v>138.68768496069583</v>
      </c>
      <c r="AB41" s="711">
        <f>'Prod. GEXJVL'!S7*'GEXJVL Limp.Ord.'!C150</f>
        <v>142.73105770007473</v>
      </c>
      <c r="AC41" s="660"/>
      <c r="AD41" s="156"/>
    </row>
    <row r="42" spans="1:1015" x14ac:dyDescent="0.2">
      <c r="A42" s="659" t="s">
        <v>101</v>
      </c>
      <c r="B42" s="538" t="s">
        <v>417</v>
      </c>
      <c r="C42" s="538" t="s">
        <v>418</v>
      </c>
      <c r="D42" s="269">
        <f>MC!O77/100</f>
        <v>0.03</v>
      </c>
      <c r="E42" s="774">
        <f>'Prod. GEXJVL'!C8</f>
        <v>790</v>
      </c>
      <c r="F42" s="589">
        <f>'GEXJVL Limp.Ord.'!H156</f>
        <v>6.8433895343225934</v>
      </c>
      <c r="G42" s="774">
        <f>'Prod. GEXJVL'!D8</f>
        <v>765</v>
      </c>
      <c r="H42" s="590">
        <f>'GEXJVL Limp.Ord.'!H162</f>
        <v>3.6498077516387166</v>
      </c>
      <c r="I42" s="774">
        <f>'Prod. GEXJVL'!E8</f>
        <v>24</v>
      </c>
      <c r="J42" s="590">
        <f>'GEXJVL Limp.Ord.'!H168</f>
        <v>5.4747116274580749</v>
      </c>
      <c r="K42" s="774">
        <f>'Prod. GEXJVL'!F8</f>
        <v>44.5</v>
      </c>
      <c r="L42" s="590">
        <f>'GEXJVL Limp.Ord.'!H174</f>
        <v>27.373558137290374</v>
      </c>
      <c r="M42" s="774">
        <f>'Prod. GEXJVL'!G8</f>
        <v>69.2</v>
      </c>
      <c r="N42" s="590">
        <f>'GEXJVL Limp.Ord.'!H180</f>
        <v>3.0415064596989301</v>
      </c>
      <c r="O42" s="774">
        <f>'Prod. GEXJVL'!H8</f>
        <v>0</v>
      </c>
      <c r="P42" s="590">
        <f>'GEXJVL Limp.Ord.'!H183</f>
        <v>5.4747116274580752E-2</v>
      </c>
      <c r="Q42" s="774">
        <f>'Prod. GEXJVL'!I8</f>
        <v>27.5</v>
      </c>
      <c r="R42" s="590">
        <f>'GEXJVL Limp.Ord.'!H186</f>
        <v>0.91245193790967916</v>
      </c>
      <c r="S42" s="781">
        <v>36.700000000000003</v>
      </c>
      <c r="T42" s="590">
        <f>'GEXJVL Limp.Ord.'!H192</f>
        <v>0.29655886631934786</v>
      </c>
      <c r="U42" s="781">
        <v>173.3</v>
      </c>
      <c r="V42" s="590">
        <f>'GEXJVL Limp.Ord.'!H195</f>
        <v>1.5468564321418594</v>
      </c>
      <c r="W42" s="777">
        <f>'Prod. GEXJVL'!L8</f>
        <v>210</v>
      </c>
      <c r="X42" s="590">
        <f>'GEXJVL Limp.Ord.'!H198</f>
        <v>1.5468564321418594</v>
      </c>
      <c r="Y42" s="600">
        <f t="shared" si="3"/>
        <v>10387.255534424461</v>
      </c>
      <c r="Z42" s="646">
        <f>'Prod. GEXJVL'!P8*'GEXJVL Covid'!D141</f>
        <v>4175.3600155560589</v>
      </c>
      <c r="AA42" s="710">
        <f>'Prod. GEXJVL'!R8*'GEXJVL Limp.Ord.'!C147</f>
        <v>139.47792817984509</v>
      </c>
      <c r="AB42" s="711">
        <f>'Prod. GEXJVL'!S8*'GEXJVL Covid'!C147</f>
        <v>148.56521526426147</v>
      </c>
      <c r="AC42" s="660"/>
      <c r="AD42" s="156"/>
    </row>
    <row r="43" spans="1:1015" x14ac:dyDescent="0.2">
      <c r="A43" s="659" t="s">
        <v>104</v>
      </c>
      <c r="B43" s="538" t="s">
        <v>419</v>
      </c>
      <c r="C43" s="538" t="s">
        <v>420</v>
      </c>
      <c r="D43" s="269">
        <f>MC!O78/100</f>
        <v>0.03</v>
      </c>
      <c r="E43" s="774">
        <f>'Prod. GEXJVL'!C9</f>
        <v>529</v>
      </c>
      <c r="F43" s="589">
        <f>'GEXJVL Limp.Ord.'!H156</f>
        <v>6.8433895343225934</v>
      </c>
      <c r="G43" s="774">
        <f>'Prod. GEXJVL'!D9</f>
        <v>190</v>
      </c>
      <c r="H43" s="590">
        <f>'GEXJVL Limp.Ord.'!H162</f>
        <v>3.6498077516387166</v>
      </c>
      <c r="I43" s="774">
        <f>'Prod. GEXJVL'!E9</f>
        <v>12</v>
      </c>
      <c r="J43" s="590">
        <f>'GEXJVL Limp.Ord.'!H168</f>
        <v>5.4747116274580749</v>
      </c>
      <c r="K43" s="774">
        <f>'Prod. GEXJVL'!F9</f>
        <v>49.2</v>
      </c>
      <c r="L43" s="590">
        <f>'GEXJVL Limp.Ord.'!H174</f>
        <v>27.373558137290374</v>
      </c>
      <c r="M43" s="774">
        <f>'Prod. GEXJVL'!G9</f>
        <v>21.6</v>
      </c>
      <c r="N43" s="590">
        <f>'GEXJVL Limp.Ord.'!H180</f>
        <v>3.0415064596989301</v>
      </c>
      <c r="O43" s="774">
        <f>'Prod. GEXJVL'!H9</f>
        <v>38.1</v>
      </c>
      <c r="P43" s="590">
        <f>'GEXJVL Limp.Ord.'!H183</f>
        <v>5.4747116274580752E-2</v>
      </c>
      <c r="Q43" s="774">
        <f>'Prod. GEXJVL'!I9</f>
        <v>40.1</v>
      </c>
      <c r="R43" s="590">
        <f>'GEXJVL Limp.Ord.'!H186</f>
        <v>0.91245193790967916</v>
      </c>
      <c r="S43" s="781">
        <v>56</v>
      </c>
      <c r="T43" s="590">
        <f>'GEXJVL Limp.Ord.'!H192</f>
        <v>0.29655886631934786</v>
      </c>
      <c r="U43" s="781">
        <v>56</v>
      </c>
      <c r="V43" s="590">
        <f>'GEXJVL Limp.Ord.'!H195</f>
        <v>1.5468564321418594</v>
      </c>
      <c r="W43" s="777">
        <f>'Prod. GEXJVL'!L9</f>
        <v>112</v>
      </c>
      <c r="X43" s="590">
        <f>'GEXJVL Limp.Ord.'!H198</f>
        <v>1.5468564321418594</v>
      </c>
      <c r="Y43" s="600">
        <f t="shared" si="3"/>
        <v>6106.9430408356429</v>
      </c>
      <c r="Z43" s="646">
        <f>'Prod. GEXJVL'!P9*'GEXJVL Covid'!D141</f>
        <v>4175.3600155560589</v>
      </c>
      <c r="AA43" s="710">
        <f>'Prod. GEXJVL'!R9*'GEXJVL Limp.Ord.'!C147</f>
        <v>139.47792817984509</v>
      </c>
      <c r="AB43" s="711">
        <f>'Prod. GEXJVL'!S9*'GEXJVL Covid'!C147</f>
        <v>148.56521526426147</v>
      </c>
      <c r="AC43" s="660"/>
      <c r="AD43" s="156"/>
    </row>
    <row r="44" spans="1:1015" x14ac:dyDescent="0.2">
      <c r="A44" s="659" t="s">
        <v>108</v>
      </c>
      <c r="B44" s="538" t="s">
        <v>421</v>
      </c>
      <c r="C44" s="538" t="s">
        <v>422</v>
      </c>
      <c r="D44" s="269">
        <f>MC!O79/100</f>
        <v>0.05</v>
      </c>
      <c r="E44" s="774">
        <f>'Prod. GEXJVL'!C10</f>
        <v>318.3</v>
      </c>
      <c r="F44" s="589">
        <f>'GEXJVL Limp.Ord.'!N156</f>
        <v>6.9924913039997847</v>
      </c>
      <c r="G44" s="774">
        <f>'Prod. GEXJVL'!D10</f>
        <v>33.200000000000003</v>
      </c>
      <c r="H44" s="590">
        <f>'GEXJVL Limp.Ord.'!N162</f>
        <v>3.7293286954665521</v>
      </c>
      <c r="I44" s="774">
        <f>'Prod. GEXJVL'!E10</f>
        <v>11.7</v>
      </c>
      <c r="J44" s="590">
        <f>'GEXJVL Limp.Ord.'!N168</f>
        <v>5.5939930431998288</v>
      </c>
      <c r="K44" s="774">
        <f>'Prod. GEXJVL'!F10</f>
        <v>7.93</v>
      </c>
      <c r="L44" s="590">
        <f>'GEXJVL Limp.Ord.'!N174</f>
        <v>27.969965215999139</v>
      </c>
      <c r="M44" s="774">
        <f>'Prod. GEXJVL'!G10</f>
        <v>0</v>
      </c>
      <c r="N44" s="590">
        <f>'GEXJVL Limp.Ord.'!N180</f>
        <v>3.1077739128887933</v>
      </c>
      <c r="O44" s="774">
        <f>'Prod. GEXJVL'!H10</f>
        <v>0</v>
      </c>
      <c r="P44" s="590">
        <f>'GEXJVL Limp.Ord.'!N183</f>
        <v>5.593993043199829E-2</v>
      </c>
      <c r="Q44" s="774">
        <f>'Prod. GEXJVL'!I10</f>
        <v>0</v>
      </c>
      <c r="R44" s="590">
        <f>'GEXJVL Limp.Ord.'!N186</f>
        <v>0.93233217386663803</v>
      </c>
      <c r="S44" s="781"/>
      <c r="T44" s="590">
        <f>'GEXJVL Limp.Ord.'!N192</f>
        <v>0.30198931342217389</v>
      </c>
      <c r="U44" s="781">
        <v>127.7</v>
      </c>
      <c r="V44" s="590">
        <f>'GEXJVL Limp.Ord.'!N195</f>
        <v>1.5805588876738939</v>
      </c>
      <c r="W44" s="777">
        <f>'Prod. GEXJVL'!L10</f>
        <v>127.7</v>
      </c>
      <c r="X44" s="590">
        <f>'GEXJVL Limp.Ord.'!N198</f>
        <v>1.5805588876738939</v>
      </c>
      <c r="Y44" s="600">
        <f t="shared" si="3"/>
        <v>3040.4499774328447</v>
      </c>
      <c r="Z44" s="646">
        <f>'Prod. GEXBLU'!Q23*'GEXBLU Covid'!C152</f>
        <v>0</v>
      </c>
      <c r="AA44" s="710">
        <f>'Prod. GEXJVL'!R10*'GEXJVL Limp.Ord.'!C150</f>
        <v>142.73105770007473</v>
      </c>
      <c r="AB44" s="711">
        <f>'Prod. GEXJVL'!S10*'GEXJVL Covid'!C150</f>
        <v>152.0302931712996</v>
      </c>
      <c r="AC44" s="660"/>
      <c r="AD44" s="156"/>
    </row>
    <row r="45" spans="1:1015" x14ac:dyDescent="0.2">
      <c r="A45" s="659" t="s">
        <v>111</v>
      </c>
      <c r="B45" s="538" t="s">
        <v>423</v>
      </c>
      <c r="C45" s="538" t="s">
        <v>412</v>
      </c>
      <c r="D45" s="269">
        <f>MC!O80/100</f>
        <v>2.5000000000000001E-2</v>
      </c>
      <c r="E45" s="774">
        <f>'Prod. GEXJVL'!C11</f>
        <v>0</v>
      </c>
      <c r="F45" s="589">
        <f>'GEXJVL Limp.Ord.'!F156</f>
        <v>6.8071700534449189</v>
      </c>
      <c r="G45" s="774">
        <f>'Prod. GEXJVL'!D11</f>
        <v>670</v>
      </c>
      <c r="H45" s="590">
        <f>'GEXJVL Limp.Ord.'!F162</f>
        <v>3.6304906951706233</v>
      </c>
      <c r="I45" s="774">
        <f>'Prod. GEXJVL'!E11</f>
        <v>24.2</v>
      </c>
      <c r="J45" s="590">
        <f>'GEXJVL Limp.Ord.'!F168</f>
        <v>5.4457360427559349</v>
      </c>
      <c r="K45" s="774">
        <f>'Prod. GEXJVL'!F11</f>
        <v>62.5</v>
      </c>
      <c r="L45" s="590">
        <f>'GEXJVL Limp.Ord.'!F174</f>
        <v>27.228680213779676</v>
      </c>
      <c r="M45" s="774">
        <f>'Prod. GEXJVL'!G11</f>
        <v>463</v>
      </c>
      <c r="N45" s="590">
        <f>'GEXJVL Limp.Ord.'!F180</f>
        <v>3.0254089126421859</v>
      </c>
      <c r="O45" s="774">
        <f>'Prod. GEXJVL'!H11</f>
        <v>62.7</v>
      </c>
      <c r="P45" s="590">
        <f>'GEXJVL Limp.Ord.'!F183</f>
        <v>5.4457360427559359E-2</v>
      </c>
      <c r="Q45" s="774">
        <f>'Prod. GEXJVL'!I11</f>
        <v>63.5</v>
      </c>
      <c r="R45" s="590">
        <f>'GEXJVL Limp.Ord.'!F186</f>
        <v>0.90762267379265582</v>
      </c>
      <c r="S45" s="781"/>
      <c r="T45" s="590">
        <f>'GEXJVL Limp.Ord.'!F192</f>
        <v>0.29523971380074349</v>
      </c>
      <c r="U45" s="781">
        <v>214.2</v>
      </c>
      <c r="V45" s="590">
        <f>'GEXJVL Limp.Ord.'!F195</f>
        <v>1.5386695042045451</v>
      </c>
      <c r="W45" s="777">
        <f>'Prod. GEXJVL'!L11</f>
        <v>214.2</v>
      </c>
      <c r="X45" s="590">
        <f>'GEXJVL Limp.Ord.'!F198</f>
        <v>1.5386695042045451</v>
      </c>
      <c r="Y45" s="600">
        <f t="shared" si="3"/>
        <v>6386.9869497994423</v>
      </c>
      <c r="Z45" s="646">
        <f>'Prod. GEXBLU'!Q24*'GEXBLU Covid'!C152</f>
        <v>0</v>
      </c>
      <c r="AA45" s="710">
        <f>'Prod. GEXJVL'!R11*'GEXJVL Limp.Ord.'!C146</f>
        <v>138.68768496069583</v>
      </c>
      <c r="AB45" s="711">
        <f>'Prod. GEXJVL'!S11*'GEXJVL Limp.Ord.'!C150</f>
        <v>142.73105770007473</v>
      </c>
      <c r="AC45" s="660"/>
      <c r="AD45" s="156"/>
    </row>
    <row r="46" spans="1:1015" x14ac:dyDescent="0.2">
      <c r="A46" s="659" t="s">
        <v>114</v>
      </c>
      <c r="B46" s="538" t="s">
        <v>424</v>
      </c>
      <c r="C46" s="538" t="s">
        <v>425</v>
      </c>
      <c r="D46" s="269">
        <f>MC!O81/100</f>
        <v>0.02</v>
      </c>
      <c r="E46" s="774">
        <f>'Prod. GEXJVL'!C12</f>
        <v>800</v>
      </c>
      <c r="F46" s="589">
        <f>'GEXJVL Limp.Ord.'!D156</f>
        <v>6.7713586793940346</v>
      </c>
      <c r="G46" s="774">
        <f>'Prod. GEXJVL'!D12</f>
        <v>0</v>
      </c>
      <c r="H46" s="590">
        <f>'GEXJVL Limp.Ord.'!D162</f>
        <v>3.6113912956768188</v>
      </c>
      <c r="I46" s="774">
        <f>'Prod. GEXJVL'!E12</f>
        <v>0</v>
      </c>
      <c r="J46" s="590">
        <f>'GEXJVL Limp.Ord.'!D168</f>
        <v>5.417086943515228</v>
      </c>
      <c r="K46" s="774">
        <f>'Prod. GEXJVL'!F12</f>
        <v>0</v>
      </c>
      <c r="L46" s="590">
        <f>'GEXJVL Limp.Ord.'!D174</f>
        <v>27.085434717576138</v>
      </c>
      <c r="M46" s="774">
        <f>'Prod. GEXJVL'!G12</f>
        <v>0</v>
      </c>
      <c r="N46" s="590">
        <f>'GEXJVL Limp.Ord.'!D180</f>
        <v>3.0094927463973487</v>
      </c>
      <c r="O46" s="774">
        <f>'Prod. GEXJVL'!H12</f>
        <v>0</v>
      </c>
      <c r="P46" s="590">
        <f>'GEXJVL Limp.Ord.'!D183</f>
        <v>5.4170869435152286E-2</v>
      </c>
      <c r="Q46" s="774">
        <f>'Prod. GEXJVL'!I12</f>
        <v>0</v>
      </c>
      <c r="R46" s="590">
        <f>'GEXJVL Limp.Ord.'!D186</f>
        <v>0.90284782391920471</v>
      </c>
      <c r="S46" s="781"/>
      <c r="T46" s="590">
        <f>'GEXJVL Limp.Ord.'!D192</f>
        <v>0.29393542497248959</v>
      </c>
      <c r="U46" s="781">
        <v>75.36</v>
      </c>
      <c r="V46" s="590">
        <f>'GEXJVL Limp.Ord.'!D195</f>
        <v>1.5305748233425807</v>
      </c>
      <c r="W46" s="777">
        <f>'Prod. GEXJVL'!L12</f>
        <v>0</v>
      </c>
      <c r="X46" s="590">
        <f>'GEXJVL Limp.Ord.'!D198</f>
        <v>1.5305748233425807</v>
      </c>
      <c r="Y46" s="600">
        <f t="shared" si="3"/>
        <v>5532.4310622023249</v>
      </c>
      <c r="Z46" s="646">
        <f>'Prod. GEXBLU'!P25*'GEXBLU Covid'!D154</f>
        <v>0</v>
      </c>
      <c r="AA46" s="710">
        <f>'Prod. GEXJVL'!R12*'GEXJVL Limp.Ord.'!C145</f>
        <v>137.90634589049472</v>
      </c>
      <c r="AB46" s="711">
        <f>'Prod. GEXJVL'!S12*'GEXJVL Covid'!C145</f>
        <v>146.89124100776274</v>
      </c>
      <c r="AC46" s="660"/>
      <c r="AD46" s="156"/>
    </row>
    <row r="47" spans="1:1015" x14ac:dyDescent="0.2">
      <c r="A47" s="659" t="s">
        <v>117</v>
      </c>
      <c r="B47" s="538" t="s">
        <v>426</v>
      </c>
      <c r="C47" s="538" t="s">
        <v>427</v>
      </c>
      <c r="D47" s="269">
        <f>MC!O82/100</f>
        <v>0.03</v>
      </c>
      <c r="E47" s="774">
        <f>'Prod. GEXJVL'!C13</f>
        <v>234.1</v>
      </c>
      <c r="F47" s="589">
        <f>'GEXJVL L.Ord e Covid - APS PR'!G156</f>
        <v>6.3332669600840275</v>
      </c>
      <c r="G47" s="774">
        <f>'Prod. GEXJVL'!D13</f>
        <v>16.8</v>
      </c>
      <c r="H47" s="590">
        <f>'GEXJVL L.Ord e Covid - APS PR'!G162</f>
        <v>3.3777423787114813</v>
      </c>
      <c r="I47" s="774">
        <f>'Prod. GEXJVL'!E13</f>
        <v>9.35</v>
      </c>
      <c r="J47" s="590">
        <f>'GEXJVL L.Ord e Covid - APS PR'!G168</f>
        <v>5.0666135680672229</v>
      </c>
      <c r="K47" s="774">
        <f>'Prod. GEXJVL'!F13</f>
        <v>32.200000000000003</v>
      </c>
      <c r="L47" s="590">
        <f>'GEXJVL L.Ord e Covid - APS PR'!G174</f>
        <v>25.33306784033611</v>
      </c>
      <c r="M47" s="774">
        <f>'Prod. GEXJVL'!G13</f>
        <v>392.4</v>
      </c>
      <c r="N47" s="590">
        <f>'GEXJVL L.Ord e Covid - APS PR'!G180</f>
        <v>2.8147853155929012</v>
      </c>
      <c r="O47" s="774">
        <f>'Prod. GEXJVL'!H13</f>
        <v>467.2</v>
      </c>
      <c r="P47" s="590">
        <f>'GEXJVL L.Ord e Covid - APS PR'!G183</f>
        <v>5.0666135680672228E-2</v>
      </c>
      <c r="Q47" s="774">
        <f>'Prod. GEXJVL'!I13</f>
        <v>203.4</v>
      </c>
      <c r="R47" s="590">
        <f>'GEXJVL L.Ord e Covid - APS PR'!G186</f>
        <v>0.84443559467787033</v>
      </c>
      <c r="S47" s="782"/>
      <c r="T47" s="590"/>
      <c r="U47" s="782">
        <v>75.36</v>
      </c>
      <c r="V47" s="590">
        <f>'GEXJVL L.Ord e Covid - APS PR'!G195</f>
        <v>1.431550065145786</v>
      </c>
      <c r="W47" s="777">
        <f>'Prod. GEXJVL'!L13</f>
        <v>170.72</v>
      </c>
      <c r="X47" s="590">
        <f>'GEXJVL L.Ord e Covid - APS PR'!G198</f>
        <v>1.431550065145786</v>
      </c>
      <c r="Y47" s="600">
        <f t="shared" si="3"/>
        <v>4054.6885050554938</v>
      </c>
      <c r="Z47" s="646">
        <f>'Prod. GEXBLU'!Q26*'GEXBLU Covid'!C153</f>
        <v>0</v>
      </c>
      <c r="AA47" s="710">
        <f>'Prod. GEXJVL'!R13*'GEXJVL L.Ord e Covid - APS PR'!C147</f>
        <v>128.34798110554914</v>
      </c>
      <c r="AB47" s="711">
        <f>'Prod. GEXJVL'!S13*'GEXJVL L.Ord e Covid - APS PR'!E147</f>
        <v>123.92933952957806</v>
      </c>
      <c r="AC47" s="660"/>
      <c r="AD47" s="156"/>
    </row>
    <row r="48" spans="1:1015" x14ac:dyDescent="0.2">
      <c r="A48" s="978"/>
      <c r="B48" s="978"/>
      <c r="C48" s="978"/>
      <c r="D48" s="979"/>
      <c r="E48" s="300">
        <f>SUM(E38:E47)</f>
        <v>5854.4000000000005</v>
      </c>
      <c r="F48" s="301"/>
      <c r="G48" s="595">
        <f>SUM(G38:G47)</f>
        <v>4620.9000000000005</v>
      </c>
      <c r="H48" s="595">
        <f>SUM(H38:H47)</f>
        <v>36.288686405749424</v>
      </c>
      <c r="I48" s="595">
        <f>SUM(I38:I47)</f>
        <v>150.15</v>
      </c>
      <c r="J48" s="595"/>
      <c r="K48" s="595">
        <f>SUM(K38:K47)</f>
        <v>452.13</v>
      </c>
      <c r="L48" s="596"/>
      <c r="M48" s="602">
        <f>SUM(M38:M47)</f>
        <v>2621.4</v>
      </c>
      <c r="N48" s="603"/>
      <c r="O48" s="602">
        <f>SUM(O38:O47)</f>
        <v>3290.3999999999996</v>
      </c>
      <c r="P48" s="596"/>
      <c r="Q48" s="595">
        <f>SUM(Q38:Q47)</f>
        <v>798.3</v>
      </c>
      <c r="R48" s="596"/>
      <c r="S48" s="595">
        <f>SUM(S38:S47)</f>
        <v>508.94</v>
      </c>
      <c r="T48" s="596"/>
      <c r="U48" s="602">
        <f>SUM(U38:U47)</f>
        <v>1743.78</v>
      </c>
      <c r="V48" s="596"/>
      <c r="W48" s="604">
        <f>SUM(W38:W47)</f>
        <v>2272.7199999999998</v>
      </c>
      <c r="X48" s="596"/>
      <c r="Y48" s="596">
        <f>SUM(Y38:Y47)</f>
        <v>85085.981883552915</v>
      </c>
      <c r="Z48" s="348">
        <f>SUM(Z38:Z47)</f>
        <v>27441.988885665374</v>
      </c>
      <c r="AA48" s="604">
        <f>SUM(AA38:AA47)</f>
        <v>1386.2132818178161</v>
      </c>
      <c r="AB48" s="348">
        <f>SUM(AB38:AB47)</f>
        <v>1453.7624140721821</v>
      </c>
      <c r="AC48" s="596">
        <f>SUM(AC38:AC47)</f>
        <v>4043.6000000000004</v>
      </c>
      <c r="AD48" s="156"/>
    </row>
    <row r="50" spans="1:29" ht="15" x14ac:dyDescent="0.25">
      <c r="A50" s="810" t="s">
        <v>428</v>
      </c>
      <c r="B50" s="975" t="s">
        <v>429</v>
      </c>
      <c r="C50" s="975"/>
      <c r="D50" s="975"/>
      <c r="E50" s="975"/>
      <c r="F50" s="975"/>
      <c r="G50" s="975"/>
      <c r="H50" s="975"/>
      <c r="I50" s="975"/>
      <c r="J50" s="975"/>
      <c r="K50" s="975"/>
      <c r="L50" s="975"/>
      <c r="M50" s="975"/>
      <c r="N50" s="975"/>
      <c r="O50" s="975"/>
      <c r="P50" s="975"/>
      <c r="Q50" s="975"/>
      <c r="R50" s="975"/>
      <c r="S50" s="975"/>
      <c r="T50" s="975"/>
      <c r="U50" s="975"/>
      <c r="V50" s="975"/>
      <c r="W50" s="975"/>
      <c r="X50" s="975"/>
      <c r="Y50" s="812">
        <f>ROUND(Y24+Y37+Y48,2)</f>
        <v>327859.78999999998</v>
      </c>
      <c r="Z50" s="812">
        <f>ROUND(Z24+Z37+Z48,2)</f>
        <v>137082.95000000001</v>
      </c>
      <c r="AA50" s="812">
        <f>ROUND(AA24+AA37+AA48,2)</f>
        <v>5563.92</v>
      </c>
      <c r="AB50" s="812">
        <f>ROUND(AB24+AB37+AB48,2)</f>
        <v>5902.46</v>
      </c>
      <c r="AC50" s="812">
        <f>ROUND(AC24+AC37+AC48,2)</f>
        <v>12130.8</v>
      </c>
    </row>
    <row r="51" spans="1:29" ht="15" x14ac:dyDescent="0.25">
      <c r="A51" s="810" t="s">
        <v>428</v>
      </c>
      <c r="B51" s="813" t="s">
        <v>428</v>
      </c>
      <c r="C51" s="813" t="s">
        <v>428</v>
      </c>
      <c r="D51" s="813" t="s">
        <v>428</v>
      </c>
      <c r="E51" s="811" t="s">
        <v>428</v>
      </c>
      <c r="F51" s="814" t="s">
        <v>428</v>
      </c>
      <c r="G51" s="811" t="s">
        <v>428</v>
      </c>
      <c r="H51" s="811" t="s">
        <v>428</v>
      </c>
      <c r="I51" s="811" t="s">
        <v>428</v>
      </c>
      <c r="J51" s="811" t="s">
        <v>428</v>
      </c>
      <c r="K51" s="811" t="s">
        <v>428</v>
      </c>
      <c r="L51" s="811" t="s">
        <v>428</v>
      </c>
      <c r="M51" s="811" t="s">
        <v>428</v>
      </c>
      <c r="N51" s="811" t="s">
        <v>428</v>
      </c>
      <c r="O51" s="811" t="s">
        <v>428</v>
      </c>
      <c r="P51" s="815" t="s">
        <v>428</v>
      </c>
      <c r="Q51" s="816" t="s">
        <v>428</v>
      </c>
      <c r="R51" s="811" t="s">
        <v>428</v>
      </c>
      <c r="S51" s="814" t="s">
        <v>428</v>
      </c>
      <c r="T51" s="811" t="s">
        <v>428</v>
      </c>
      <c r="U51" s="811" t="s">
        <v>428</v>
      </c>
      <c r="V51" s="811" t="s">
        <v>428</v>
      </c>
      <c r="W51" s="811" t="s">
        <v>428</v>
      </c>
      <c r="X51" s="811" t="s">
        <v>428</v>
      </c>
      <c r="Y51" s="811" t="s">
        <v>428</v>
      </c>
      <c r="Z51" s="811" t="s">
        <v>428</v>
      </c>
      <c r="AA51" s="811" t="s">
        <v>428</v>
      </c>
      <c r="AB51" s="811" t="s">
        <v>428</v>
      </c>
      <c r="AC51" s="811" t="s">
        <v>428</v>
      </c>
    </row>
    <row r="52" spans="1:29" x14ac:dyDescent="0.2">
      <c r="A52" s="817" t="s">
        <v>428</v>
      </c>
      <c r="B52" s="817" t="s">
        <v>428</v>
      </c>
      <c r="C52" s="817" t="s">
        <v>428</v>
      </c>
      <c r="D52" s="817" t="s">
        <v>428</v>
      </c>
      <c r="E52" s="818" t="s">
        <v>428</v>
      </c>
      <c r="F52" s="818" t="s">
        <v>428</v>
      </c>
      <c r="G52" s="818" t="s">
        <v>428</v>
      </c>
      <c r="H52" s="818" t="s">
        <v>428</v>
      </c>
      <c r="I52" s="818" t="s">
        <v>428</v>
      </c>
      <c r="J52" s="818" t="s">
        <v>428</v>
      </c>
      <c r="K52" s="818" t="s">
        <v>428</v>
      </c>
      <c r="L52" s="818" t="s">
        <v>428</v>
      </c>
      <c r="M52" s="818" t="s">
        <v>428</v>
      </c>
      <c r="N52" s="818" t="s">
        <v>428</v>
      </c>
      <c r="O52" s="818" t="s">
        <v>428</v>
      </c>
      <c r="P52" s="818" t="s">
        <v>428</v>
      </c>
      <c r="Q52" s="818" t="s">
        <v>428</v>
      </c>
      <c r="R52" s="818" t="s">
        <v>428</v>
      </c>
      <c r="S52" s="818" t="s">
        <v>428</v>
      </c>
      <c r="T52" s="818" t="s">
        <v>428</v>
      </c>
      <c r="U52" s="818" t="s">
        <v>428</v>
      </c>
      <c r="V52" s="818" t="s">
        <v>428</v>
      </c>
      <c r="W52" s="818" t="s">
        <v>428</v>
      </c>
      <c r="X52" s="818" t="s">
        <v>428</v>
      </c>
      <c r="Y52" s="818" t="s">
        <v>428</v>
      </c>
      <c r="Z52" s="818" t="s">
        <v>428</v>
      </c>
      <c r="AA52" s="818" t="s">
        <v>428</v>
      </c>
      <c r="AB52" s="976" t="s">
        <v>63</v>
      </c>
      <c r="AC52" s="819">
        <f>SUM(Y50:AC50)</f>
        <v>488539.92</v>
      </c>
    </row>
    <row r="53" spans="1:29" x14ac:dyDescent="0.2">
      <c r="A53" s="820" t="s">
        <v>428</v>
      </c>
      <c r="B53" s="820" t="s">
        <v>428</v>
      </c>
      <c r="C53" s="820" t="s">
        <v>428</v>
      </c>
      <c r="D53" s="820" t="s">
        <v>428</v>
      </c>
      <c r="E53" s="821" t="s">
        <v>428</v>
      </c>
      <c r="F53" s="821" t="s">
        <v>428</v>
      </c>
      <c r="G53" s="821" t="s">
        <v>428</v>
      </c>
      <c r="H53" s="821" t="s">
        <v>428</v>
      </c>
      <c r="I53" s="821" t="s">
        <v>428</v>
      </c>
      <c r="J53" s="821" t="s">
        <v>428</v>
      </c>
      <c r="K53" s="821" t="s">
        <v>428</v>
      </c>
      <c r="L53" s="821" t="s">
        <v>428</v>
      </c>
      <c r="M53" s="821" t="s">
        <v>428</v>
      </c>
      <c r="N53" s="821" t="s">
        <v>428</v>
      </c>
      <c r="O53" s="821" t="s">
        <v>428</v>
      </c>
      <c r="P53" s="821" t="s">
        <v>428</v>
      </c>
      <c r="Q53" s="821" t="s">
        <v>428</v>
      </c>
      <c r="R53" s="821" t="s">
        <v>428</v>
      </c>
      <c r="S53" s="821" t="s">
        <v>428</v>
      </c>
      <c r="T53" s="821" t="s">
        <v>428</v>
      </c>
      <c r="U53" s="821" t="s">
        <v>428</v>
      </c>
      <c r="V53" s="821" t="s">
        <v>428</v>
      </c>
      <c r="W53" s="821" t="s">
        <v>428</v>
      </c>
      <c r="X53" s="821" t="s">
        <v>428</v>
      </c>
      <c r="Y53" s="821" t="s">
        <v>428</v>
      </c>
      <c r="Z53" s="821" t="s">
        <v>428</v>
      </c>
      <c r="AA53" s="821" t="s">
        <v>428</v>
      </c>
      <c r="AB53" s="977"/>
      <c r="AC53" s="822">
        <f>AC52*12</f>
        <v>5862479.04</v>
      </c>
    </row>
    <row r="55" spans="1:29" x14ac:dyDescent="0.2">
      <c r="AB55" s="823"/>
    </row>
    <row r="81" spans="2:30" ht="15" x14ac:dyDescent="0.2">
      <c r="B81" s="953" t="s">
        <v>429</v>
      </c>
      <c r="C81" s="953"/>
      <c r="D81" s="953"/>
      <c r="E81" s="953"/>
      <c r="F81" s="953"/>
      <c r="G81" s="953"/>
      <c r="H81" s="953"/>
      <c r="I81" s="953"/>
      <c r="J81" s="953"/>
      <c r="K81" s="953"/>
      <c r="L81" s="953"/>
      <c r="M81" s="953"/>
      <c r="N81" s="953"/>
      <c r="O81" s="953"/>
      <c r="P81" s="953"/>
      <c r="Q81" s="953"/>
      <c r="R81" s="953"/>
      <c r="S81" s="953"/>
      <c r="T81" s="953"/>
      <c r="U81" s="953"/>
      <c r="V81" s="953"/>
      <c r="W81" s="953"/>
      <c r="X81" s="953"/>
      <c r="Y81" s="953"/>
      <c r="Z81" s="172">
        <f>Y24+Y37</f>
        <v>242773.8033460218</v>
      </c>
      <c r="AA81" s="172">
        <f>Z24+Z37</f>
        <v>109640.95772324761</v>
      </c>
      <c r="AB81" s="173">
        <f>AA24+AA37</f>
        <v>4177.705044372361</v>
      </c>
      <c r="AC81" s="172">
        <f>AB24+AB37</f>
        <v>4448.6948916077854</v>
      </c>
      <c r="AD81" s="172">
        <f>AC24+AC37</f>
        <v>8087.2000000000007</v>
      </c>
    </row>
    <row r="82" spans="2:30" ht="15" x14ac:dyDescent="0.2">
      <c r="B82" s="174"/>
      <c r="C82" s="174"/>
      <c r="D82" s="174"/>
      <c r="E82" s="174"/>
      <c r="F82" s="175"/>
      <c r="G82" s="176"/>
      <c r="H82" s="175"/>
      <c r="I82" s="175"/>
      <c r="J82" s="172"/>
      <c r="K82" s="172"/>
      <c r="L82" s="172"/>
      <c r="M82" s="172"/>
      <c r="N82" s="172"/>
      <c r="O82" s="172"/>
      <c r="P82" s="172"/>
      <c r="Q82" s="177"/>
      <c r="R82" s="178"/>
      <c r="S82" s="175"/>
      <c r="T82" s="176"/>
      <c r="U82" s="175"/>
      <c r="V82" s="175"/>
      <c r="W82" s="172"/>
      <c r="X82" s="172"/>
      <c r="Y82" s="172"/>
      <c r="Z82" s="172"/>
      <c r="AA82" s="172"/>
      <c r="AB82" s="175"/>
      <c r="AC82" s="172"/>
      <c r="AD82" s="172"/>
    </row>
    <row r="83" spans="2:30" x14ac:dyDescent="0.2">
      <c r="B83" s="179"/>
      <c r="C83" s="179"/>
      <c r="D83" s="179"/>
      <c r="E83" s="179"/>
      <c r="F83" s="180"/>
      <c r="G83" s="180"/>
      <c r="H83" s="180"/>
      <c r="I83" s="180"/>
      <c r="J83" s="181"/>
      <c r="K83" s="181"/>
      <c r="L83" s="181"/>
      <c r="M83" s="181"/>
      <c r="N83" s="181"/>
      <c r="O83" s="180"/>
      <c r="P83" s="180"/>
      <c r="Q83" s="180"/>
      <c r="R83" s="181"/>
      <c r="S83" s="181"/>
      <c r="T83" s="180"/>
      <c r="U83" s="180"/>
      <c r="V83" s="180"/>
      <c r="W83" s="181"/>
      <c r="X83" s="181"/>
      <c r="Y83" s="181"/>
      <c r="Z83" s="181"/>
      <c r="AA83" s="181"/>
      <c r="AB83" s="180"/>
      <c r="AC83" s="952" t="s">
        <v>63</v>
      </c>
      <c r="AD83" s="177">
        <f>Z81+AA81+AB81+AC81+AD81</f>
        <v>369128.36100524955</v>
      </c>
    </row>
    <row r="84" spans="2:30" x14ac:dyDescent="0.2">
      <c r="B84" s="182"/>
      <c r="C84" s="182"/>
      <c r="D84" s="182"/>
      <c r="E84" s="182"/>
      <c r="F84" s="183"/>
      <c r="G84" s="183"/>
      <c r="H84" s="183"/>
      <c r="I84" s="183"/>
      <c r="J84" s="184"/>
      <c r="K84" s="184"/>
      <c r="L84" s="184"/>
      <c r="M84" s="184"/>
      <c r="N84" s="184"/>
      <c r="O84" s="183"/>
      <c r="P84" s="183"/>
      <c r="Q84" s="183"/>
      <c r="R84" s="184"/>
      <c r="S84" s="184"/>
      <c r="T84" s="183"/>
      <c r="U84" s="183"/>
      <c r="V84" s="183"/>
      <c r="W84" s="184"/>
      <c r="X84" s="184"/>
      <c r="Y84" s="184"/>
      <c r="Z84" s="184"/>
      <c r="AA84" s="184"/>
      <c r="AB84" s="183"/>
      <c r="AC84" s="952"/>
      <c r="AD84" s="177">
        <f>AD83*12</f>
        <v>4429540.3320629951</v>
      </c>
    </row>
    <row r="1048576" ht="15" customHeight="1" x14ac:dyDescent="0.2"/>
  </sheetData>
  <mergeCells count="28">
    <mergeCell ref="G3:H4"/>
    <mergeCell ref="E3:F4"/>
    <mergeCell ref="S3:T4"/>
    <mergeCell ref="Q3:R4"/>
    <mergeCell ref="O3:P4"/>
    <mergeCell ref="M3:N4"/>
    <mergeCell ref="K3:L4"/>
    <mergeCell ref="AB3:AB4"/>
    <mergeCell ref="AA3:AA4"/>
    <mergeCell ref="Y3:Y4"/>
    <mergeCell ref="W3:X4"/>
    <mergeCell ref="U3:V4"/>
    <mergeCell ref="AC83:AC84"/>
    <mergeCell ref="B81:Y81"/>
    <mergeCell ref="A37:D37"/>
    <mergeCell ref="A1:AC1"/>
    <mergeCell ref="E2:L2"/>
    <mergeCell ref="M2:R2"/>
    <mergeCell ref="S2:X2"/>
    <mergeCell ref="AC3:AC4"/>
    <mergeCell ref="I3:J4"/>
    <mergeCell ref="D3:D5"/>
    <mergeCell ref="A3:C5"/>
    <mergeCell ref="Z3:Z4"/>
    <mergeCell ref="B50:X50"/>
    <mergeCell ref="AB52:AB53"/>
    <mergeCell ref="A48:D48"/>
    <mergeCell ref="A24:D24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5724"/>
  </sheetPr>
  <dimension ref="A1:AMC176"/>
  <sheetViews>
    <sheetView zoomScale="80" zoomScaleNormal="80" workbookViewId="0">
      <pane xSplit="2" ySplit="3" topLeftCell="C4" activePane="bottomRight" state="frozen"/>
      <selection pane="topRight"/>
      <selection pane="bottomLeft"/>
      <selection pane="bottomRight" activeCell="V6" sqref="V6"/>
    </sheetView>
  </sheetViews>
  <sheetFormatPr defaultRowHeight="14.25" x14ac:dyDescent="0.2"/>
  <cols>
    <col min="1" max="1" width="34.5"/>
    <col min="3" max="3" width="11.25" customWidth="1"/>
    <col min="4" max="4" width="13.625"/>
    <col min="5" max="5" width="9.625"/>
    <col min="6" max="6" width="11.625"/>
    <col min="8" max="8" width="13.5"/>
    <col min="9" max="9" width="11.125"/>
    <col min="10" max="10" width="9.875"/>
    <col min="11" max="11" width="12.25"/>
    <col min="12" max="12" width="12.5"/>
    <col min="13" max="15" width="9.25"/>
    <col min="16" max="16" width="12.125" customWidth="1"/>
    <col min="17" max="17" width="9.25"/>
    <col min="18" max="18" width="10.875" customWidth="1"/>
    <col min="19" max="20" width="10.625" customWidth="1"/>
    <col min="21" max="21" width="11.625"/>
    <col min="22" max="22" width="9.25"/>
    <col min="23" max="1018" width="10.625"/>
  </cols>
  <sheetData>
    <row r="1" spans="1:22" ht="15" customHeight="1" x14ac:dyDescent="0.2">
      <c r="A1" s="554"/>
      <c r="B1" s="554"/>
      <c r="C1" s="1007" t="s">
        <v>333</v>
      </c>
      <c r="D1" s="1007"/>
      <c r="E1" s="1007"/>
      <c r="F1" s="1007"/>
      <c r="G1" s="1008" t="s">
        <v>334</v>
      </c>
      <c r="H1" s="1008"/>
      <c r="I1" s="1008"/>
      <c r="J1" s="1009" t="s">
        <v>335</v>
      </c>
      <c r="K1" s="1009"/>
      <c r="L1" s="1009"/>
      <c r="M1" s="554"/>
      <c r="N1" s="554"/>
      <c r="O1" s="554"/>
      <c r="P1" s="554"/>
      <c r="Q1" s="554"/>
      <c r="R1" s="1004"/>
      <c r="S1" s="1004"/>
      <c r="T1" s="1004"/>
      <c r="U1" s="554"/>
      <c r="V1" s="156"/>
    </row>
    <row r="2" spans="1:22" ht="60" customHeight="1" x14ac:dyDescent="0.2">
      <c r="A2" s="1014" t="s">
        <v>86</v>
      </c>
      <c r="B2" s="1016" t="s">
        <v>430</v>
      </c>
      <c r="C2" s="1015" t="s">
        <v>342</v>
      </c>
      <c r="D2" s="1015" t="s">
        <v>343</v>
      </c>
      <c r="E2" s="1015" t="s">
        <v>344</v>
      </c>
      <c r="F2" s="1015" t="s">
        <v>431</v>
      </c>
      <c r="G2" s="1010" t="s">
        <v>346</v>
      </c>
      <c r="H2" s="1011" t="s">
        <v>432</v>
      </c>
      <c r="I2" s="1010" t="s">
        <v>348</v>
      </c>
      <c r="J2" s="1012" t="s">
        <v>349</v>
      </c>
      <c r="K2" s="1012" t="s">
        <v>350</v>
      </c>
      <c r="L2" s="1013" t="s">
        <v>351</v>
      </c>
      <c r="M2" s="1005" t="s">
        <v>433</v>
      </c>
      <c r="N2" s="1005" t="s">
        <v>434</v>
      </c>
      <c r="O2" s="1005"/>
      <c r="P2" s="1006" t="s">
        <v>435</v>
      </c>
      <c r="Q2" s="1006"/>
      <c r="R2" s="499" t="s">
        <v>436</v>
      </c>
      <c r="S2" s="500" t="s">
        <v>437</v>
      </c>
      <c r="T2" s="501" t="s">
        <v>438</v>
      </c>
      <c r="U2" s="502" t="s">
        <v>439</v>
      </c>
      <c r="V2" s="160"/>
    </row>
    <row r="3" spans="1:22" x14ac:dyDescent="0.2">
      <c r="A3" s="1014"/>
      <c r="B3" s="1017"/>
      <c r="C3" s="1015"/>
      <c r="D3" s="1015"/>
      <c r="E3" s="1015"/>
      <c r="F3" s="1015"/>
      <c r="G3" s="1010"/>
      <c r="H3" s="1011"/>
      <c r="I3" s="1010"/>
      <c r="J3" s="1012"/>
      <c r="K3" s="1012"/>
      <c r="L3" s="1013"/>
      <c r="M3" s="1005"/>
      <c r="N3" s="498" t="s">
        <v>360</v>
      </c>
      <c r="O3" s="498" t="s">
        <v>361</v>
      </c>
      <c r="P3" s="503" t="s">
        <v>360</v>
      </c>
      <c r="Q3" s="503" t="s">
        <v>361</v>
      </c>
      <c r="R3" s="504" t="s">
        <v>440</v>
      </c>
      <c r="S3" s="505" t="s">
        <v>440</v>
      </c>
      <c r="T3" s="506" t="s">
        <v>441</v>
      </c>
      <c r="U3" s="502" t="s">
        <v>361</v>
      </c>
      <c r="V3" s="160"/>
    </row>
    <row r="4" spans="1:22" x14ac:dyDescent="0.2">
      <c r="A4" s="507" t="s">
        <v>87</v>
      </c>
      <c r="B4" s="753">
        <f>'Resumo Proposta'!D6</f>
        <v>2.5000000000000001E-2</v>
      </c>
      <c r="C4" s="508">
        <v>1685.66</v>
      </c>
      <c r="D4" s="509"/>
      <c r="E4" s="509">
        <v>315.92</v>
      </c>
      <c r="F4" s="509">
        <v>140.08000000000001</v>
      </c>
      <c r="G4" s="509"/>
      <c r="H4" s="509"/>
      <c r="I4" s="509">
        <v>108.55</v>
      </c>
      <c r="J4" s="565">
        <f t="shared" ref="J4:J19" si="0">L4-K4</f>
        <v>370.86</v>
      </c>
      <c r="K4" s="509">
        <v>123.07</v>
      </c>
      <c r="L4" s="509">
        <v>493.93</v>
      </c>
      <c r="M4" s="552">
        <f>C4/$C$23+D4/$D$23+E4/$E$23+F4/$F$23+G4/$G$23+H4/$H$23+I4/$I$23+K4/$K$23*16*1/188.76+L4/$L$23*16*1/188.76</f>
        <v>2.6796109197713509</v>
      </c>
      <c r="N4" s="510"/>
      <c r="O4" s="510">
        <v>3</v>
      </c>
      <c r="P4" s="768"/>
      <c r="Q4" s="768"/>
      <c r="R4" s="533">
        <v>6</v>
      </c>
      <c r="S4" s="510">
        <v>6</v>
      </c>
      <c r="T4" s="511">
        <v>22</v>
      </c>
      <c r="U4" s="512">
        <v>1</v>
      </c>
    </row>
    <row r="5" spans="1:22" x14ac:dyDescent="0.2">
      <c r="A5" s="513" t="s">
        <v>90</v>
      </c>
      <c r="B5" s="753">
        <f>'Resumo Proposta'!D7</f>
        <v>0.05</v>
      </c>
      <c r="C5" s="509">
        <v>205.83</v>
      </c>
      <c r="D5" s="509"/>
      <c r="E5" s="509"/>
      <c r="F5" s="509">
        <v>9.8800000000000008</v>
      </c>
      <c r="G5" s="509"/>
      <c r="H5" s="509"/>
      <c r="I5" s="509">
        <v>76.02</v>
      </c>
      <c r="J5" s="566">
        <f t="shared" si="0"/>
        <v>0</v>
      </c>
      <c r="K5" s="509">
        <v>24.99</v>
      </c>
      <c r="L5" s="509">
        <v>24.99</v>
      </c>
      <c r="M5" s="552">
        <f t="shared" ref="M5:M21" si="1">C5/$C$23+D5/$D$23+E5/$E$23+F5/$F$23+G5/$G$23+H5/$H$23+I5/$I$23+K5/$K$23*16*1/188.76+L5/$L$23*16*1/188.76</f>
        <v>0.2787154731393009</v>
      </c>
      <c r="N5" s="510">
        <v>1</v>
      </c>
      <c r="O5" s="510"/>
      <c r="P5" s="768"/>
      <c r="Q5" s="768"/>
      <c r="R5" s="533">
        <v>6</v>
      </c>
      <c r="S5" s="510">
        <v>6</v>
      </c>
      <c r="T5" s="511"/>
      <c r="U5" s="514"/>
    </row>
    <row r="6" spans="1:22" x14ac:dyDescent="0.2">
      <c r="A6" s="515" t="s">
        <v>93</v>
      </c>
      <c r="B6" s="753">
        <f>'Resumo Proposta'!D8</f>
        <v>0.03</v>
      </c>
      <c r="C6" s="509">
        <v>303.05</v>
      </c>
      <c r="D6" s="509"/>
      <c r="E6" s="509">
        <v>17.329999999999998</v>
      </c>
      <c r="F6" s="509">
        <v>17.88</v>
      </c>
      <c r="G6" s="509">
        <v>153.11000000000001</v>
      </c>
      <c r="H6" s="509">
        <v>40.53</v>
      </c>
      <c r="I6" s="509">
        <v>25.8</v>
      </c>
      <c r="J6" s="566">
        <f t="shared" si="0"/>
        <v>0</v>
      </c>
      <c r="K6" s="509">
        <v>54.06</v>
      </c>
      <c r="L6" s="509">
        <v>54.06</v>
      </c>
      <c r="M6" s="552">
        <f t="shared" si="1"/>
        <v>0.48827219471435884</v>
      </c>
      <c r="N6" s="510"/>
      <c r="O6" s="510">
        <v>1</v>
      </c>
      <c r="P6" s="768"/>
      <c r="Q6" s="769">
        <v>1</v>
      </c>
      <c r="R6" s="533">
        <v>6</v>
      </c>
      <c r="S6" s="510">
        <v>6</v>
      </c>
      <c r="T6" s="511"/>
      <c r="U6" s="514"/>
    </row>
    <row r="7" spans="1:22" x14ac:dyDescent="0.2">
      <c r="A7" s="513" t="s">
        <v>96</v>
      </c>
      <c r="B7" s="753">
        <f>'Resumo Proposta'!D9</f>
        <v>0.05</v>
      </c>
      <c r="C7" s="508">
        <v>1603.29</v>
      </c>
      <c r="D7" s="509"/>
      <c r="E7" s="509">
        <v>31.66</v>
      </c>
      <c r="F7" s="509">
        <v>54.3</v>
      </c>
      <c r="G7" s="509">
        <v>253.11</v>
      </c>
      <c r="H7" s="509">
        <v>610.95000000000005</v>
      </c>
      <c r="I7" s="509">
        <v>205.15</v>
      </c>
      <c r="J7" s="566">
        <f t="shared" si="0"/>
        <v>0</v>
      </c>
      <c r="K7" s="509">
        <v>365.74</v>
      </c>
      <c r="L7" s="509">
        <v>365.74</v>
      </c>
      <c r="M7" s="552">
        <f t="shared" si="1"/>
        <v>2.2497779003343812</v>
      </c>
      <c r="N7" s="510"/>
      <c r="O7" s="510">
        <v>2</v>
      </c>
      <c r="P7" s="769">
        <v>1</v>
      </c>
      <c r="Q7" s="768"/>
      <c r="R7" s="533">
        <v>6</v>
      </c>
      <c r="S7" s="510">
        <v>6</v>
      </c>
      <c r="T7" s="511"/>
      <c r="U7" s="514"/>
    </row>
    <row r="8" spans="1:22" x14ac:dyDescent="0.2">
      <c r="A8" s="515" t="s">
        <v>99</v>
      </c>
      <c r="B8" s="753">
        <f>'Resumo Proposta'!D10</f>
        <v>2.5000000000000001E-2</v>
      </c>
      <c r="C8" s="509">
        <v>924.57</v>
      </c>
      <c r="D8" s="509"/>
      <c r="E8" s="509"/>
      <c r="F8" s="509">
        <v>89.18</v>
      </c>
      <c r="G8" s="509"/>
      <c r="H8" s="509"/>
      <c r="I8" s="509"/>
      <c r="J8" s="566">
        <f t="shared" si="0"/>
        <v>109.56000000000002</v>
      </c>
      <c r="K8" s="509">
        <v>93.49</v>
      </c>
      <c r="L8" s="509">
        <v>203.05</v>
      </c>
      <c r="M8" s="552">
        <f t="shared" si="1"/>
        <v>1.3794245868963571</v>
      </c>
      <c r="N8" s="510"/>
      <c r="O8" s="510">
        <v>2</v>
      </c>
      <c r="P8" s="768"/>
      <c r="Q8" s="769">
        <v>2</v>
      </c>
      <c r="R8" s="533">
        <v>6</v>
      </c>
      <c r="S8" s="510">
        <v>6</v>
      </c>
      <c r="T8" s="511"/>
      <c r="U8" s="514"/>
    </row>
    <row r="9" spans="1:22" x14ac:dyDescent="0.2">
      <c r="A9" s="513" t="s">
        <v>102</v>
      </c>
      <c r="B9" s="753">
        <f>'Resumo Proposta'!D11</f>
        <v>2.5000000000000001E-2</v>
      </c>
      <c r="C9" s="509"/>
      <c r="D9" s="509">
        <v>733.24</v>
      </c>
      <c r="E9" s="509">
        <v>2021.22</v>
      </c>
      <c r="F9" s="509">
        <v>188.52</v>
      </c>
      <c r="G9" s="509">
        <v>2104.21</v>
      </c>
      <c r="H9" s="509">
        <v>1082.81</v>
      </c>
      <c r="I9" s="509">
        <v>1235.71</v>
      </c>
      <c r="J9" s="566">
        <f t="shared" si="0"/>
        <v>98.139999999999986</v>
      </c>
      <c r="K9" s="509">
        <v>651.53</v>
      </c>
      <c r="L9" s="509">
        <v>749.67</v>
      </c>
      <c r="M9" s="552">
        <f t="shared" si="1"/>
        <v>3.509197316684078</v>
      </c>
      <c r="N9" s="510"/>
      <c r="O9" s="510">
        <v>1</v>
      </c>
      <c r="P9" s="768"/>
      <c r="Q9" s="768"/>
      <c r="R9" s="533">
        <v>6</v>
      </c>
      <c r="S9" s="510">
        <v>6</v>
      </c>
      <c r="T9" s="511"/>
      <c r="U9" s="514"/>
    </row>
    <row r="10" spans="1:22" x14ac:dyDescent="0.2">
      <c r="A10" s="516" t="s">
        <v>106</v>
      </c>
      <c r="B10" s="753">
        <f>'Resumo Proposta'!D12</f>
        <v>0.05</v>
      </c>
      <c r="C10" s="509">
        <v>404.33</v>
      </c>
      <c r="D10" s="509"/>
      <c r="E10" s="509"/>
      <c r="F10" s="509">
        <v>20.97</v>
      </c>
      <c r="G10" s="509">
        <v>16.059999999999999</v>
      </c>
      <c r="H10" s="509"/>
      <c r="I10" s="509">
        <v>288.67</v>
      </c>
      <c r="J10" s="566">
        <f t="shared" si="0"/>
        <v>0</v>
      </c>
      <c r="K10" s="509">
        <v>60.2</v>
      </c>
      <c r="L10" s="509">
        <v>60.2</v>
      </c>
      <c r="M10" s="552">
        <f t="shared" si="1"/>
        <v>0.57909798976320492</v>
      </c>
      <c r="N10" s="510"/>
      <c r="O10" s="510">
        <v>1</v>
      </c>
      <c r="P10" s="768"/>
      <c r="Q10" s="769">
        <v>1</v>
      </c>
      <c r="R10" s="533">
        <v>6</v>
      </c>
      <c r="S10" s="510">
        <v>6</v>
      </c>
      <c r="T10" s="511"/>
      <c r="U10" s="514"/>
    </row>
    <row r="11" spans="1:22" x14ac:dyDescent="0.2">
      <c r="A11" s="517" t="s">
        <v>109</v>
      </c>
      <c r="B11" s="753">
        <f>'Resumo Proposta'!D13</f>
        <v>0.05</v>
      </c>
      <c r="C11" s="509">
        <v>271.87</v>
      </c>
      <c r="D11" s="509"/>
      <c r="E11" s="509"/>
      <c r="F11" s="509">
        <v>24.27</v>
      </c>
      <c r="G11" s="509">
        <v>185.97</v>
      </c>
      <c r="H11" s="509">
        <v>405.01</v>
      </c>
      <c r="I11" s="509">
        <v>68.08</v>
      </c>
      <c r="J11" s="566">
        <f t="shared" si="0"/>
        <v>0</v>
      </c>
      <c r="K11" s="509">
        <v>80.489999999999995</v>
      </c>
      <c r="L11" s="509">
        <v>80.489999999999995</v>
      </c>
      <c r="M11" s="552">
        <f t="shared" si="1"/>
        <v>0.49605915299910092</v>
      </c>
      <c r="N11" s="510"/>
      <c r="O11" s="510">
        <v>1</v>
      </c>
      <c r="P11" s="768"/>
      <c r="Q11" s="769">
        <v>1</v>
      </c>
      <c r="R11" s="533">
        <v>6</v>
      </c>
      <c r="S11" s="510">
        <v>6</v>
      </c>
      <c r="T11" s="511"/>
      <c r="U11" s="514"/>
    </row>
    <row r="12" spans="1:22" x14ac:dyDescent="0.2">
      <c r="A12" s="517" t="s">
        <v>112</v>
      </c>
      <c r="B12" s="753">
        <f>'Resumo Proposta'!D14</f>
        <v>0.02</v>
      </c>
      <c r="C12" s="508">
        <v>1117.1300000000001</v>
      </c>
      <c r="D12" s="509">
        <v>716.73</v>
      </c>
      <c r="E12" s="509">
        <v>836.34</v>
      </c>
      <c r="F12" s="509">
        <v>92.57</v>
      </c>
      <c r="G12" s="509">
        <v>933.08</v>
      </c>
      <c r="H12" s="509"/>
      <c r="I12" s="509">
        <v>65.150000000000006</v>
      </c>
      <c r="J12" s="566">
        <f t="shared" si="0"/>
        <v>0</v>
      </c>
      <c r="K12" s="509">
        <v>708.7</v>
      </c>
      <c r="L12" s="509">
        <v>708.7</v>
      </c>
      <c r="M12" s="552">
        <f t="shared" si="1"/>
        <v>3.0494268051611693</v>
      </c>
      <c r="N12" s="510"/>
      <c r="O12" s="510">
        <v>3</v>
      </c>
      <c r="P12" s="768"/>
      <c r="Q12" s="769">
        <v>1</v>
      </c>
      <c r="R12" s="533">
        <v>6</v>
      </c>
      <c r="S12" s="510">
        <v>6</v>
      </c>
      <c r="T12" s="511"/>
      <c r="U12" s="514"/>
    </row>
    <row r="13" spans="1:22" x14ac:dyDescent="0.2">
      <c r="A13" s="515" t="s">
        <v>115</v>
      </c>
      <c r="B13" s="753">
        <f>'Resumo Proposta'!D15</f>
        <v>0.02</v>
      </c>
      <c r="C13" s="509">
        <v>416.25</v>
      </c>
      <c r="D13" s="509"/>
      <c r="E13" s="509"/>
      <c r="F13" s="509">
        <v>31.62</v>
      </c>
      <c r="G13" s="509">
        <v>51.62</v>
      </c>
      <c r="H13" s="509">
        <v>19.53</v>
      </c>
      <c r="I13" s="509">
        <v>98.69</v>
      </c>
      <c r="J13" s="566">
        <f t="shared" si="0"/>
        <v>0</v>
      </c>
      <c r="K13" s="509">
        <v>92.29</v>
      </c>
      <c r="L13" s="509">
        <v>92.29</v>
      </c>
      <c r="M13" s="552">
        <f t="shared" si="1"/>
        <v>0.63426981871715038</v>
      </c>
      <c r="N13" s="510"/>
      <c r="O13" s="510">
        <v>1</v>
      </c>
      <c r="P13" s="768"/>
      <c r="Q13" s="769">
        <v>1</v>
      </c>
      <c r="R13" s="533">
        <v>6</v>
      </c>
      <c r="S13" s="510">
        <v>6</v>
      </c>
      <c r="T13" s="511"/>
      <c r="U13" s="514"/>
    </row>
    <row r="14" spans="1:22" x14ac:dyDescent="0.2">
      <c r="A14" s="517" t="s">
        <v>118</v>
      </c>
      <c r="B14" s="753">
        <f>'Resumo Proposta'!D16</f>
        <v>0.03</v>
      </c>
      <c r="C14" s="509">
        <v>257.49</v>
      </c>
      <c r="D14" s="509"/>
      <c r="E14" s="509"/>
      <c r="F14" s="509">
        <v>15.68</v>
      </c>
      <c r="G14" s="509">
        <v>128.9</v>
      </c>
      <c r="H14" s="509">
        <v>839.45</v>
      </c>
      <c r="I14" s="509">
        <v>209.78</v>
      </c>
      <c r="J14" s="566">
        <f t="shared" si="0"/>
        <v>0</v>
      </c>
      <c r="K14" s="509">
        <v>96.6</v>
      </c>
      <c r="L14" s="509">
        <v>96.6</v>
      </c>
      <c r="M14" s="552">
        <f t="shared" si="1"/>
        <v>0.45776250057288098</v>
      </c>
      <c r="N14" s="510"/>
      <c r="O14" s="510">
        <v>1</v>
      </c>
      <c r="P14" s="769">
        <v>1</v>
      </c>
      <c r="Q14" s="768"/>
      <c r="R14" s="533">
        <v>6</v>
      </c>
      <c r="S14" s="510">
        <v>6</v>
      </c>
      <c r="T14" s="511"/>
      <c r="U14" s="514"/>
    </row>
    <row r="15" spans="1:22" x14ac:dyDescent="0.2">
      <c r="A15" s="515" t="s">
        <v>121</v>
      </c>
      <c r="B15" s="753">
        <f>'Resumo Proposta'!D17</f>
        <v>2.5000000000000001E-2</v>
      </c>
      <c r="C15" s="509">
        <v>422.67</v>
      </c>
      <c r="D15" s="509"/>
      <c r="E15" s="509"/>
      <c r="F15" s="509">
        <v>37.200000000000003</v>
      </c>
      <c r="G15" s="509">
        <v>140.88</v>
      </c>
      <c r="H15" s="509">
        <v>403.92</v>
      </c>
      <c r="I15" s="509">
        <v>107.09</v>
      </c>
      <c r="J15" s="566">
        <f t="shared" si="0"/>
        <v>0</v>
      </c>
      <c r="K15" s="509">
        <v>124.1</v>
      </c>
      <c r="L15" s="509">
        <v>124.1</v>
      </c>
      <c r="M15" s="552">
        <f t="shared" si="1"/>
        <v>0.71195248778079978</v>
      </c>
      <c r="N15" s="510"/>
      <c r="O15" s="510">
        <v>1</v>
      </c>
      <c r="P15" s="768"/>
      <c r="Q15" s="769">
        <v>1</v>
      </c>
      <c r="R15" s="533">
        <v>6</v>
      </c>
      <c r="S15" s="510">
        <v>6</v>
      </c>
      <c r="T15" s="511"/>
      <c r="U15" s="514"/>
    </row>
    <row r="16" spans="1:22" x14ac:dyDescent="0.2">
      <c r="A16" s="515" t="s">
        <v>124</v>
      </c>
      <c r="B16" s="753">
        <f>'Resumo Proposta'!D18</f>
        <v>0.02</v>
      </c>
      <c r="C16" s="509">
        <v>279.19</v>
      </c>
      <c r="D16" s="509"/>
      <c r="E16" s="509"/>
      <c r="F16" s="509">
        <v>17.87</v>
      </c>
      <c r="G16" s="509">
        <v>122.92</v>
      </c>
      <c r="H16" s="509">
        <v>152.91999999999999</v>
      </c>
      <c r="I16" s="509">
        <v>22.01</v>
      </c>
      <c r="J16" s="566">
        <f t="shared" si="0"/>
        <v>0</v>
      </c>
      <c r="K16" s="509">
        <v>93.78</v>
      </c>
      <c r="L16" s="509">
        <v>93.78</v>
      </c>
      <c r="M16" s="552">
        <f t="shared" si="1"/>
        <v>0.45770713419941739</v>
      </c>
      <c r="N16" s="510"/>
      <c r="O16" s="510">
        <v>1</v>
      </c>
      <c r="P16" s="769">
        <v>1</v>
      </c>
      <c r="Q16" s="768"/>
      <c r="R16" s="533">
        <v>6</v>
      </c>
      <c r="S16" s="510">
        <v>6</v>
      </c>
      <c r="T16" s="511"/>
      <c r="U16" s="514"/>
    </row>
    <row r="17" spans="1:1017" s="156" customFormat="1" ht="12.75" x14ac:dyDescent="0.2">
      <c r="A17" s="518" t="s">
        <v>125</v>
      </c>
      <c r="B17" s="754">
        <f>'Resumo Proposta'!D19</f>
        <v>0.02</v>
      </c>
      <c r="C17" s="519"/>
      <c r="D17" s="519">
        <v>225.95</v>
      </c>
      <c r="E17" s="519"/>
      <c r="F17" s="519">
        <v>20.05</v>
      </c>
      <c r="G17" s="519">
        <v>234.3</v>
      </c>
      <c r="H17" s="519">
        <v>171.14</v>
      </c>
      <c r="I17" s="519">
        <v>63.6</v>
      </c>
      <c r="J17" s="566">
        <f t="shared" si="0"/>
        <v>0</v>
      </c>
      <c r="K17" s="519">
        <v>62.59</v>
      </c>
      <c r="L17" s="519">
        <v>62.59</v>
      </c>
      <c r="M17" s="552">
        <f t="shared" si="1"/>
        <v>0.28069213201652149</v>
      </c>
      <c r="N17" s="510">
        <v>1</v>
      </c>
      <c r="O17" s="510"/>
      <c r="P17" s="768"/>
      <c r="Q17" s="768"/>
      <c r="R17" s="533">
        <v>6</v>
      </c>
      <c r="S17" s="510">
        <v>6</v>
      </c>
      <c r="T17" s="511"/>
      <c r="U17" s="514"/>
      <c r="ALP17" s="169"/>
      <c r="ALQ17" s="169"/>
      <c r="ALR17" s="169"/>
      <c r="ALS17" s="169"/>
      <c r="ALT17" s="169"/>
      <c r="ALU17" s="169"/>
      <c r="ALV17" s="169"/>
      <c r="ALW17" s="169"/>
      <c r="ALX17" s="169"/>
      <c r="ALY17" s="169"/>
      <c r="ALZ17" s="169"/>
      <c r="AMA17" s="169"/>
      <c r="AMB17" s="169"/>
    </row>
    <row r="18" spans="1:1017" s="156" customFormat="1" ht="12.75" x14ac:dyDescent="0.2">
      <c r="A18" s="518" t="s">
        <v>126</v>
      </c>
      <c r="B18" s="754">
        <f>'Resumo Proposta'!D20</f>
        <v>2.5000000000000001E-2</v>
      </c>
      <c r="C18" s="520">
        <v>1330.2</v>
      </c>
      <c r="D18" s="520">
        <v>2736.12</v>
      </c>
      <c r="E18" s="519"/>
      <c r="F18" s="519">
        <v>27.05</v>
      </c>
      <c r="G18" s="519"/>
      <c r="H18" s="520">
        <v>1567.93</v>
      </c>
      <c r="I18" s="520">
        <v>1405.98</v>
      </c>
      <c r="J18" s="566">
        <f t="shared" si="0"/>
        <v>0</v>
      </c>
      <c r="K18" s="519">
        <v>92.13</v>
      </c>
      <c r="L18" s="519">
        <v>92.13</v>
      </c>
      <c r="M18" s="552">
        <f t="shared" si="1"/>
        <v>2.8593736906747154</v>
      </c>
      <c r="N18" s="510"/>
      <c r="O18" s="510">
        <v>1</v>
      </c>
      <c r="P18" s="768"/>
      <c r="Q18" s="768"/>
      <c r="R18" s="533">
        <v>6</v>
      </c>
      <c r="S18" s="510">
        <v>6</v>
      </c>
      <c r="T18" s="511"/>
      <c r="U18" s="514"/>
      <c r="ALP18" s="169"/>
      <c r="ALQ18" s="169"/>
      <c r="ALR18" s="169"/>
      <c r="ALS18" s="169"/>
      <c r="ALT18" s="169"/>
      <c r="ALU18" s="169"/>
      <c r="ALV18" s="169"/>
      <c r="ALW18" s="169"/>
      <c r="ALX18" s="169"/>
      <c r="ALY18" s="169"/>
      <c r="ALZ18" s="169"/>
      <c r="AMA18" s="169"/>
      <c r="AMB18" s="169"/>
    </row>
    <row r="19" spans="1:1017" s="156" customFormat="1" ht="12.75" x14ac:dyDescent="0.2">
      <c r="A19" s="518" t="s">
        <v>127</v>
      </c>
      <c r="B19" s="754">
        <f>'Resumo Proposta'!D21</f>
        <v>2.5000000000000001E-2</v>
      </c>
      <c r="C19" s="519">
        <v>182.51</v>
      </c>
      <c r="D19" s="519"/>
      <c r="E19" s="519"/>
      <c r="F19" s="519">
        <v>19.2</v>
      </c>
      <c r="G19" s="519"/>
      <c r="H19" s="519"/>
      <c r="I19" s="519"/>
      <c r="J19" s="566">
        <f t="shared" si="0"/>
        <v>0</v>
      </c>
      <c r="K19" s="519">
        <v>57.29</v>
      </c>
      <c r="L19" s="519">
        <v>57.29</v>
      </c>
      <c r="M19" s="552">
        <f t="shared" si="1"/>
        <v>0.29011893210457801</v>
      </c>
      <c r="N19" s="510">
        <v>1</v>
      </c>
      <c r="O19" s="510"/>
      <c r="P19" s="768"/>
      <c r="Q19" s="768"/>
      <c r="R19" s="533">
        <v>6</v>
      </c>
      <c r="S19" s="510">
        <v>6</v>
      </c>
      <c r="T19" s="511"/>
      <c r="U19" s="514"/>
      <c r="ALP19" s="169"/>
      <c r="ALQ19" s="169"/>
      <c r="ALR19" s="169"/>
      <c r="ALS19" s="169"/>
      <c r="ALT19" s="169"/>
      <c r="ALU19" s="169"/>
      <c r="ALV19" s="169"/>
      <c r="ALW19" s="169"/>
      <c r="ALX19" s="169"/>
      <c r="ALY19" s="169"/>
      <c r="ALZ19" s="169"/>
      <c r="AMA19" s="169"/>
      <c r="AMB19" s="169"/>
    </row>
    <row r="20" spans="1:1017" s="156" customFormat="1" ht="15" x14ac:dyDescent="0.25">
      <c r="A20" s="521" t="s">
        <v>128</v>
      </c>
      <c r="B20" s="755">
        <f>'Resumo Proposta'!D22</f>
        <v>2.5000000000000001E-2</v>
      </c>
      <c r="C20" s="522">
        <v>1068.8800000000001</v>
      </c>
      <c r="D20" s="523"/>
      <c r="E20" s="523">
        <v>753.45</v>
      </c>
      <c r="F20" s="523">
        <v>65.28</v>
      </c>
      <c r="G20" s="523"/>
      <c r="H20" s="523"/>
      <c r="I20" s="523"/>
      <c r="J20" s="563"/>
      <c r="K20" s="523">
        <v>137.63</v>
      </c>
      <c r="L20" s="523">
        <v>326.57</v>
      </c>
      <c r="M20" s="552">
        <f t="shared" si="1"/>
        <v>1.9980389838231944</v>
      </c>
      <c r="N20" s="510"/>
      <c r="O20" s="510">
        <v>2</v>
      </c>
      <c r="P20" s="768"/>
      <c r="Q20" s="769">
        <v>3</v>
      </c>
      <c r="R20" s="533">
        <v>6</v>
      </c>
      <c r="S20" s="510">
        <v>6</v>
      </c>
      <c r="T20" s="511"/>
      <c r="U20" s="514"/>
      <c r="V20" s="771"/>
      <c r="ALP20" s="169"/>
      <c r="ALQ20" s="169"/>
      <c r="ALR20" s="169"/>
      <c r="ALS20" s="169"/>
      <c r="ALT20" s="169"/>
      <c r="ALU20" s="169"/>
      <c r="ALV20" s="169"/>
      <c r="ALW20" s="169"/>
      <c r="ALX20" s="169"/>
      <c r="ALY20" s="169"/>
      <c r="ALZ20" s="169"/>
      <c r="AMA20" s="169"/>
      <c r="AMB20" s="169"/>
    </row>
    <row r="21" spans="1:1017" s="156" customFormat="1" ht="15" x14ac:dyDescent="0.25">
      <c r="A21" s="515" t="s">
        <v>129</v>
      </c>
      <c r="B21" s="753">
        <f>'Resumo Proposta'!D23</f>
        <v>2.5000000000000001E-2</v>
      </c>
      <c r="C21" s="524">
        <v>3867.48</v>
      </c>
      <c r="D21" s="525"/>
      <c r="E21" s="525">
        <v>177.16</v>
      </c>
      <c r="F21" s="525">
        <v>133.13</v>
      </c>
      <c r="G21" s="525">
        <v>312.32</v>
      </c>
      <c r="H21" s="525"/>
      <c r="I21" s="525">
        <v>300.82</v>
      </c>
      <c r="J21" s="564">
        <f>L21-K21</f>
        <v>553.68000000000006</v>
      </c>
      <c r="K21" s="525">
        <v>216.14</v>
      </c>
      <c r="L21" s="525">
        <v>769.82</v>
      </c>
      <c r="M21" s="552">
        <f t="shared" si="1"/>
        <v>5.180880501416004</v>
      </c>
      <c r="N21" s="510"/>
      <c r="O21" s="510">
        <v>4</v>
      </c>
      <c r="P21" s="770"/>
      <c r="Q21" s="770"/>
      <c r="R21" s="556">
        <v>6</v>
      </c>
      <c r="S21" s="557">
        <v>6</v>
      </c>
      <c r="T21" s="558"/>
      <c r="U21" s="559"/>
      <c r="ALS21" s="171"/>
      <c r="ALT21" s="171"/>
      <c r="ALU21" s="171"/>
      <c r="ALV21" s="171"/>
      <c r="ALW21" s="171"/>
      <c r="ALX21" s="171"/>
      <c r="ALY21" s="171"/>
      <c r="ALZ21" s="171"/>
      <c r="AMA21" s="171"/>
      <c r="AMB21" s="171"/>
    </row>
    <row r="22" spans="1:1017" s="156" customFormat="1" ht="15" x14ac:dyDescent="0.25">
      <c r="A22" s="526" t="s">
        <v>442</v>
      </c>
      <c r="B22" s="526"/>
      <c r="C22" s="527">
        <f>SUM(C4:C21)</f>
        <v>14340.399999999998</v>
      </c>
      <c r="D22" s="527">
        <f>SUM(D4:D21)</f>
        <v>4412.04</v>
      </c>
      <c r="E22" s="527">
        <f t="shared" ref="E22:L22" si="2">SUM(E4:E21)</f>
        <v>4153.08</v>
      </c>
      <c r="F22" s="527">
        <f t="shared" si="2"/>
        <v>1004.73</v>
      </c>
      <c r="G22" s="527">
        <f t="shared" si="2"/>
        <v>4636.4799999999996</v>
      </c>
      <c r="H22" s="527">
        <f t="shared" si="2"/>
        <v>5294.1900000000005</v>
      </c>
      <c r="I22" s="527">
        <f t="shared" si="2"/>
        <v>4281.1000000000004</v>
      </c>
      <c r="J22" s="527">
        <f t="shared" si="2"/>
        <v>1132.24</v>
      </c>
      <c r="K22" s="527">
        <f t="shared" si="2"/>
        <v>3134.8200000000006</v>
      </c>
      <c r="L22" s="527">
        <f t="shared" si="2"/>
        <v>4456</v>
      </c>
      <c r="M22" s="544">
        <f>SUM(M4:M21)</f>
        <v>27.580378520768562</v>
      </c>
      <c r="N22" s="545">
        <f>SUM(N4:N21)</f>
        <v>3</v>
      </c>
      <c r="O22" s="561">
        <f>SUM(O4:O21)</f>
        <v>25</v>
      </c>
      <c r="P22" s="546">
        <f t="shared" ref="P22:U22" si="3">SUM(P4:P21)</f>
        <v>3</v>
      </c>
      <c r="Q22" s="546">
        <f t="shared" si="3"/>
        <v>11</v>
      </c>
      <c r="R22" s="529">
        <f t="shared" si="3"/>
        <v>108</v>
      </c>
      <c r="S22" s="530">
        <f t="shared" si="3"/>
        <v>108</v>
      </c>
      <c r="T22" s="531">
        <f t="shared" si="3"/>
        <v>22</v>
      </c>
      <c r="U22" s="532">
        <f t="shared" si="3"/>
        <v>1</v>
      </c>
      <c r="ALS22" s="171"/>
      <c r="ALT22" s="171"/>
      <c r="ALU22" s="171"/>
      <c r="ALV22" s="171"/>
      <c r="ALW22" s="171"/>
      <c r="ALX22" s="171"/>
      <c r="ALY22" s="171"/>
      <c r="ALZ22" s="171"/>
      <c r="AMA22" s="171"/>
      <c r="AMB22" s="171"/>
    </row>
    <row r="23" spans="1:1017" s="156" customFormat="1" ht="15" x14ac:dyDescent="0.25">
      <c r="A23" s="513" t="s">
        <v>443</v>
      </c>
      <c r="B23" s="513"/>
      <c r="C23" s="513">
        <v>910</v>
      </c>
      <c r="D23" s="513">
        <v>2500</v>
      </c>
      <c r="E23" s="513">
        <v>1500</v>
      </c>
      <c r="F23" s="513">
        <v>300</v>
      </c>
      <c r="G23" s="513">
        <v>2700</v>
      </c>
      <c r="H23" s="513">
        <v>100000</v>
      </c>
      <c r="I23" s="513">
        <v>9000</v>
      </c>
      <c r="J23" s="513">
        <v>160</v>
      </c>
      <c r="K23" s="513">
        <v>380</v>
      </c>
      <c r="L23" s="513">
        <v>380</v>
      </c>
      <c r="M23" s="555" t="s">
        <v>428</v>
      </c>
      <c r="N23" s="547" t="s">
        <v>444</v>
      </c>
      <c r="O23" s="548">
        <f>N22+O22</f>
        <v>28</v>
      </c>
      <c r="P23" s="547" t="s">
        <v>444</v>
      </c>
      <c r="Q23" s="548">
        <f>P22+Q22</f>
        <v>14</v>
      </c>
      <c r="R23" s="170"/>
      <c r="S23" s="171"/>
      <c r="T23" s="171"/>
      <c r="U23" s="171"/>
      <c r="ALR23" s="171"/>
      <c r="ALS23" s="171"/>
      <c r="ALT23" s="171"/>
      <c r="ALU23" s="171"/>
      <c r="ALV23" s="171"/>
      <c r="ALW23" s="171"/>
      <c r="ALX23" s="171"/>
      <c r="ALY23" s="171"/>
      <c r="ALZ23" s="171"/>
      <c r="AMA23" s="171"/>
    </row>
    <row r="24" spans="1:1017" s="156" customFormat="1" ht="15" x14ac:dyDescent="0.25">
      <c r="A24" s="528" t="s">
        <v>445</v>
      </c>
      <c r="B24" s="528"/>
      <c r="C24" s="544">
        <f>C22/C23</f>
        <v>15.758681318681317</v>
      </c>
      <c r="D24" s="544">
        <f>D22/D23</f>
        <v>1.7648159999999999</v>
      </c>
      <c r="E24" s="544">
        <f t="shared" ref="E24:I24" si="4">E22/E23</f>
        <v>2.7687200000000001</v>
      </c>
      <c r="F24" s="544">
        <f t="shared" si="4"/>
        <v>3.3491</v>
      </c>
      <c r="G24" s="544">
        <f t="shared" si="4"/>
        <v>1.7172148148148147</v>
      </c>
      <c r="H24" s="544">
        <f t="shared" si="4"/>
        <v>5.2941900000000007E-2</v>
      </c>
      <c r="I24" s="544">
        <f t="shared" si="4"/>
        <v>0.47567777777777781</v>
      </c>
      <c r="J24" s="544">
        <f>1/J23*8*1/1132.6*J22</f>
        <v>4.9984107363588215E-2</v>
      </c>
      <c r="K24" s="544">
        <f>K22/((K23*188.76)/16)</f>
        <v>0.69926054806437588</v>
      </c>
      <c r="L24" s="544">
        <f>L22/((L23*188.76)/16)</f>
        <v>0.99396616143027627</v>
      </c>
      <c r="M24" s="560">
        <f>SUM(C24:L24)-J24</f>
        <v>27.580378520768562</v>
      </c>
      <c r="N24" s="549" t="s">
        <v>446</v>
      </c>
      <c r="O24" s="548">
        <f>O22+(N22*0.85)</f>
        <v>27.55</v>
      </c>
      <c r="P24" s="550"/>
      <c r="Q24" s="551"/>
      <c r="R24" s="171"/>
      <c r="S24" s="171"/>
      <c r="T24" s="171"/>
      <c r="U24" s="171"/>
      <c r="ALR24" s="171"/>
      <c r="ALS24" s="171"/>
      <c r="ALT24" s="171"/>
      <c r="ALU24" s="171"/>
      <c r="ALV24" s="171"/>
      <c r="ALW24" s="171"/>
      <c r="ALX24" s="171"/>
      <c r="ALY24" s="171"/>
      <c r="ALZ24" s="171"/>
      <c r="AMA24" s="171"/>
    </row>
    <row r="25" spans="1:1017" s="156" customFormat="1" ht="15" x14ac:dyDescent="0.25">
      <c r="A25" s="528" t="s">
        <v>447</v>
      </c>
      <c r="B25" s="528"/>
      <c r="C25" s="544">
        <f>C22/($M$22*C23)</f>
        <v>0.57137291668476275</v>
      </c>
      <c r="D25" s="544">
        <f t="shared" ref="D25:I25" si="5">D22/($M$22*D23)</f>
        <v>6.3988099317457123E-2</v>
      </c>
      <c r="E25" s="544">
        <f t="shared" si="5"/>
        <v>0.10038730969247213</v>
      </c>
      <c r="F25" s="544">
        <f t="shared" si="5"/>
        <v>0.12143053067520675</v>
      </c>
      <c r="G25" s="544">
        <f t="shared" si="5"/>
        <v>6.2262191707112308E-2</v>
      </c>
      <c r="H25" s="544">
        <f t="shared" si="5"/>
        <v>1.919549434759705E-3</v>
      </c>
      <c r="I25" s="544">
        <f t="shared" si="5"/>
        <v>1.724696335909905E-2</v>
      </c>
      <c r="J25" s="544">
        <f>J24/4</f>
        <v>1.2496026840897054E-2</v>
      </c>
      <c r="K25" s="544">
        <f>1/M22*1/K23*16*1/188.76*K22</f>
        <v>2.5353551530767397E-2</v>
      </c>
      <c r="L25" s="544">
        <f>1/M22*1/L23*16*1/188.76*L22</f>
        <v>3.6038887598362747E-2</v>
      </c>
      <c r="M25" s="560">
        <f>SUM(C25:L25)-J25</f>
        <v>0.99999999999999989</v>
      </c>
      <c r="N25" s="171"/>
      <c r="O25" s="171"/>
      <c r="P25" s="171"/>
      <c r="Q25" s="171"/>
      <c r="R25" s="171"/>
      <c r="S25" s="171"/>
      <c r="T25" s="171"/>
      <c r="U25" s="171"/>
      <c r="ALR25" s="171"/>
      <c r="ALS25" s="171"/>
      <c r="ALT25" s="171"/>
      <c r="ALU25" s="171"/>
      <c r="ALV25" s="171"/>
      <c r="ALW25" s="171"/>
      <c r="ALX25" s="171"/>
      <c r="ALY25" s="171"/>
      <c r="ALZ25" s="171"/>
      <c r="AMA25" s="171"/>
    </row>
    <row r="26" spans="1:1017" s="156" customFormat="1" ht="15" x14ac:dyDescent="0.25">
      <c r="A26" s="186"/>
      <c r="B26" s="186"/>
      <c r="C26" s="762" t="s">
        <v>448</v>
      </c>
      <c r="D26" s="763" t="s">
        <v>449</v>
      </c>
      <c r="E26" s="763" t="s">
        <v>450</v>
      </c>
      <c r="F26" s="763" t="s">
        <v>451</v>
      </c>
      <c r="G26" s="764" t="s">
        <v>452</v>
      </c>
      <c r="H26" s="765">
        <v>100000</v>
      </c>
      <c r="I26" s="764" t="s">
        <v>453</v>
      </c>
      <c r="J26" s="764" t="s">
        <v>454</v>
      </c>
      <c r="K26" s="766" t="s">
        <v>455</v>
      </c>
      <c r="L26" s="767" t="s">
        <v>455</v>
      </c>
      <c r="M26" s="171"/>
      <c r="N26" s="171"/>
      <c r="O26" s="171"/>
      <c r="P26" s="171"/>
      <c r="Q26" s="171"/>
      <c r="R26" s="171"/>
      <c r="S26" s="171"/>
      <c r="T26" s="171"/>
      <c r="U26" s="171"/>
      <c r="ALQ26" s="169"/>
      <c r="ALR26" s="169"/>
      <c r="ALS26" s="169"/>
      <c r="ALT26" s="169"/>
      <c r="ALU26" s="169"/>
      <c r="ALV26" s="169"/>
      <c r="ALW26" s="169"/>
      <c r="ALX26" s="169"/>
      <c r="ALY26" s="169"/>
      <c r="ALZ26" s="169"/>
      <c r="AMA26" s="169"/>
      <c r="AMB26" s="169"/>
      <c r="AMC26" s="169"/>
    </row>
    <row r="32" spans="1:1017" hidden="1" x14ac:dyDescent="0.2"/>
    <row r="33" hidden="1" x14ac:dyDescent="0.2"/>
    <row r="176" spans="3:3" x14ac:dyDescent="0.2">
      <c r="C176">
        <f>(1/'Prod. GEXFLO'!I21)*(1/('Prod. GEXFLO'!I22))*8</f>
        <v>6.211949373836357E-6</v>
      </c>
    </row>
  </sheetData>
  <mergeCells count="19">
    <mergeCell ref="A2:A3"/>
    <mergeCell ref="C2:C3"/>
    <mergeCell ref="D2:D3"/>
    <mergeCell ref="E2:E3"/>
    <mergeCell ref="F2:F3"/>
    <mergeCell ref="B2:B3"/>
    <mergeCell ref="R1:T1"/>
    <mergeCell ref="N2:O2"/>
    <mergeCell ref="P2:Q2"/>
    <mergeCell ref="C1:F1"/>
    <mergeCell ref="G1:I1"/>
    <mergeCell ref="J1:L1"/>
    <mergeCell ref="G2:G3"/>
    <mergeCell ref="H2:H3"/>
    <mergeCell ref="I2:I3"/>
    <mergeCell ref="J2:J3"/>
    <mergeCell ref="K2:K3"/>
    <mergeCell ref="L2:L3"/>
    <mergeCell ref="M2:M3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  <ignoredErrors>
    <ignoredError sqref="M4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G192"/>
  <sheetViews>
    <sheetView topLeftCell="A126" zoomScale="80" zoomScaleNormal="80" workbookViewId="0">
      <selection activeCell="M148" sqref="M148:S192"/>
    </sheetView>
  </sheetViews>
  <sheetFormatPr defaultRowHeight="14.25" x14ac:dyDescent="0.2"/>
  <cols>
    <col min="1" max="1" width="58.125" style="92"/>
    <col min="2" max="2" width="15.375" style="92"/>
    <col min="3" max="4" width="14.5" style="92"/>
    <col min="5" max="5" width="16.75" style="92" customWidth="1"/>
    <col min="6" max="6" width="15.75" style="92"/>
    <col min="7" max="7" width="13" style="92"/>
    <col min="8" max="8" width="15.625" style="92"/>
    <col min="9" max="9" width="10.5" style="92"/>
    <col min="10" max="10" width="15.125" style="92"/>
    <col min="11" max="11" width="10.5" style="92"/>
    <col min="12" max="12" width="14.25" style="92"/>
    <col min="13" max="1021" width="10.5" style="92"/>
    <col min="1022" max="1025" width="10.5"/>
  </cols>
  <sheetData>
    <row r="1" spans="1:6" ht="15.75" x14ac:dyDescent="0.2">
      <c r="A1" s="1043" t="s">
        <v>456</v>
      </c>
      <c r="B1" s="1043"/>
      <c r="C1" s="1043"/>
      <c r="D1" s="1043"/>
      <c r="E1" s="1043"/>
      <c r="F1" s="1043"/>
    </row>
    <row r="2" spans="1:6" ht="15.75" x14ac:dyDescent="0.2">
      <c r="A2" s="1044" t="s">
        <v>457</v>
      </c>
      <c r="B2" s="1044"/>
      <c r="C2" s="1044"/>
      <c r="D2" s="1044"/>
      <c r="E2" s="1044"/>
      <c r="F2" s="1044"/>
    </row>
    <row r="3" spans="1:6" ht="15.75" customHeight="1" x14ac:dyDescent="0.2">
      <c r="A3" s="1044" t="s">
        <v>458</v>
      </c>
      <c r="B3" s="1044"/>
      <c r="C3" s="1044"/>
      <c r="D3" s="1044"/>
      <c r="E3" s="1044"/>
      <c r="F3" s="1044"/>
    </row>
    <row r="4" spans="1:6" ht="15.75" x14ac:dyDescent="0.2">
      <c r="A4" s="93"/>
      <c r="B4" s="94"/>
      <c r="C4" s="467" t="s">
        <v>459</v>
      </c>
      <c r="D4" s="468" t="s">
        <v>460</v>
      </c>
      <c r="E4" s="468" t="s">
        <v>461</v>
      </c>
      <c r="F4" s="539" t="s">
        <v>462</v>
      </c>
    </row>
    <row r="5" spans="1:6" x14ac:dyDescent="0.2">
      <c r="A5" s="96"/>
      <c r="B5" s="97" t="s">
        <v>463</v>
      </c>
      <c r="C5" s="469">
        <f>MC!C11</f>
        <v>1322.72</v>
      </c>
      <c r="D5" s="470">
        <f>MC!E11</f>
        <v>1082.2254545454546</v>
      </c>
      <c r="E5" s="470">
        <f>MC!C14</f>
        <v>1322.72</v>
      </c>
      <c r="F5" s="540">
        <f>MC!C12</f>
        <v>1809.07</v>
      </c>
    </row>
    <row r="6" spans="1:6" x14ac:dyDescent="0.2">
      <c r="A6" s="96"/>
      <c r="B6" s="97" t="s">
        <v>464</v>
      </c>
      <c r="C6" s="471">
        <v>44562</v>
      </c>
      <c r="D6" s="472">
        <v>44562</v>
      </c>
      <c r="E6" s="472">
        <v>44562</v>
      </c>
      <c r="F6" s="541">
        <f>MC!D8</f>
        <v>44593</v>
      </c>
    </row>
    <row r="7" spans="1:6" x14ac:dyDescent="0.2">
      <c r="A7" s="96"/>
      <c r="B7" s="97" t="s">
        <v>465</v>
      </c>
      <c r="C7" s="473" t="s">
        <v>9</v>
      </c>
      <c r="D7" s="474" t="s">
        <v>9</v>
      </c>
      <c r="E7" s="474" t="s">
        <v>9</v>
      </c>
      <c r="F7" s="475" t="s">
        <v>9</v>
      </c>
    </row>
    <row r="8" spans="1:6" x14ac:dyDescent="0.2">
      <c r="A8" s="96"/>
      <c r="B8" s="97" t="s">
        <v>466</v>
      </c>
      <c r="C8" s="476" t="s">
        <v>10</v>
      </c>
      <c r="D8" s="477" t="s">
        <v>10</v>
      </c>
      <c r="E8" s="477" t="s">
        <v>10</v>
      </c>
      <c r="F8" s="542" t="str">
        <f>MC!E8</f>
        <v>5143-20</v>
      </c>
    </row>
    <row r="9" spans="1:6" x14ac:dyDescent="0.2">
      <c r="A9" s="1045"/>
      <c r="B9" s="1045"/>
      <c r="C9" s="1045"/>
      <c r="D9" s="1045"/>
      <c r="E9" s="1045"/>
      <c r="F9" s="1045"/>
    </row>
    <row r="10" spans="1:6" ht="66.75" customHeight="1" x14ac:dyDescent="0.2">
      <c r="A10" s="187" t="s">
        <v>467</v>
      </c>
      <c r="B10" s="188" t="s">
        <v>468</v>
      </c>
      <c r="C10" s="188" t="s">
        <v>469</v>
      </c>
      <c r="D10" s="254" t="s">
        <v>460</v>
      </c>
      <c r="E10" s="188" t="s">
        <v>461</v>
      </c>
      <c r="F10" s="188" t="s">
        <v>470</v>
      </c>
    </row>
    <row r="11" spans="1:6" ht="14.25" customHeight="1" x14ac:dyDescent="0.2">
      <c r="A11" s="321" t="s">
        <v>471</v>
      </c>
      <c r="B11" s="321"/>
      <c r="C11" s="321"/>
      <c r="D11" s="321"/>
      <c r="E11" s="321"/>
      <c r="F11" s="321"/>
    </row>
    <row r="12" spans="1:6" ht="15.75" customHeight="1" x14ac:dyDescent="0.2">
      <c r="A12" s="101" t="s">
        <v>472</v>
      </c>
      <c r="B12" s="102" t="s">
        <v>473</v>
      </c>
      <c r="C12" s="102" t="s">
        <v>474</v>
      </c>
      <c r="D12" s="102" t="s">
        <v>474</v>
      </c>
      <c r="E12" s="189"/>
      <c r="F12" s="103" t="s">
        <v>474</v>
      </c>
    </row>
    <row r="13" spans="1:6" ht="15.75" customHeight="1" x14ac:dyDescent="0.2">
      <c r="A13" s="104" t="s">
        <v>475</v>
      </c>
      <c r="B13" s="105"/>
      <c r="C13" s="106">
        <f>C5</f>
        <v>1322.72</v>
      </c>
      <c r="D13" s="190">
        <f>D5</f>
        <v>1082.2254545454546</v>
      </c>
      <c r="E13" s="190">
        <f>E5</f>
        <v>1322.72</v>
      </c>
      <c r="F13" s="107">
        <f>F5</f>
        <v>1809.07</v>
      </c>
    </row>
    <row r="14" spans="1:6" ht="15.75" customHeight="1" x14ac:dyDescent="0.2">
      <c r="A14" s="104" t="s">
        <v>476</v>
      </c>
      <c r="B14" s="108">
        <v>0.2</v>
      </c>
      <c r="C14" s="106">
        <f>C13*$B$14</f>
        <v>264.54400000000004</v>
      </c>
      <c r="D14" s="106">
        <f>D13*$B$14</f>
        <v>216.44509090909094</v>
      </c>
      <c r="E14" s="106"/>
      <c r="F14" s="107">
        <f>F13*$B$14</f>
        <v>361.81400000000002</v>
      </c>
    </row>
    <row r="15" spans="1:6" ht="15.75" customHeight="1" x14ac:dyDescent="0.2">
      <c r="A15" s="104" t="s">
        <v>477</v>
      </c>
      <c r="B15" s="109"/>
      <c r="C15" s="106"/>
      <c r="D15" s="190"/>
      <c r="E15" s="190"/>
      <c r="F15" s="107"/>
    </row>
    <row r="16" spans="1:6" ht="15.75" customHeight="1" x14ac:dyDescent="0.2">
      <c r="A16" s="104" t="s">
        <v>478</v>
      </c>
      <c r="B16" s="109"/>
      <c r="C16" s="106"/>
      <c r="D16" s="190"/>
      <c r="E16" s="190"/>
      <c r="F16" s="107"/>
    </row>
    <row r="17" spans="1:6" ht="15.75" customHeight="1" x14ac:dyDescent="0.2">
      <c r="A17" s="104" t="s">
        <v>479</v>
      </c>
      <c r="B17" s="109"/>
      <c r="C17" s="106"/>
      <c r="D17" s="190"/>
      <c r="E17" s="190"/>
      <c r="F17" s="107"/>
    </row>
    <row r="18" spans="1:6" ht="15.75" customHeight="1" x14ac:dyDescent="0.2">
      <c r="A18" s="104" t="s">
        <v>480</v>
      </c>
      <c r="B18" s="108">
        <v>0.3</v>
      </c>
      <c r="C18" s="106"/>
      <c r="D18" s="106"/>
      <c r="E18" s="190">
        <f>E13*B18</f>
        <v>396.81599999999997</v>
      </c>
      <c r="F18" s="107"/>
    </row>
    <row r="19" spans="1:6" ht="15.75" customHeight="1" x14ac:dyDescent="0.2">
      <c r="A19" s="111" t="s">
        <v>481</v>
      </c>
      <c r="B19" s="112"/>
      <c r="C19" s="121">
        <f>SUM(C13:C18)</f>
        <v>1587.2640000000001</v>
      </c>
      <c r="D19" s="191">
        <f>SUM(D13:D18)</f>
        <v>1298.6705454545454</v>
      </c>
      <c r="E19" s="191">
        <f>SUM(E13:E18)</f>
        <v>1719.5360000000001</v>
      </c>
      <c r="F19" s="122">
        <f>SUM(F13:F18)</f>
        <v>2170.884</v>
      </c>
    </row>
    <row r="20" spans="1:6" ht="15.75" customHeight="1" x14ac:dyDescent="0.2">
      <c r="A20" s="1037"/>
      <c r="B20" s="1037"/>
      <c r="C20" s="114"/>
      <c r="D20" s="192"/>
      <c r="E20" s="192"/>
      <c r="F20" s="115"/>
    </row>
    <row r="21" spans="1:6" ht="14.25" customHeight="1" x14ac:dyDescent="0.2">
      <c r="A21" s="1042" t="s">
        <v>482</v>
      </c>
      <c r="B21" s="1042"/>
      <c r="C21" s="1042"/>
      <c r="D21" s="1042"/>
      <c r="E21" s="1042"/>
      <c r="F21" s="1042"/>
    </row>
    <row r="22" spans="1:6" ht="28.35" customHeight="1" x14ac:dyDescent="0.2">
      <c r="A22" s="116" t="s">
        <v>483</v>
      </c>
      <c r="B22" s="117" t="s">
        <v>473</v>
      </c>
      <c r="C22" s="117" t="s">
        <v>474</v>
      </c>
      <c r="D22" s="117" t="s">
        <v>474</v>
      </c>
      <c r="E22" s="117" t="s">
        <v>474</v>
      </c>
      <c r="F22" s="118" t="s">
        <v>474</v>
      </c>
    </row>
    <row r="23" spans="1:6" ht="15.75" customHeight="1" x14ac:dyDescent="0.2">
      <c r="A23" s="119" t="s">
        <v>484</v>
      </c>
      <c r="B23" s="108">
        <f>1/12</f>
        <v>8.3333333333333329E-2</v>
      </c>
      <c r="C23" s="106">
        <f>ROUND($B23*C$19,2)</f>
        <v>132.27000000000001</v>
      </c>
      <c r="D23" s="106">
        <f>ROUND($B23*D$19,2)</f>
        <v>108.22</v>
      </c>
      <c r="E23" s="106">
        <f>ROUND($B23*E$19,2)</f>
        <v>143.29</v>
      </c>
      <c r="F23" s="107">
        <f>ROUND($B23*F$19,2)</f>
        <v>180.91</v>
      </c>
    </row>
    <row r="24" spans="1:6" x14ac:dyDescent="0.2">
      <c r="A24" s="119" t="s">
        <v>485</v>
      </c>
      <c r="B24" s="108">
        <f>1/3*1/12</f>
        <v>2.7777777777777776E-2</v>
      </c>
      <c r="C24" s="106">
        <f>C$19*$B$24</f>
        <v>44.090666666666671</v>
      </c>
      <c r="D24" s="106">
        <f>D$19*$B$24</f>
        <v>36.074181818181813</v>
      </c>
      <c r="E24" s="106">
        <f>E$19*$B$24</f>
        <v>47.764888888888891</v>
      </c>
      <c r="F24" s="107">
        <f>F$19*$B$24</f>
        <v>60.30233333333333</v>
      </c>
    </row>
    <row r="25" spans="1:6" ht="14.25" customHeight="1" x14ac:dyDescent="0.2">
      <c r="A25" s="111" t="s">
        <v>481</v>
      </c>
      <c r="B25" s="120">
        <f>SUM(B23:B24)</f>
        <v>0.1111111111111111</v>
      </c>
      <c r="C25" s="121">
        <f>SUM(C23:C24)</f>
        <v>176.36066666666667</v>
      </c>
      <c r="D25" s="121">
        <f>SUM(D23:D24)</f>
        <v>144.29418181818181</v>
      </c>
      <c r="E25" s="121">
        <f>SUM(E23:E24)</f>
        <v>191.05488888888888</v>
      </c>
      <c r="F25" s="122">
        <f>SUM(F23:F24)</f>
        <v>241.21233333333333</v>
      </c>
    </row>
    <row r="26" spans="1:6" x14ac:dyDescent="0.2">
      <c r="A26" s="116" t="s">
        <v>486</v>
      </c>
      <c r="B26" s="117" t="s">
        <v>473</v>
      </c>
      <c r="C26" s="117" t="s">
        <v>474</v>
      </c>
      <c r="D26" s="117" t="s">
        <v>474</v>
      </c>
      <c r="E26" s="117" t="s">
        <v>474</v>
      </c>
      <c r="F26" s="118" t="s">
        <v>474</v>
      </c>
    </row>
    <row r="27" spans="1:6" ht="15.75" customHeight="1" x14ac:dyDescent="0.2">
      <c r="A27" s="116" t="s">
        <v>487</v>
      </c>
      <c r="B27" s="123"/>
      <c r="C27" s="123"/>
      <c r="D27" s="123"/>
      <c r="E27" s="193"/>
      <c r="F27" s="124"/>
    </row>
    <row r="28" spans="1:6" ht="14.25" customHeight="1" x14ac:dyDescent="0.2">
      <c r="A28" s="119" t="s">
        <v>488</v>
      </c>
      <c r="B28" s="108">
        <v>0.2</v>
      </c>
      <c r="C28" s="125">
        <f t="shared" ref="C28:C35" si="0">ROUND(($C$19+$C$25)*B28,2)</f>
        <v>352.72</v>
      </c>
      <c r="D28" s="125">
        <f t="shared" ref="D28:D35" si="1">ROUND(($D$19+$D$25)*B28,2)</f>
        <v>288.58999999999997</v>
      </c>
      <c r="E28" s="125">
        <f t="shared" ref="E28:E35" si="2">ROUND(($E$19+$E$25)*B28,2)</f>
        <v>382.12</v>
      </c>
      <c r="F28" s="126">
        <f t="shared" ref="F28:F35" si="3">ROUND(($F$19+$F$25)*B28,2)</f>
        <v>482.42</v>
      </c>
    </row>
    <row r="29" spans="1:6" ht="15.75" customHeight="1" x14ac:dyDescent="0.2">
      <c r="A29" s="119" t="s">
        <v>489</v>
      </c>
      <c r="B29" s="108">
        <v>2.5000000000000001E-2</v>
      </c>
      <c r="C29" s="125">
        <f t="shared" si="0"/>
        <v>44.09</v>
      </c>
      <c r="D29" s="125">
        <f t="shared" si="1"/>
        <v>36.07</v>
      </c>
      <c r="E29" s="125">
        <f t="shared" si="2"/>
        <v>47.76</v>
      </c>
      <c r="F29" s="126">
        <f t="shared" si="3"/>
        <v>60.3</v>
      </c>
    </row>
    <row r="30" spans="1:6" ht="15.75" customHeight="1" x14ac:dyDescent="0.2">
      <c r="A30" s="119" t="s">
        <v>490</v>
      </c>
      <c r="B30" s="108">
        <v>0.03</v>
      </c>
      <c r="C30" s="125">
        <f t="shared" si="0"/>
        <v>52.91</v>
      </c>
      <c r="D30" s="125">
        <f t="shared" si="1"/>
        <v>43.29</v>
      </c>
      <c r="E30" s="125">
        <f t="shared" si="2"/>
        <v>57.32</v>
      </c>
      <c r="F30" s="126">
        <f t="shared" si="3"/>
        <v>72.36</v>
      </c>
    </row>
    <row r="31" spans="1:6" ht="15.75" customHeight="1" x14ac:dyDescent="0.2">
      <c r="A31" s="119" t="s">
        <v>491</v>
      </c>
      <c r="B31" s="108">
        <v>1.4999999999999999E-2</v>
      </c>
      <c r="C31" s="125">
        <f t="shared" si="0"/>
        <v>26.45</v>
      </c>
      <c r="D31" s="125">
        <f t="shared" si="1"/>
        <v>21.64</v>
      </c>
      <c r="E31" s="125">
        <f t="shared" si="2"/>
        <v>28.66</v>
      </c>
      <c r="F31" s="126">
        <f t="shared" si="3"/>
        <v>36.18</v>
      </c>
    </row>
    <row r="32" spans="1:6" ht="15.75" customHeight="1" x14ac:dyDescent="0.2">
      <c r="A32" s="119" t="s">
        <v>492</v>
      </c>
      <c r="B32" s="108">
        <v>0.01</v>
      </c>
      <c r="C32" s="125">
        <f t="shared" si="0"/>
        <v>17.64</v>
      </c>
      <c r="D32" s="125">
        <f t="shared" si="1"/>
        <v>14.43</v>
      </c>
      <c r="E32" s="125">
        <f t="shared" si="2"/>
        <v>19.11</v>
      </c>
      <c r="F32" s="126">
        <f t="shared" si="3"/>
        <v>24.12</v>
      </c>
    </row>
    <row r="33" spans="1:6" ht="15.75" customHeight="1" x14ac:dyDescent="0.2">
      <c r="A33" s="119" t="s">
        <v>493</v>
      </c>
      <c r="B33" s="108">
        <v>6.0000000000000001E-3</v>
      </c>
      <c r="C33" s="125">
        <f t="shared" si="0"/>
        <v>10.58</v>
      </c>
      <c r="D33" s="125">
        <f t="shared" si="1"/>
        <v>8.66</v>
      </c>
      <c r="E33" s="125">
        <f t="shared" si="2"/>
        <v>11.46</v>
      </c>
      <c r="F33" s="126">
        <f t="shared" si="3"/>
        <v>14.47</v>
      </c>
    </row>
    <row r="34" spans="1:6" ht="15.75" customHeight="1" x14ac:dyDescent="0.2">
      <c r="A34" s="119" t="s">
        <v>494</v>
      </c>
      <c r="B34" s="108">
        <v>2E-3</v>
      </c>
      <c r="C34" s="125">
        <f t="shared" si="0"/>
        <v>3.53</v>
      </c>
      <c r="D34" s="125">
        <f t="shared" si="1"/>
        <v>2.89</v>
      </c>
      <c r="E34" s="125">
        <f t="shared" si="2"/>
        <v>3.82</v>
      </c>
      <c r="F34" s="126">
        <f t="shared" si="3"/>
        <v>4.82</v>
      </c>
    </row>
    <row r="35" spans="1:6" ht="15.75" customHeight="1" x14ac:dyDescent="0.2">
      <c r="A35" s="119" t="s">
        <v>495</v>
      </c>
      <c r="B35" s="108">
        <v>0.08</v>
      </c>
      <c r="C35" s="125">
        <f t="shared" si="0"/>
        <v>141.09</v>
      </c>
      <c r="D35" s="125">
        <f t="shared" si="1"/>
        <v>115.44</v>
      </c>
      <c r="E35" s="125">
        <f t="shared" si="2"/>
        <v>152.85</v>
      </c>
      <c r="F35" s="126">
        <f t="shared" si="3"/>
        <v>192.97</v>
      </c>
    </row>
    <row r="36" spans="1:6" ht="15.75" customHeight="1" x14ac:dyDescent="0.2">
      <c r="A36" s="111" t="s">
        <v>481</v>
      </c>
      <c r="B36" s="120">
        <f>SUM(B28:B35)</f>
        <v>0.36800000000000005</v>
      </c>
      <c r="C36" s="121">
        <f>SUM(C27:C35)</f>
        <v>649.01</v>
      </c>
      <c r="D36" s="121">
        <f>SUM(D27:D35)</f>
        <v>531.01</v>
      </c>
      <c r="E36" s="191">
        <f>SUM(E28:E35)</f>
        <v>703.10000000000014</v>
      </c>
      <c r="F36" s="122">
        <f>SUM(F27:F35)</f>
        <v>887.6400000000001</v>
      </c>
    </row>
    <row r="37" spans="1:6" ht="15.75" customHeight="1" x14ac:dyDescent="0.2">
      <c r="A37" s="116" t="s">
        <v>496</v>
      </c>
      <c r="B37" s="117" t="s">
        <v>497</v>
      </c>
      <c r="C37" s="117" t="s">
        <v>474</v>
      </c>
      <c r="D37" s="117" t="s">
        <v>474</v>
      </c>
      <c r="E37" s="117" t="s">
        <v>474</v>
      </c>
      <c r="F37" s="118" t="s">
        <v>474</v>
      </c>
    </row>
    <row r="38" spans="1:6" ht="15.75" customHeight="1" x14ac:dyDescent="0.2">
      <c r="A38" s="119" t="s">
        <v>498</v>
      </c>
      <c r="B38" s="127">
        <f>MC!D92</f>
        <v>4.2620930232558143</v>
      </c>
      <c r="C38" s="106">
        <f>ROUND(((2*22*$B$38)-0.06*C$13),2)</f>
        <v>108.17</v>
      </c>
      <c r="D38" s="106">
        <f>ROUND(((2*22*$B$38)-0.06*D$13),2)</f>
        <v>122.6</v>
      </c>
      <c r="E38" s="106">
        <f>ROUND(((2*22*$B$38)-0.06*E$13),2)</f>
        <v>108.17</v>
      </c>
      <c r="F38" s="106">
        <f>ROUND(((2*22*$B$38)-0.06*F$13),2)</f>
        <v>78.989999999999995</v>
      </c>
    </row>
    <row r="39" spans="1:6" ht="15.75" customHeight="1" x14ac:dyDescent="0.2">
      <c r="A39" s="478" t="s">
        <v>499</v>
      </c>
      <c r="B39" s="128"/>
      <c r="C39" s="125">
        <f>MC!E21</f>
        <v>437.34</v>
      </c>
      <c r="D39" s="125">
        <f>MC!E22</f>
        <v>359.59</v>
      </c>
      <c r="E39" s="125">
        <f>MC!E21</f>
        <v>437.34</v>
      </c>
      <c r="F39" s="125">
        <f>MC!E21</f>
        <v>437.34</v>
      </c>
    </row>
    <row r="40" spans="1:6" ht="15.75" customHeight="1" x14ac:dyDescent="0.2">
      <c r="A40" s="119" t="s">
        <v>500</v>
      </c>
      <c r="B40" s="108">
        <f>MC!C26</f>
        <v>0</v>
      </c>
      <c r="C40" s="125"/>
      <c r="D40" s="125"/>
      <c r="E40" s="125">
        <f>MC!E26</f>
        <v>0</v>
      </c>
      <c r="F40" s="125"/>
    </row>
    <row r="41" spans="1:6" ht="15.75" customHeight="1" x14ac:dyDescent="0.2">
      <c r="A41" s="119" t="s">
        <v>501</v>
      </c>
      <c r="B41" s="129">
        <f>MC!E25</f>
        <v>11</v>
      </c>
      <c r="C41" s="125">
        <f>B41</f>
        <v>11</v>
      </c>
      <c r="D41" s="125">
        <f>B41</f>
        <v>11</v>
      </c>
      <c r="E41" s="194">
        <f>B41</f>
        <v>11</v>
      </c>
      <c r="F41" s="126">
        <f>B41</f>
        <v>11</v>
      </c>
    </row>
    <row r="42" spans="1:6" ht="15.75" customHeight="1" x14ac:dyDescent="0.2">
      <c r="A42" s="119" t="s">
        <v>502</v>
      </c>
      <c r="B42" s="567">
        <f>MC!C24</f>
        <v>7.0000000000000007E-2</v>
      </c>
      <c r="C42" s="125">
        <f>$B$42*C19</f>
        <v>111.10848000000001</v>
      </c>
      <c r="D42" s="125">
        <f t="shared" ref="D42:F42" si="4">$B$42*D19</f>
        <v>90.906938181818191</v>
      </c>
      <c r="E42" s="125">
        <f t="shared" si="4"/>
        <v>120.36752000000001</v>
      </c>
      <c r="F42" s="125">
        <f t="shared" si="4"/>
        <v>151.96188000000001</v>
      </c>
    </row>
    <row r="43" spans="1:6" ht="15.75" customHeight="1" x14ac:dyDescent="0.2">
      <c r="A43" s="119" t="s">
        <v>503</v>
      </c>
      <c r="B43" s="108"/>
      <c r="C43" s="125"/>
      <c r="D43" s="125"/>
      <c r="E43" s="194"/>
      <c r="F43" s="126"/>
    </row>
    <row r="44" spans="1:6" ht="15.75" customHeight="1" x14ac:dyDescent="0.2">
      <c r="A44" s="111" t="s">
        <v>481</v>
      </c>
      <c r="B44" s="112"/>
      <c r="C44" s="121">
        <f>SUM(C38:C43)</f>
        <v>667.61847999999998</v>
      </c>
      <c r="D44" s="121">
        <f>SUM(D38:D43)</f>
        <v>584.09693818181813</v>
      </c>
      <c r="E44" s="191">
        <f>SUM(E38:E43)</f>
        <v>676.87752</v>
      </c>
      <c r="F44" s="122">
        <f>SUM(F38:F43)</f>
        <v>679.29187999999999</v>
      </c>
    </row>
    <row r="45" spans="1:6" x14ac:dyDescent="0.2">
      <c r="A45" s="101" t="s">
        <v>504</v>
      </c>
      <c r="B45" s="102" t="s">
        <v>473</v>
      </c>
      <c r="C45" s="102" t="s">
        <v>474</v>
      </c>
      <c r="D45" s="102" t="s">
        <v>474</v>
      </c>
      <c r="E45" s="102" t="s">
        <v>474</v>
      </c>
      <c r="F45" s="103" t="s">
        <v>474</v>
      </c>
    </row>
    <row r="46" spans="1:6" ht="15.75" customHeight="1" x14ac:dyDescent="0.2">
      <c r="A46" s="119" t="s">
        <v>483</v>
      </c>
      <c r="B46" s="130">
        <f>B25</f>
        <v>0.1111111111111111</v>
      </c>
      <c r="C46" s="131">
        <f>C25</f>
        <v>176.36066666666667</v>
      </c>
      <c r="D46" s="131">
        <f>D25</f>
        <v>144.29418181818181</v>
      </c>
      <c r="E46" s="131">
        <f>E25</f>
        <v>191.05488888888888</v>
      </c>
      <c r="F46" s="132">
        <f>F25</f>
        <v>241.21233333333333</v>
      </c>
    </row>
    <row r="47" spans="1:6" ht="15.75" customHeight="1" x14ac:dyDescent="0.2">
      <c r="A47" s="119" t="s">
        <v>505</v>
      </c>
      <c r="B47" s="130">
        <f>B36</f>
        <v>0.36800000000000005</v>
      </c>
      <c r="C47" s="131">
        <f>C36</f>
        <v>649.01</v>
      </c>
      <c r="D47" s="131">
        <f>D36</f>
        <v>531.01</v>
      </c>
      <c r="E47" s="131">
        <f>E36</f>
        <v>703.10000000000014</v>
      </c>
      <c r="F47" s="132">
        <f>F36</f>
        <v>887.6400000000001</v>
      </c>
    </row>
    <row r="48" spans="1:6" ht="15.75" customHeight="1" x14ac:dyDescent="0.2">
      <c r="A48" s="119" t="s">
        <v>496</v>
      </c>
      <c r="B48" s="130"/>
      <c r="C48" s="131">
        <f>C44</f>
        <v>667.61847999999998</v>
      </c>
      <c r="D48" s="131">
        <f>D44</f>
        <v>584.09693818181813</v>
      </c>
      <c r="E48" s="131">
        <f>E44</f>
        <v>676.87752</v>
      </c>
      <c r="F48" s="132">
        <f>F44</f>
        <v>679.29187999999999</v>
      </c>
    </row>
    <row r="49" spans="1:6" ht="15.75" customHeight="1" x14ac:dyDescent="0.2">
      <c r="A49" s="111" t="s">
        <v>481</v>
      </c>
      <c r="B49" s="112"/>
      <c r="C49" s="121">
        <f>SUM(C46:C48)</f>
        <v>1492.9891466666668</v>
      </c>
      <c r="D49" s="121">
        <f>SUM(D46:D48)</f>
        <v>1259.40112</v>
      </c>
      <c r="E49" s="191">
        <f>SUM(E46:E48)</f>
        <v>1571.032408888889</v>
      </c>
      <c r="F49" s="122">
        <f>SUM(F46:F48)</f>
        <v>1808.1442133333335</v>
      </c>
    </row>
    <row r="50" spans="1:6" ht="14.25" customHeight="1" x14ac:dyDescent="0.2">
      <c r="A50" s="1037"/>
      <c r="B50" s="1037"/>
      <c r="C50" s="114"/>
      <c r="D50" s="115"/>
      <c r="E50" s="115"/>
      <c r="F50" s="115"/>
    </row>
    <row r="51" spans="1:6" s="133" customFormat="1" ht="12.75" customHeight="1" x14ac:dyDescent="0.2">
      <c r="A51" s="1042" t="s">
        <v>506</v>
      </c>
      <c r="B51" s="1042"/>
      <c r="C51" s="1042"/>
      <c r="D51" s="1042"/>
      <c r="E51" s="1042"/>
      <c r="F51" s="1042"/>
    </row>
    <row r="52" spans="1:6" ht="15.75" customHeight="1" x14ac:dyDescent="0.2">
      <c r="A52" s="101" t="s">
        <v>507</v>
      </c>
      <c r="B52" s="102" t="s">
        <v>473</v>
      </c>
      <c r="C52" s="102" t="s">
        <v>474</v>
      </c>
      <c r="D52" s="102" t="s">
        <v>474</v>
      </c>
      <c r="E52" s="102" t="s">
        <v>474</v>
      </c>
      <c r="F52" s="103" t="s">
        <v>474</v>
      </c>
    </row>
    <row r="53" spans="1:6" ht="15.75" customHeight="1" x14ac:dyDescent="0.2">
      <c r="A53" s="116" t="s">
        <v>508</v>
      </c>
      <c r="B53" s="134"/>
      <c r="C53" s="134"/>
      <c r="D53" s="134"/>
      <c r="E53" s="195"/>
      <c r="F53" s="135"/>
    </row>
    <row r="54" spans="1:6" ht="15.75" customHeight="1" x14ac:dyDescent="0.2">
      <c r="A54" s="119" t="s">
        <v>509</v>
      </c>
      <c r="B54" s="130">
        <f>1/12*0.05</f>
        <v>4.1666666666666666E-3</v>
      </c>
      <c r="C54" s="136">
        <f>C19*$B54</f>
        <v>6.6136000000000008</v>
      </c>
      <c r="D54" s="136">
        <f t="shared" ref="D54:F54" si="5">D19*$B54</f>
        <v>5.4111272727272723</v>
      </c>
      <c r="E54" s="136">
        <f t="shared" si="5"/>
        <v>7.1647333333333334</v>
      </c>
      <c r="F54" s="136">
        <f t="shared" si="5"/>
        <v>9.0453499999999991</v>
      </c>
    </row>
    <row r="55" spans="1:6" x14ac:dyDescent="0.2">
      <c r="A55" s="119" t="s">
        <v>510</v>
      </c>
      <c r="B55" s="130">
        <f>B35*B54</f>
        <v>3.3333333333333332E-4</v>
      </c>
      <c r="C55" s="136">
        <f>$B$55*C19</f>
        <v>0.529088</v>
      </c>
      <c r="D55" s="136">
        <f t="shared" ref="D55:F55" si="6">$B$55*D19</f>
        <v>0.43289018181818179</v>
      </c>
      <c r="E55" s="136">
        <f t="shared" si="6"/>
        <v>0.57317866666666661</v>
      </c>
      <c r="F55" s="136">
        <f t="shared" si="6"/>
        <v>0.72362799999999994</v>
      </c>
    </row>
    <row r="56" spans="1:6" x14ac:dyDescent="0.2">
      <c r="A56" s="119" t="s">
        <v>511</v>
      </c>
      <c r="B56" s="130">
        <v>0</v>
      </c>
      <c r="C56" s="136">
        <f>C35*$B56</f>
        <v>0</v>
      </c>
      <c r="D56" s="136">
        <f t="shared" ref="D56:F56" si="7">D35*$B56</f>
        <v>0</v>
      </c>
      <c r="E56" s="136">
        <f t="shared" si="7"/>
        <v>0</v>
      </c>
      <c r="F56" s="136">
        <f t="shared" si="7"/>
        <v>0</v>
      </c>
    </row>
    <row r="57" spans="1:6" x14ac:dyDescent="0.2">
      <c r="A57" s="119" t="s">
        <v>512</v>
      </c>
      <c r="B57" s="130">
        <f>1/12*1/30*7</f>
        <v>1.9444444444444441E-2</v>
      </c>
      <c r="C57" s="131">
        <f>C19*$B57</f>
        <v>30.863466666666664</v>
      </c>
      <c r="D57" s="131">
        <f t="shared" ref="D57:F57" si="8">D19*$B57</f>
        <v>25.251927272727269</v>
      </c>
      <c r="E57" s="131">
        <f t="shared" si="8"/>
        <v>33.435422222222215</v>
      </c>
      <c r="F57" s="131">
        <f t="shared" si="8"/>
        <v>42.211633333333324</v>
      </c>
    </row>
    <row r="58" spans="1:6" x14ac:dyDescent="0.2">
      <c r="A58" s="119" t="s">
        <v>513</v>
      </c>
      <c r="B58" s="130">
        <f>B36*B57</f>
        <v>7.1555555555555556E-3</v>
      </c>
      <c r="C58" s="131">
        <f>$B58*C19</f>
        <v>11.357755733333335</v>
      </c>
      <c r="D58" s="131">
        <f t="shared" ref="D58:F58" si="9">$B58*D19</f>
        <v>9.2927092363636365</v>
      </c>
      <c r="E58" s="131">
        <f t="shared" si="9"/>
        <v>12.304235377777779</v>
      </c>
      <c r="F58" s="131">
        <f t="shared" si="9"/>
        <v>15.533881066666668</v>
      </c>
    </row>
    <row r="59" spans="1:6" x14ac:dyDescent="0.2">
      <c r="A59" s="119" t="s">
        <v>514</v>
      </c>
      <c r="B59" s="130">
        <f>B35*40/100*90/100*(1+1/12+1/12+1/3*1/12)</f>
        <v>3.4399999999999993E-2</v>
      </c>
      <c r="C59" s="131">
        <f>C19*$B59</f>
        <v>54.601881599999992</v>
      </c>
      <c r="D59" s="131">
        <f t="shared" ref="D59:F59" si="10">D19*$B59</f>
        <v>44.674266763636354</v>
      </c>
      <c r="E59" s="131">
        <f t="shared" si="10"/>
        <v>59.152038399999988</v>
      </c>
      <c r="F59" s="131">
        <f t="shared" si="10"/>
        <v>74.678409599999981</v>
      </c>
    </row>
    <row r="60" spans="1:6" ht="14.25" customHeight="1" x14ac:dyDescent="0.2">
      <c r="A60" s="111" t="s">
        <v>481</v>
      </c>
      <c r="B60" s="120">
        <f>SUM(B54:B59)</f>
        <v>6.5499999999999989E-2</v>
      </c>
      <c r="C60" s="137">
        <f>SUM(C54:C59)</f>
        <v>103.96579199999999</v>
      </c>
      <c r="D60" s="137">
        <f>SUM(D54:D59)</f>
        <v>85.062920727272711</v>
      </c>
      <c r="E60" s="196">
        <f>SUM(E54:E59)</f>
        <v>112.62960799999999</v>
      </c>
      <c r="F60" s="138">
        <f>SUM(F54:F59)</f>
        <v>142.19290199999998</v>
      </c>
    </row>
    <row r="61" spans="1:6" ht="14.25" customHeight="1" x14ac:dyDescent="0.2">
      <c r="A61" s="1037"/>
      <c r="B61" s="1037"/>
      <c r="C61" s="322"/>
      <c r="D61" s="322"/>
      <c r="E61" s="323"/>
      <c r="F61" s="324"/>
    </row>
    <row r="62" spans="1:6" ht="15.75" customHeight="1" x14ac:dyDescent="0.2">
      <c r="A62" s="1042" t="s">
        <v>515</v>
      </c>
      <c r="B62" s="1042"/>
      <c r="C62" s="1042"/>
      <c r="D62" s="1042"/>
      <c r="E62" s="1042"/>
      <c r="F62" s="1042"/>
    </row>
    <row r="63" spans="1:6" ht="14.25" customHeight="1" x14ac:dyDescent="0.2">
      <c r="A63" s="116" t="s">
        <v>49</v>
      </c>
      <c r="B63" s="117"/>
      <c r="C63" s="117"/>
      <c r="D63" s="117"/>
      <c r="E63" s="197"/>
      <c r="F63" s="118"/>
    </row>
    <row r="64" spans="1:6" ht="14.25" customHeight="1" x14ac:dyDescent="0.2">
      <c r="A64" s="119" t="s">
        <v>50</v>
      </c>
      <c r="B64" s="108">
        <f>1/12</f>
        <v>8.3333333333333329E-2</v>
      </c>
      <c r="C64" s="125">
        <f>B64*($C$19+$C$49+$C$60)</f>
        <v>265.3515782222222</v>
      </c>
      <c r="D64" s="125">
        <f>B64*($D$19+$D$49+$D$60)</f>
        <v>220.26121551515149</v>
      </c>
      <c r="E64" s="194">
        <f>B64*($E$19+$E$49+$E$60)</f>
        <v>283.59983474074079</v>
      </c>
      <c r="F64" s="126">
        <f>B64*($F$19+$F$49+$F$60)</f>
        <v>343.43509294444448</v>
      </c>
    </row>
    <row r="65" spans="1:6" x14ac:dyDescent="0.2">
      <c r="A65" s="119" t="s">
        <v>516</v>
      </c>
      <c r="B65" s="108">
        <f>MC!E56/30/12</f>
        <v>1.3538888888888885E-2</v>
      </c>
      <c r="C65" s="125">
        <f>B65*($C$19+$C$49+$C$60)</f>
        <v>43.110786408503692</v>
      </c>
      <c r="D65" s="125">
        <f>B65*($D$19+$D$49+$D$60)</f>
        <v>35.785105480694938</v>
      </c>
      <c r="E65" s="194">
        <f>B65*($E$19+$E$49+$E$60)</f>
        <v>46.075519817545675</v>
      </c>
      <c r="F65" s="126">
        <f>B65*($F$19+$F$49+$F$60)</f>
        <v>55.796754767040731</v>
      </c>
    </row>
    <row r="66" spans="1:6" x14ac:dyDescent="0.2">
      <c r="A66" s="119" t="s">
        <v>517</v>
      </c>
      <c r="B66" s="139">
        <f>(5/30)/12*MC!F58*MC!C59</f>
        <v>1.0764583333333333E-4</v>
      </c>
      <c r="C66" s="125">
        <f>B66*($C$19+$C$49+$C$60)</f>
        <v>0.3427679011685556</v>
      </c>
      <c r="D66" s="125">
        <f>B66*($D$19+$D$49+$D$60)</f>
        <v>0.28452242514169696</v>
      </c>
      <c r="E66" s="194">
        <f>B66*($E$19+$E$49+$E$60)</f>
        <v>0.36634008652635192</v>
      </c>
      <c r="F66" s="126">
        <f>B66*($F$19+$F$49+$F$60)</f>
        <v>0.44363228131098614</v>
      </c>
    </row>
    <row r="67" spans="1:6" ht="14.25" customHeight="1" x14ac:dyDescent="0.2">
      <c r="A67" s="119" t="s">
        <v>518</v>
      </c>
      <c r="B67" s="139">
        <f>MC!C61/30/12</f>
        <v>2.6830555555555553E-3</v>
      </c>
      <c r="C67" s="125">
        <f>B67*($C$19+$C$49+$C$60)</f>
        <v>8.5434363134948139</v>
      </c>
      <c r="D67" s="125">
        <f>B67*($D$19+$D$49+$D$60)</f>
        <v>7.0916769355361611</v>
      </c>
      <c r="E67" s="194">
        <f>B67*($E$19+$E$49+$E$60)</f>
        <v>9.1309693458693832</v>
      </c>
      <c r="F67" s="126">
        <f>B67*($F$19+$F$49+$F$60)</f>
        <v>11.057465209167963</v>
      </c>
    </row>
    <row r="68" spans="1:6" ht="14.25" customHeight="1" x14ac:dyDescent="0.2">
      <c r="A68" s="119" t="s">
        <v>519</v>
      </c>
      <c r="B68" s="108"/>
      <c r="C68" s="125"/>
      <c r="D68" s="125"/>
      <c r="E68" s="194">
        <f>B68*($E$19+$E$49+$E$60)</f>
        <v>0</v>
      </c>
      <c r="F68" s="126"/>
    </row>
    <row r="69" spans="1:6" ht="14.25" customHeight="1" x14ac:dyDescent="0.2">
      <c r="A69" s="140" t="s">
        <v>520</v>
      </c>
      <c r="B69" s="141">
        <f>SUM(B64:B68)</f>
        <v>9.9662923611111107E-2</v>
      </c>
      <c r="C69" s="142">
        <f>SUM(C64:C68)</f>
        <v>317.34856884538925</v>
      </c>
      <c r="D69" s="142">
        <f>SUM(D64:D68)</f>
        <v>263.42252035652427</v>
      </c>
      <c r="E69" s="198">
        <f>SUM(E64:E68)</f>
        <v>339.17266399068222</v>
      </c>
      <c r="F69" s="143">
        <f>SUM(F64:F68)</f>
        <v>410.73294520196418</v>
      </c>
    </row>
    <row r="70" spans="1:6" ht="14.25" customHeight="1" x14ac:dyDescent="0.2">
      <c r="A70" s="116" t="s">
        <v>521</v>
      </c>
      <c r="B70" s="117"/>
      <c r="C70" s="117"/>
      <c r="D70" s="117"/>
      <c r="E70" s="197"/>
      <c r="F70" s="118"/>
    </row>
    <row r="71" spans="1:6" ht="14.25" customHeight="1" x14ac:dyDescent="0.2">
      <c r="A71" s="119" t="s">
        <v>522</v>
      </c>
      <c r="B71" s="108"/>
      <c r="C71" s="125"/>
      <c r="D71" s="125"/>
      <c r="E71" s="194"/>
      <c r="F71" s="126"/>
    </row>
    <row r="72" spans="1:6" ht="14.25" customHeight="1" x14ac:dyDescent="0.2">
      <c r="A72" s="140" t="s">
        <v>520</v>
      </c>
      <c r="B72" s="141"/>
      <c r="C72" s="142">
        <f>C71</f>
        <v>0</v>
      </c>
      <c r="D72" s="142"/>
      <c r="E72" s="198"/>
      <c r="F72" s="143"/>
    </row>
    <row r="73" spans="1:6" ht="14.25" customHeight="1" x14ac:dyDescent="0.2">
      <c r="A73" s="116" t="s">
        <v>71</v>
      </c>
      <c r="B73" s="117"/>
      <c r="C73" s="117"/>
      <c r="D73" s="117"/>
      <c r="E73" s="197"/>
      <c r="F73" s="118"/>
    </row>
    <row r="74" spans="1:6" ht="14.25" customHeight="1" x14ac:dyDescent="0.2">
      <c r="A74" s="119" t="s">
        <v>72</v>
      </c>
      <c r="B74" s="108">
        <f>120/30*MC!C64*MC!C65</f>
        <v>6.18624E-3</v>
      </c>
      <c r="C74" s="125">
        <f>(((C19*2)+ (C19*1/3))+(C36)+(C44-C38-C39))*$B$74</f>
        <v>27.681781429555201</v>
      </c>
      <c r="D74" s="125">
        <f>(((D19*2)+ (D19*1/3))+(D36)+(D44-D38-D39))*$B$74</f>
        <v>22.66111398825425</v>
      </c>
      <c r="E74" s="125">
        <f>(((E19*2)+ (E19*1/3))+(E36)+(E44-E38-E39))*$B$74</f>
        <v>29.9829619150848</v>
      </c>
      <c r="F74" s="126">
        <f>(((F19*2)+ (F19*1/3))+(F36)+(F44-F38-F39))*$B$74</f>
        <v>37.835030725171201</v>
      </c>
    </row>
    <row r="75" spans="1:6" ht="15.75" customHeight="1" x14ac:dyDescent="0.2">
      <c r="A75" s="140" t="s">
        <v>481</v>
      </c>
      <c r="B75" s="141"/>
      <c r="C75" s="142"/>
      <c r="D75" s="142"/>
      <c r="E75" s="198"/>
      <c r="F75" s="143"/>
    </row>
    <row r="76" spans="1:6" x14ac:dyDescent="0.2">
      <c r="A76" s="101" t="s">
        <v>523</v>
      </c>
      <c r="B76" s="102"/>
      <c r="C76" s="102"/>
      <c r="D76" s="102"/>
      <c r="E76" s="189"/>
      <c r="F76" s="103"/>
    </row>
    <row r="77" spans="1:6" x14ac:dyDescent="0.2">
      <c r="A77" s="119" t="s">
        <v>49</v>
      </c>
      <c r="B77" s="130">
        <f>B69</f>
        <v>9.9662923611111107E-2</v>
      </c>
      <c r="C77" s="131">
        <f>C69</f>
        <v>317.34856884538925</v>
      </c>
      <c r="D77" s="131">
        <f>D69</f>
        <v>263.42252035652427</v>
      </c>
      <c r="E77" s="131">
        <f>E69</f>
        <v>339.17266399068222</v>
      </c>
      <c r="F77" s="132">
        <f>F69</f>
        <v>410.73294520196418</v>
      </c>
    </row>
    <row r="78" spans="1:6" ht="15.75" customHeight="1" x14ac:dyDescent="0.2">
      <c r="A78" s="119" t="s">
        <v>521</v>
      </c>
      <c r="B78" s="130">
        <f>B72</f>
        <v>0</v>
      </c>
      <c r="C78" s="131">
        <f>C72</f>
        <v>0</v>
      </c>
      <c r="D78" s="131">
        <f>D72</f>
        <v>0</v>
      </c>
      <c r="E78" s="131">
        <f>E72</f>
        <v>0</v>
      </c>
      <c r="F78" s="132">
        <f>F72</f>
        <v>0</v>
      </c>
    </row>
    <row r="79" spans="1:6" ht="15.75" customHeight="1" x14ac:dyDescent="0.2">
      <c r="A79" s="119" t="s">
        <v>71</v>
      </c>
      <c r="B79" s="130">
        <f>B74</f>
        <v>6.18624E-3</v>
      </c>
      <c r="C79" s="131">
        <f>C74</f>
        <v>27.681781429555201</v>
      </c>
      <c r="D79" s="131">
        <f>D74</f>
        <v>22.66111398825425</v>
      </c>
      <c r="E79" s="131">
        <f>E74</f>
        <v>29.9829619150848</v>
      </c>
      <c r="F79" s="132">
        <f>F74</f>
        <v>37.835030725171201</v>
      </c>
    </row>
    <row r="80" spans="1:6" ht="15.75" customHeight="1" x14ac:dyDescent="0.2">
      <c r="A80" s="111" t="s">
        <v>481</v>
      </c>
      <c r="B80" s="112"/>
      <c r="C80" s="121">
        <f>SUM(C77:C79)</f>
        <v>345.03035027494445</v>
      </c>
      <c r="D80" s="121">
        <f>SUM(D77:D79)</f>
        <v>286.08363434477855</v>
      </c>
      <c r="E80" s="191">
        <f>SUM(E77:E79)</f>
        <v>369.15562590576701</v>
      </c>
      <c r="F80" s="122">
        <f>SUM(F77:F79)</f>
        <v>448.56797592713536</v>
      </c>
    </row>
    <row r="81" spans="1:6" ht="15.75" customHeight="1" x14ac:dyDescent="0.2">
      <c r="A81" s="113"/>
      <c r="B81" s="114"/>
      <c r="C81" s="114"/>
      <c r="D81" s="114"/>
      <c r="E81" s="192"/>
      <c r="F81" s="115"/>
    </row>
    <row r="82" spans="1:6" ht="15.75" customHeight="1" x14ac:dyDescent="0.2">
      <c r="A82" s="199" t="s">
        <v>524</v>
      </c>
      <c r="B82" s="200"/>
      <c r="C82" s="200"/>
      <c r="D82" s="200"/>
      <c r="E82" s="200"/>
      <c r="F82" s="201"/>
    </row>
    <row r="83" spans="1:6" ht="15.75" customHeight="1" x14ac:dyDescent="0.2">
      <c r="A83" s="101" t="s">
        <v>525</v>
      </c>
      <c r="B83" s="102" t="s">
        <v>497</v>
      </c>
      <c r="C83" s="102" t="s">
        <v>474</v>
      </c>
      <c r="D83" s="102" t="s">
        <v>474</v>
      </c>
      <c r="E83" s="102" t="s">
        <v>474</v>
      </c>
      <c r="F83" s="103" t="s">
        <v>474</v>
      </c>
    </row>
    <row r="84" spans="1:6" ht="15.75" customHeight="1" x14ac:dyDescent="0.2">
      <c r="A84" s="119" t="s">
        <v>526</v>
      </c>
      <c r="B84" s="145">
        <f>Insumos!G117</f>
        <v>27.875416666666666</v>
      </c>
      <c r="C84" s="106">
        <f>B84</f>
        <v>27.875416666666666</v>
      </c>
      <c r="D84" s="106">
        <f>B84</f>
        <v>27.875416666666666</v>
      </c>
      <c r="E84" s="190">
        <f>Insumos!G117</f>
        <v>27.875416666666666</v>
      </c>
      <c r="F84" s="107">
        <f>Insumos!G118</f>
        <v>34.030416666666667</v>
      </c>
    </row>
    <row r="85" spans="1:6" x14ac:dyDescent="0.2">
      <c r="A85" s="144" t="s">
        <v>527</v>
      </c>
      <c r="B85" s="145">
        <f>Insumos!G59</f>
        <v>461.23111666666665</v>
      </c>
      <c r="C85" s="106">
        <f>B85</f>
        <v>461.23111666666665</v>
      </c>
      <c r="D85" s="106">
        <f>B85</f>
        <v>461.23111666666665</v>
      </c>
      <c r="E85" s="190"/>
      <c r="F85" s="107"/>
    </row>
    <row r="86" spans="1:6" x14ac:dyDescent="0.2">
      <c r="A86" s="144" t="s">
        <v>528</v>
      </c>
      <c r="B86" s="146">
        <f>Insumos!I99</f>
        <v>21.257086309523803</v>
      </c>
      <c r="C86" s="106">
        <f>B86</f>
        <v>21.257086309523803</v>
      </c>
      <c r="D86" s="106">
        <f>B86</f>
        <v>21.257086309523803</v>
      </c>
      <c r="E86" s="190"/>
      <c r="F86" s="107"/>
    </row>
    <row r="87" spans="1:6" ht="15.75" customHeight="1" x14ac:dyDescent="0.2">
      <c r="A87" s="144" t="s">
        <v>529</v>
      </c>
      <c r="B87" s="145"/>
      <c r="C87" s="106">
        <f>Insumos!I129</f>
        <v>36.666666666666671</v>
      </c>
      <c r="D87" s="106">
        <f>Insumos!H129</f>
        <v>25.446666666666665</v>
      </c>
      <c r="E87" s="190"/>
      <c r="F87" s="107"/>
    </row>
    <row r="88" spans="1:6" ht="15.75" customHeight="1" x14ac:dyDescent="0.2">
      <c r="A88" s="144" t="s">
        <v>530</v>
      </c>
      <c r="B88" s="108">
        <v>0.12</v>
      </c>
      <c r="C88" s="106"/>
      <c r="D88" s="106"/>
      <c r="E88" s="190">
        <f>B88*(E123+E124+E84)</f>
        <v>398.21325906666669</v>
      </c>
      <c r="F88" s="107"/>
    </row>
    <row r="89" spans="1:6" ht="15.75" customHeight="1" x14ac:dyDescent="0.2">
      <c r="A89" s="144" t="s">
        <v>531</v>
      </c>
      <c r="B89" s="145">
        <f>Insumos!H145</f>
        <v>50.323333333333331</v>
      </c>
      <c r="C89" s="106"/>
      <c r="D89" s="106"/>
      <c r="E89" s="190"/>
      <c r="F89" s="107">
        <f>B89</f>
        <v>50.323333333333331</v>
      </c>
    </row>
    <row r="90" spans="1:6" ht="15.75" customHeight="1" x14ac:dyDescent="0.2">
      <c r="A90" s="144" t="s">
        <v>532</v>
      </c>
      <c r="B90" s="145"/>
      <c r="C90" s="106"/>
      <c r="D90" s="106"/>
      <c r="E90" s="190"/>
      <c r="F90" s="107">
        <f>B90</f>
        <v>0</v>
      </c>
    </row>
    <row r="91" spans="1:6" ht="15.75" customHeight="1" x14ac:dyDescent="0.2">
      <c r="A91" s="140" t="s">
        <v>481</v>
      </c>
      <c r="B91" s="147"/>
      <c r="C91" s="142">
        <f>SUM(C84:C90)</f>
        <v>547.03028630952383</v>
      </c>
      <c r="D91" s="142">
        <f t="shared" ref="D91:F91" si="11">SUM(D84:D90)</f>
        <v>535.8102863095238</v>
      </c>
      <c r="E91" s="142">
        <f t="shared" si="11"/>
        <v>426.08867573333339</v>
      </c>
      <c r="F91" s="142">
        <f t="shared" si="11"/>
        <v>84.353749999999991</v>
      </c>
    </row>
    <row r="92" spans="1:6" ht="15.75" customHeight="1" x14ac:dyDescent="0.2">
      <c r="A92" s="1037"/>
      <c r="B92" s="1037"/>
      <c r="C92" s="148"/>
      <c r="D92" s="148"/>
      <c r="E92" s="202"/>
      <c r="F92" s="149"/>
    </row>
    <row r="93" spans="1:6" ht="15.75" customHeight="1" x14ac:dyDescent="0.2">
      <c r="A93" s="199" t="s">
        <v>533</v>
      </c>
      <c r="B93" s="200"/>
      <c r="C93" s="200"/>
      <c r="D93" s="200"/>
      <c r="E93" s="200"/>
      <c r="F93" s="201"/>
    </row>
    <row r="94" spans="1:6" ht="15.75" customHeight="1" x14ac:dyDescent="0.2">
      <c r="A94" s="101" t="s">
        <v>534</v>
      </c>
      <c r="B94" s="102" t="s">
        <v>473</v>
      </c>
      <c r="C94" s="102" t="s">
        <v>474</v>
      </c>
      <c r="D94" s="102" t="s">
        <v>474</v>
      </c>
      <c r="E94" s="102" t="s">
        <v>474</v>
      </c>
      <c r="F94" s="103"/>
    </row>
    <row r="95" spans="1:6" ht="15.75" customHeight="1" x14ac:dyDescent="0.2">
      <c r="A95" s="104" t="s">
        <v>77</v>
      </c>
      <c r="B95" s="108">
        <f>MC!C68</f>
        <v>0.03</v>
      </c>
      <c r="C95" s="125">
        <f>($C$19+$C$49+$C$60+$C$80+$C$91)*$B$95</f>
        <v>122.28838725753405</v>
      </c>
      <c r="D95" s="125">
        <f>($D$19+$D$49+$D$60+$D$80+$D$91)*$B$95</f>
        <v>103.95085520508361</v>
      </c>
      <c r="E95" s="194">
        <f>($E$19+$E$49+$E$60+$E$80+$E$91)*$B$95</f>
        <v>125.9532695558397</v>
      </c>
      <c r="F95" s="126">
        <f>($F$19+$F$49+$F$60+$F$80+$F$91)*$B$95</f>
        <v>139.62428523781406</v>
      </c>
    </row>
    <row r="96" spans="1:6" x14ac:dyDescent="0.2">
      <c r="A96" s="104" t="s">
        <v>78</v>
      </c>
      <c r="B96" s="108">
        <f>MC!C69</f>
        <v>6.7900000000000002E-2</v>
      </c>
      <c r="C96" s="125">
        <f>($C$19+$C$49+$C$60+$C$80+$C$91+C95)*B96</f>
        <v>285.08276465433869</v>
      </c>
      <c r="D96" s="125">
        <f>($D$19+$D$49+$D$60+$D$80+$D$91+$D$95)*$B$96</f>
        <v>242.33369868259777</v>
      </c>
      <c r="E96" s="125">
        <f>($E$19+$E$49+$E$60+$E$80+$E$91+$E$95)*$B$96</f>
        <v>293.62646043089211</v>
      </c>
      <c r="F96" s="126">
        <f>($F$19+$F$49+$F$60+$F$80+$F$91+F95)*$B$96</f>
        <v>325.49678788923342</v>
      </c>
    </row>
    <row r="97" spans="1:7" x14ac:dyDescent="0.2">
      <c r="A97" s="203" t="s">
        <v>535</v>
      </c>
      <c r="B97" s="204">
        <f>B98+B99</f>
        <v>0.1125</v>
      </c>
      <c r="C97" s="205">
        <f>((C19+C49+C60+C80+C91+C95+C96)/(1-($B$97)))*$B$97</f>
        <v>568.35009217559264</v>
      </c>
      <c r="D97" s="205">
        <f>((D19+D49+D60+D80+D91+D95+D96)/(1-($B$97)))*$B$97</f>
        <v>483.12419079597498</v>
      </c>
      <c r="E97" s="205">
        <f>((E19+E49+E60+E80+E91+E95+E96)/(1-($B$97)))*$B$97</f>
        <v>585.3830765722887</v>
      </c>
      <c r="F97" s="205">
        <f>((F19+F49+F60+F80+F91+F95+F96)/(1-($B$97)))*$B$97</f>
        <v>648.92077788010772</v>
      </c>
    </row>
    <row r="98" spans="1:7" x14ac:dyDescent="0.2">
      <c r="A98" s="104" t="s">
        <v>536</v>
      </c>
      <c r="B98" s="108">
        <f>0.0165+0.076</f>
        <v>9.2499999999999999E-2</v>
      </c>
      <c r="C98" s="206">
        <f>((C$19+C$49+C$60+C$80+C$91+C$95+C$96)/(1-($B$97)))*$B$98</f>
        <v>467.3100757888206</v>
      </c>
      <c r="D98" s="206">
        <f t="shared" ref="D98:F98" si="12">((D$19+D$49+D$60+D$80+D$91+D$95+D$96)/(1-($B$97)))*$B$98</f>
        <v>397.23544576557941</v>
      </c>
      <c r="E98" s="206">
        <f t="shared" si="12"/>
        <v>481.31497407054849</v>
      </c>
      <c r="F98" s="206">
        <f t="shared" si="12"/>
        <v>533.55708403475523</v>
      </c>
    </row>
    <row r="99" spans="1:7" x14ac:dyDescent="0.2">
      <c r="A99" s="104" t="s">
        <v>537</v>
      </c>
      <c r="B99" s="108">
        <v>0.02</v>
      </c>
      <c r="C99" s="207">
        <f>((C$19+C$49+C$60+C$80+C$91+C$95+C$96)/(1-($B$97)))*$B$99</f>
        <v>101.04001638677202</v>
      </c>
      <c r="D99" s="207">
        <f t="shared" ref="D99:F99" si="13">((D$19+D$49+D$60+D$80+D$91+D$95+D$96)/(1-($B$97)))*$B$99</f>
        <v>85.888745030395555</v>
      </c>
      <c r="E99" s="207">
        <f t="shared" si="13"/>
        <v>104.06810250174021</v>
      </c>
      <c r="F99" s="207">
        <f t="shared" si="13"/>
        <v>115.36369384535249</v>
      </c>
    </row>
    <row r="100" spans="1:7" x14ac:dyDescent="0.2">
      <c r="A100" s="203" t="s">
        <v>538</v>
      </c>
      <c r="B100" s="204">
        <f>B101+B102</f>
        <v>0.11749999999999999</v>
      </c>
      <c r="C100" s="205">
        <f>((C19+C49+C60+C80+C91+C95+C96)/(1-($B$100)))*$B$100</f>
        <v>596.9733262794939</v>
      </c>
      <c r="D100" s="205">
        <f t="shared" ref="D100:F100" si="14">((D19+D49+D60+D80+D91+D95+D96)/(1-($B$100)))*$B$100</f>
        <v>507.45528003971299</v>
      </c>
      <c r="E100" s="205">
        <f t="shared" si="14"/>
        <v>614.86412543963718</v>
      </c>
      <c r="F100" s="205">
        <f t="shared" si="14"/>
        <v>681.60171098077399</v>
      </c>
    </row>
    <row r="101" spans="1:7" x14ac:dyDescent="0.2">
      <c r="A101" s="104" t="s">
        <v>536</v>
      </c>
      <c r="B101" s="108">
        <f>0.0165+0.076</f>
        <v>9.2499999999999999E-2</v>
      </c>
      <c r="C101" s="206">
        <f>((C19+C49+C60+C80+C91+C95+C96)/(1-($B$100)))*$B$101</f>
        <v>469.9577249434314</v>
      </c>
      <c r="D101" s="206">
        <f t="shared" ref="D101:F101" si="15">((D19+D49+D60+D80+D91+D95+D96)/(1-($B$100)))*$B$101</f>
        <v>399.4860715206251</v>
      </c>
      <c r="E101" s="206">
        <f t="shared" si="15"/>
        <v>484.04197109077819</v>
      </c>
      <c r="F101" s="206">
        <f t="shared" si="15"/>
        <v>536.5800703465668</v>
      </c>
    </row>
    <row r="102" spans="1:7" x14ac:dyDescent="0.2">
      <c r="A102" s="104" t="s">
        <v>537</v>
      </c>
      <c r="B102" s="108">
        <v>2.5000000000000001E-2</v>
      </c>
      <c r="C102" s="207">
        <f>((C$19+C$49+C$60+C$80+C$91+C$95+C$96)/(1-($B$100)))*$B$102</f>
        <v>127.01560133606255</v>
      </c>
      <c r="D102" s="207">
        <f t="shared" ref="D102:F102" si="16">((D$19+D$49+D$60+D$80+D$91+D$95+D$96)/(1-($B$100)))*$B$102</f>
        <v>107.96920851908789</v>
      </c>
      <c r="E102" s="207">
        <f t="shared" si="16"/>
        <v>130.82215434885899</v>
      </c>
      <c r="F102" s="207">
        <f t="shared" si="16"/>
        <v>145.02164063420724</v>
      </c>
    </row>
    <row r="103" spans="1:7" x14ac:dyDescent="0.2">
      <c r="A103" s="203" t="s">
        <v>539</v>
      </c>
      <c r="B103" s="204">
        <f>B104+B105</f>
        <v>0.1225</v>
      </c>
      <c r="C103" s="205">
        <f>((C19+C49+C60+C80+C91+C95+C96)/(1-($B$103)))*$B$103</f>
        <v>625.92275108543413</v>
      </c>
      <c r="D103" s="205">
        <f t="shared" ref="D103:F103" si="17">((D19+D49+D60+D80+D91+D95+D96)/(1-($B$103)))*$B$103</f>
        <v>532.0636466537502</v>
      </c>
      <c r="E103" s="205">
        <f t="shared" si="17"/>
        <v>644.6811406758444</v>
      </c>
      <c r="F103" s="205">
        <f t="shared" si="17"/>
        <v>714.65507636748805</v>
      </c>
    </row>
    <row r="104" spans="1:7" x14ac:dyDescent="0.2">
      <c r="A104" s="104" t="s">
        <v>536</v>
      </c>
      <c r="B104" s="108">
        <f>0.0165+0.076</f>
        <v>9.2499999999999999E-2</v>
      </c>
      <c r="C104" s="206">
        <f>((C19+C49+C60+C80+C91+C95+C96)/(1-($B$103)))*$B$104</f>
        <v>472.63554673798092</v>
      </c>
      <c r="D104" s="206">
        <f t="shared" ref="D104:F104" si="18">((D19+D49+D60+D80+D91+D95+D96)/(1-($B$103)))*$B$104</f>
        <v>401.76234543242361</v>
      </c>
      <c r="E104" s="206">
        <f t="shared" si="18"/>
        <v>486.8000450001274</v>
      </c>
      <c r="F104" s="206">
        <f t="shared" si="18"/>
        <v>539.63750664483791</v>
      </c>
    </row>
    <row r="105" spans="1:7" x14ac:dyDescent="0.2">
      <c r="A105" s="104" t="s">
        <v>537</v>
      </c>
      <c r="B105" s="108">
        <v>0.03</v>
      </c>
      <c r="C105" s="207">
        <f>((C19+C49+C60+C80+C91+C95+C96)/(1-($B$103)))*$B$105</f>
        <v>153.28720434745327</v>
      </c>
      <c r="D105" s="207">
        <f t="shared" ref="D105:F105" si="19">((D19+D49+D60+D80+D91+D95+D96)/(1-($B$103)))*$B$105</f>
        <v>130.30130122132658</v>
      </c>
      <c r="E105" s="207">
        <f t="shared" si="19"/>
        <v>157.88109567571698</v>
      </c>
      <c r="F105" s="207">
        <f t="shared" si="19"/>
        <v>175.01756972265014</v>
      </c>
      <c r="G105" s="208"/>
    </row>
    <row r="106" spans="1:7" x14ac:dyDescent="0.2">
      <c r="A106" s="203" t="s">
        <v>540</v>
      </c>
      <c r="B106" s="204">
        <f>B107+B108</f>
        <v>0.13250000000000001</v>
      </c>
      <c r="C106" s="205">
        <f>((C19+C49+C60+C80+C91+C95+C96)/(1-($B$106)))*$B$106</f>
        <v>684.82273354362951</v>
      </c>
      <c r="D106" s="205">
        <f t="shared" ref="D106:F106" si="20">((D19+D49+D60+D80+D91+D95+D96)/(1-($B$106)))*$B$106</f>
        <v>582.13138967827535</v>
      </c>
      <c r="E106" s="205">
        <f t="shared" si="20"/>
        <v>705.34630712184526</v>
      </c>
      <c r="F106" s="205">
        <f t="shared" si="20"/>
        <v>781.90486300443331</v>
      </c>
    </row>
    <row r="107" spans="1:7" x14ac:dyDescent="0.2">
      <c r="A107" s="104" t="s">
        <v>536</v>
      </c>
      <c r="B107" s="108">
        <f>0.0165+0.076</f>
        <v>9.2499999999999999E-2</v>
      </c>
      <c r="C107" s="206">
        <f>((C19+C49+C60+C80+C91+C95+C96)/(1-($B$106)))*$B$107</f>
        <v>478.08379511536396</v>
      </c>
      <c r="D107" s="206">
        <f t="shared" ref="D107:F107" si="21">((D19+D49+D60+D80+D91+D95+D96)/(1-($B$106)))*$B$107</f>
        <v>406.39361166219214</v>
      </c>
      <c r="E107" s="206">
        <f t="shared" si="21"/>
        <v>492.41157289638249</v>
      </c>
      <c r="F107" s="206">
        <f t="shared" si="21"/>
        <v>545.85811190875529</v>
      </c>
    </row>
    <row r="108" spans="1:7" x14ac:dyDescent="0.2">
      <c r="A108" s="104" t="s">
        <v>537</v>
      </c>
      <c r="B108" s="108">
        <v>0.04</v>
      </c>
      <c r="C108" s="207">
        <f>((C19+C49+C60+C80+C91+C95+C96)/(1-($B$106)))*$B$108</f>
        <v>206.7389384282655</v>
      </c>
      <c r="D108" s="207">
        <f t="shared" ref="D108:F108" si="22">((D19+D49+D60+D80+D91+D95+D96)/(1-($B$106)))*$B$108</f>
        <v>175.7377780160831</v>
      </c>
      <c r="E108" s="207">
        <f t="shared" si="22"/>
        <v>212.93473422546271</v>
      </c>
      <c r="F108" s="207">
        <f t="shared" si="22"/>
        <v>236.04675109567799</v>
      </c>
    </row>
    <row r="109" spans="1:7" x14ac:dyDescent="0.2">
      <c r="A109" s="203" t="s">
        <v>541</v>
      </c>
      <c r="B109" s="204">
        <f>B110+B111</f>
        <v>0.14250000000000002</v>
      </c>
      <c r="C109" s="205">
        <f>((C19+C49+C60+C80+C91+C95+C96)/(1-($B$109)))*$B$109</f>
        <v>745.09647652563115</v>
      </c>
      <c r="D109" s="205">
        <f t="shared" ref="D109:F109" si="23">((D19+D49+D60+D80+D91+D95+D96)/(1-($B$109)))*$B$109</f>
        <v>633.36689347305173</v>
      </c>
      <c r="E109" s="205">
        <f t="shared" si="23"/>
        <v>767.42640456367121</v>
      </c>
      <c r="F109" s="205">
        <f t="shared" si="23"/>
        <v>850.72315778451446</v>
      </c>
    </row>
    <row r="110" spans="1:7" x14ac:dyDescent="0.2">
      <c r="A110" s="104" t="s">
        <v>536</v>
      </c>
      <c r="B110" s="108">
        <f>0.0165+0.076</f>
        <v>9.2499999999999999E-2</v>
      </c>
      <c r="C110" s="206">
        <f>((C19+C49+C60+C80+C91+C95+C96)/(1-($B$109)))*$B$110</f>
        <v>483.65911634119914</v>
      </c>
      <c r="D110" s="206">
        <f t="shared" ref="D110:F110" si="24">((D19+D49+D60+D80+D91+D95+D96)/(1-($B$109)))*$B$110</f>
        <v>411.13289576320898</v>
      </c>
      <c r="E110" s="206">
        <f t="shared" si="24"/>
        <v>498.15398190975145</v>
      </c>
      <c r="F110" s="206">
        <f t="shared" si="24"/>
        <v>552.22380417591285</v>
      </c>
    </row>
    <row r="111" spans="1:7" x14ac:dyDescent="0.2">
      <c r="A111" s="104" t="s">
        <v>537</v>
      </c>
      <c r="B111" s="209">
        <v>0.05</v>
      </c>
      <c r="C111" s="207">
        <f>((C19+C49+C60+C80+C91+C95+C96)/(1-($B$109)))*$B$111</f>
        <v>261.43736018443195</v>
      </c>
      <c r="D111" s="207">
        <f t="shared" ref="D111:F111" si="25">((D19+D49+D60+D80+D91+D95+D96)/(1-($B$109)))*$B$111</f>
        <v>222.2339977098427</v>
      </c>
      <c r="E111" s="207">
        <f t="shared" si="25"/>
        <v>269.2724226539197</v>
      </c>
      <c r="F111" s="207">
        <f t="shared" si="25"/>
        <v>298.49935360860155</v>
      </c>
    </row>
    <row r="112" spans="1:7" x14ac:dyDescent="0.2">
      <c r="A112" s="1038" t="s">
        <v>542</v>
      </c>
      <c r="B112" s="210">
        <v>0.02</v>
      </c>
      <c r="C112" s="211">
        <f>C95+C96+C97</f>
        <v>975.72124408746538</v>
      </c>
      <c r="D112" s="211">
        <f>D95+D96+D97</f>
        <v>829.40874468365632</v>
      </c>
      <c r="E112" s="211">
        <f>E95+E96+E97</f>
        <v>1004.9628065590205</v>
      </c>
      <c r="F112" s="211">
        <f>F95+F96+F97</f>
        <v>1114.0418510071552</v>
      </c>
    </row>
    <row r="113" spans="1:7" x14ac:dyDescent="0.2">
      <c r="A113" s="1038"/>
      <c r="B113" s="212">
        <v>2.5000000000000001E-2</v>
      </c>
      <c r="C113" s="213">
        <f>C95+C96+C100</f>
        <v>1004.3444781913666</v>
      </c>
      <c r="D113" s="213">
        <f>D95+D96+D100</f>
        <v>853.73983392739433</v>
      </c>
      <c r="E113" s="213">
        <f>E95+E96+E100</f>
        <v>1034.4438554263691</v>
      </c>
      <c r="F113" s="213">
        <f>F95+F96+F100</f>
        <v>1146.7227841078216</v>
      </c>
    </row>
    <row r="114" spans="1:7" ht="15.75" customHeight="1" x14ac:dyDescent="0.2">
      <c r="A114" s="1038"/>
      <c r="B114" s="212">
        <v>0.03</v>
      </c>
      <c r="C114" s="213">
        <f>C95+C96+C103</f>
        <v>1033.2939029973068</v>
      </c>
      <c r="D114" s="213">
        <f>D95+D96+D103</f>
        <v>878.34820054143165</v>
      </c>
      <c r="E114" s="213">
        <f>E95+E96+E103</f>
        <v>1064.2608706625763</v>
      </c>
      <c r="F114" s="213">
        <f>F95+F96+F103</f>
        <v>1179.7761494945355</v>
      </c>
      <c r="G114" s="208"/>
    </row>
    <row r="115" spans="1:7" ht="15.75" customHeight="1" x14ac:dyDescent="0.2">
      <c r="A115" s="1038"/>
      <c r="B115" s="212">
        <v>0.04</v>
      </c>
      <c r="C115" s="213">
        <f>C95+C96+C106</f>
        <v>1092.1938854555024</v>
      </c>
      <c r="D115" s="213">
        <f>D95+D96+D106</f>
        <v>928.4159435659567</v>
      </c>
      <c r="E115" s="213">
        <f>E95+E96+E106</f>
        <v>1124.926037108577</v>
      </c>
      <c r="F115" s="213">
        <f>F95+F96+F106</f>
        <v>1247.0259361314806</v>
      </c>
    </row>
    <row r="116" spans="1:7" ht="15.75" customHeight="1" x14ac:dyDescent="0.2">
      <c r="A116" s="1038"/>
      <c r="B116" s="214">
        <v>0.05</v>
      </c>
      <c r="C116" s="215">
        <f>C95+C96+C109</f>
        <v>1152.4676284375039</v>
      </c>
      <c r="D116" s="215">
        <f>D95+D96+D109</f>
        <v>979.65144736073307</v>
      </c>
      <c r="E116" s="215">
        <f>E95+E96+E109</f>
        <v>1187.006134550403</v>
      </c>
      <c r="F116" s="215">
        <f>F95+F96+F109</f>
        <v>1315.8442309115619</v>
      </c>
    </row>
    <row r="117" spans="1:7" ht="15.75" customHeight="1" x14ac:dyDescent="0.2">
      <c r="A117" s="104" t="s">
        <v>543</v>
      </c>
      <c r="B117" s="216"/>
      <c r="C117" s="217"/>
      <c r="D117" s="217"/>
      <c r="E117" s="218"/>
      <c r="F117" s="219"/>
    </row>
    <row r="118" spans="1:7" ht="24.75" customHeight="1" x14ac:dyDescent="0.2">
      <c r="A118" s="154"/>
      <c r="B118" s="220"/>
      <c r="C118" s="221"/>
      <c r="D118" s="221"/>
      <c r="E118" s="222"/>
      <c r="F118" s="223"/>
    </row>
    <row r="119" spans="1:7" ht="15.75" customHeight="1" x14ac:dyDescent="0.2">
      <c r="A119" s="1039"/>
      <c r="B119" s="1039"/>
      <c r="C119" s="1039"/>
      <c r="D119" s="1039"/>
      <c r="E119" s="1039"/>
      <c r="F119" s="1039"/>
    </row>
    <row r="120" spans="1:7" ht="15.75" customHeight="1" x14ac:dyDescent="0.2">
      <c r="A120" s="1040"/>
      <c r="B120" s="1040"/>
      <c r="C120" s="1040"/>
      <c r="D120" s="1040"/>
      <c r="E120" s="1040"/>
      <c r="F120" s="1040"/>
    </row>
    <row r="121" spans="1:7" ht="54.75" customHeight="1" x14ac:dyDescent="0.2">
      <c r="A121" s="1041" t="s">
        <v>544</v>
      </c>
      <c r="B121" s="1041"/>
      <c r="C121" s="224" t="str">
        <f>C10</f>
        <v xml:space="preserve">Servente 44h </v>
      </c>
      <c r="D121" s="224" t="str">
        <f>D10</f>
        <v>Servente 30h</v>
      </c>
      <c r="E121" s="225" t="str">
        <f>E10</f>
        <v>Servente 44h limpeza de esquadrias com risco</v>
      </c>
      <c r="F121" s="226" t="str">
        <f>F10</f>
        <v>Encarregada 44h</v>
      </c>
    </row>
    <row r="122" spans="1:7" ht="15.75" customHeight="1" x14ac:dyDescent="0.2">
      <c r="A122" s="1035" t="s">
        <v>545</v>
      </c>
      <c r="B122" s="1035"/>
      <c r="C122" s="227" t="s">
        <v>474</v>
      </c>
      <c r="D122" s="227" t="s">
        <v>474</v>
      </c>
      <c r="E122" s="227" t="s">
        <v>474</v>
      </c>
      <c r="F122" s="228" t="s">
        <v>474</v>
      </c>
    </row>
    <row r="123" spans="1:7" ht="14.25" customHeight="1" x14ac:dyDescent="0.2">
      <c r="A123" s="1036" t="s">
        <v>546</v>
      </c>
      <c r="B123" s="1036"/>
      <c r="C123" s="229">
        <f>C19</f>
        <v>1587.2640000000001</v>
      </c>
      <c r="D123" s="229">
        <f>D19</f>
        <v>1298.6705454545454</v>
      </c>
      <c r="E123" s="229">
        <f>E19</f>
        <v>1719.5360000000001</v>
      </c>
      <c r="F123" s="230">
        <f>F19</f>
        <v>2170.884</v>
      </c>
    </row>
    <row r="124" spans="1:7" ht="14.25" customHeight="1" x14ac:dyDescent="0.2">
      <c r="A124" s="1031" t="s">
        <v>547</v>
      </c>
      <c r="B124" s="1031"/>
      <c r="C124" s="150">
        <f>C49</f>
        <v>1492.9891466666668</v>
      </c>
      <c r="D124" s="150">
        <f>D49</f>
        <v>1259.40112</v>
      </c>
      <c r="E124" s="150">
        <f>E49</f>
        <v>1571.032408888889</v>
      </c>
      <c r="F124" s="151">
        <f>F49</f>
        <v>1808.1442133333335</v>
      </c>
    </row>
    <row r="125" spans="1:7" ht="14.25" customHeight="1" x14ac:dyDescent="0.2">
      <c r="A125" s="1031" t="s">
        <v>548</v>
      </c>
      <c r="B125" s="1031"/>
      <c r="C125" s="150">
        <f>C60</f>
        <v>103.96579199999999</v>
      </c>
      <c r="D125" s="150">
        <f>D60</f>
        <v>85.062920727272711</v>
      </c>
      <c r="E125" s="150">
        <f>E60</f>
        <v>112.62960799999999</v>
      </c>
      <c r="F125" s="151">
        <f>F60</f>
        <v>142.19290199999998</v>
      </c>
    </row>
    <row r="126" spans="1:7" ht="14.25" customHeight="1" x14ac:dyDescent="0.2">
      <c r="A126" s="1031" t="s">
        <v>549</v>
      </c>
      <c r="B126" s="1031"/>
      <c r="C126" s="150">
        <f>C80</f>
        <v>345.03035027494445</v>
      </c>
      <c r="D126" s="150">
        <f>D80</f>
        <v>286.08363434477855</v>
      </c>
      <c r="E126" s="150">
        <f>E80</f>
        <v>369.15562590576701</v>
      </c>
      <c r="F126" s="151">
        <f>F69</f>
        <v>410.73294520196418</v>
      </c>
    </row>
    <row r="127" spans="1:7" ht="15.75" customHeight="1" x14ac:dyDescent="0.2">
      <c r="A127" s="1031" t="s">
        <v>550</v>
      </c>
      <c r="B127" s="1031"/>
      <c r="C127" s="150">
        <f>C91</f>
        <v>547.03028630952383</v>
      </c>
      <c r="D127" s="150">
        <f>D91</f>
        <v>535.8102863095238</v>
      </c>
      <c r="E127" s="150">
        <f>E91</f>
        <v>426.08867573333339</v>
      </c>
      <c r="F127" s="151">
        <f>F91</f>
        <v>84.353749999999991</v>
      </c>
    </row>
    <row r="128" spans="1:7" ht="15.75" customHeight="1" x14ac:dyDescent="0.2">
      <c r="A128" s="1034" t="s">
        <v>551</v>
      </c>
      <c r="B128" s="1034"/>
      <c r="C128" s="152">
        <f>SUM(C123:C127)</f>
        <v>4076.2795752511352</v>
      </c>
      <c r="D128" s="152">
        <f>SUM(D123:D127)</f>
        <v>3465.0285068361204</v>
      </c>
      <c r="E128" s="231">
        <f>SUM(E123:E127)</f>
        <v>4198.4423185279902</v>
      </c>
      <c r="F128" s="153">
        <f>SUM(F123:F127)</f>
        <v>4616.3078105352979</v>
      </c>
    </row>
    <row r="129" spans="1:12" ht="15.75" customHeight="1" x14ac:dyDescent="0.2">
      <c r="A129" s="1032" t="s">
        <v>552</v>
      </c>
      <c r="B129" s="1032"/>
      <c r="C129" s="232">
        <f t="shared" ref="C129:F133" si="26">C112</f>
        <v>975.72124408746538</v>
      </c>
      <c r="D129" s="232">
        <f t="shared" si="26"/>
        <v>829.40874468365632</v>
      </c>
      <c r="E129" s="232">
        <f t="shared" si="26"/>
        <v>1004.9628065590205</v>
      </c>
      <c r="F129" s="233">
        <f t="shared" si="26"/>
        <v>1114.0418510071552</v>
      </c>
    </row>
    <row r="130" spans="1:12" ht="15.75" customHeight="1" x14ac:dyDescent="0.2">
      <c r="A130" s="1031" t="s">
        <v>553</v>
      </c>
      <c r="B130" s="1031"/>
      <c r="C130" s="234">
        <f t="shared" si="26"/>
        <v>1004.3444781913666</v>
      </c>
      <c r="D130" s="234">
        <f t="shared" si="26"/>
        <v>853.73983392739433</v>
      </c>
      <c r="E130" s="234">
        <f t="shared" si="26"/>
        <v>1034.4438554263691</v>
      </c>
      <c r="F130" s="235">
        <f t="shared" si="26"/>
        <v>1146.7227841078216</v>
      </c>
    </row>
    <row r="131" spans="1:12" ht="15.75" customHeight="1" x14ac:dyDescent="0.2">
      <c r="A131" s="1031" t="s">
        <v>554</v>
      </c>
      <c r="B131" s="1031"/>
      <c r="C131" s="234">
        <f t="shared" si="26"/>
        <v>1033.2939029973068</v>
      </c>
      <c r="D131" s="234">
        <f t="shared" si="26"/>
        <v>878.34820054143165</v>
      </c>
      <c r="E131" s="234">
        <f t="shared" si="26"/>
        <v>1064.2608706625763</v>
      </c>
      <c r="F131" s="235">
        <f t="shared" si="26"/>
        <v>1179.7761494945355</v>
      </c>
    </row>
    <row r="132" spans="1:12" ht="15.75" customHeight="1" x14ac:dyDescent="0.2">
      <c r="A132" s="1031" t="s">
        <v>555</v>
      </c>
      <c r="B132" s="1031"/>
      <c r="C132" s="234">
        <f t="shared" si="26"/>
        <v>1092.1938854555024</v>
      </c>
      <c r="D132" s="234">
        <f t="shared" si="26"/>
        <v>928.4159435659567</v>
      </c>
      <c r="E132" s="234">
        <f t="shared" si="26"/>
        <v>1124.926037108577</v>
      </c>
      <c r="F132" s="235">
        <f t="shared" si="26"/>
        <v>1247.0259361314806</v>
      </c>
    </row>
    <row r="133" spans="1:12" ht="15.75" customHeight="1" x14ac:dyDescent="0.2">
      <c r="A133" s="1032" t="s">
        <v>556</v>
      </c>
      <c r="B133" s="1032"/>
      <c r="C133" s="234">
        <f t="shared" si="26"/>
        <v>1152.4676284375039</v>
      </c>
      <c r="D133" s="234">
        <f t="shared" si="26"/>
        <v>979.65144736073307</v>
      </c>
      <c r="E133" s="234">
        <f t="shared" si="26"/>
        <v>1187.006134550403</v>
      </c>
      <c r="F133" s="235">
        <f t="shared" si="26"/>
        <v>1315.8442309115619</v>
      </c>
    </row>
    <row r="134" spans="1:12" ht="15.75" customHeight="1" x14ac:dyDescent="0.2">
      <c r="A134" s="236" t="s">
        <v>557</v>
      </c>
      <c r="B134" s="237"/>
      <c r="C134" s="238">
        <f>C128+C129</f>
        <v>5052.0008193386002</v>
      </c>
      <c r="D134" s="238">
        <f>D128+D129</f>
        <v>4294.4372515197765</v>
      </c>
      <c r="E134" s="238">
        <f>E128+E129</f>
        <v>5203.4051250870107</v>
      </c>
      <c r="F134" s="239">
        <f>F128+F129</f>
        <v>5730.3496615424528</v>
      </c>
    </row>
    <row r="135" spans="1:12" ht="15.75" customHeight="1" x14ac:dyDescent="0.2">
      <c r="A135" s="240" t="s">
        <v>558</v>
      </c>
      <c r="B135" s="241"/>
      <c r="C135" s="242">
        <f>C128+C130</f>
        <v>5080.6240534425015</v>
      </c>
      <c r="D135" s="242">
        <f>D128+D130</f>
        <v>4318.768340763515</v>
      </c>
      <c r="E135" s="242">
        <f>E128+E130</f>
        <v>5232.886173954359</v>
      </c>
      <c r="F135" s="243">
        <f>F128+F130</f>
        <v>5763.0305946431199</v>
      </c>
    </row>
    <row r="136" spans="1:12" ht="15.75" customHeight="1" x14ac:dyDescent="0.2">
      <c r="A136" s="240" t="s">
        <v>559</v>
      </c>
      <c r="B136" s="241"/>
      <c r="C136" s="242">
        <f>C128+C131</f>
        <v>5109.5734782484415</v>
      </c>
      <c r="D136" s="242">
        <f>D128+D131</f>
        <v>4343.3767073775525</v>
      </c>
      <c r="E136" s="242">
        <f>E128+E131</f>
        <v>5262.7031891905663</v>
      </c>
      <c r="F136" s="243">
        <f>F128+F131</f>
        <v>5796.0839600298332</v>
      </c>
    </row>
    <row r="137" spans="1:12" ht="15.75" customHeight="1" x14ac:dyDescent="0.2">
      <c r="A137" s="240" t="s">
        <v>560</v>
      </c>
      <c r="B137" s="241"/>
      <c r="C137" s="242">
        <f>C128+C132</f>
        <v>5168.4734607066375</v>
      </c>
      <c r="D137" s="242">
        <f>D128+D132</f>
        <v>4393.4444504020776</v>
      </c>
      <c r="E137" s="242">
        <f>E128+E132</f>
        <v>5323.3683556365668</v>
      </c>
      <c r="F137" s="243">
        <f>F128+F132</f>
        <v>5863.3337466667781</v>
      </c>
    </row>
    <row r="138" spans="1:12" ht="15.75" customHeight="1" x14ac:dyDescent="0.2">
      <c r="A138" s="240" t="s">
        <v>561</v>
      </c>
      <c r="B138" s="241"/>
      <c r="C138" s="242">
        <f>C128+C133</f>
        <v>5228.7472036886393</v>
      </c>
      <c r="D138" s="242">
        <f>D128+D133</f>
        <v>4444.6799541968539</v>
      </c>
      <c r="E138" s="242">
        <f>E128+E133</f>
        <v>5385.448453078393</v>
      </c>
      <c r="F138" s="243">
        <f>F128+F133</f>
        <v>5932.1520414468596</v>
      </c>
    </row>
    <row r="139" spans="1:12" ht="15.75" customHeight="1" x14ac:dyDescent="0.2">
      <c r="A139" s="736" t="s">
        <v>562</v>
      </c>
      <c r="B139" s="737"/>
      <c r="C139" s="738">
        <f>C134/220</f>
        <v>22.963640087902728</v>
      </c>
      <c r="D139" s="738"/>
      <c r="E139" s="751"/>
      <c r="F139" s="739"/>
    </row>
    <row r="140" spans="1:12" ht="15.75" customHeight="1" x14ac:dyDescent="0.2">
      <c r="A140" s="408" t="s">
        <v>563</v>
      </c>
      <c r="B140" s="246"/>
      <c r="C140" s="247">
        <f t="shared" ref="C140:C143" si="27">C135/220</f>
        <v>23.093745697465916</v>
      </c>
      <c r="D140" s="247"/>
      <c r="E140" s="735"/>
      <c r="F140" s="740"/>
    </row>
    <row r="141" spans="1:12" ht="15.75" customHeight="1" x14ac:dyDescent="0.2">
      <c r="A141" s="408" t="s">
        <v>564</v>
      </c>
      <c r="B141" s="246"/>
      <c r="C141" s="247">
        <f t="shared" si="27"/>
        <v>23.225333992038369</v>
      </c>
      <c r="D141" s="247"/>
      <c r="E141" s="735"/>
      <c r="F141" s="740"/>
    </row>
    <row r="142" spans="1:12" ht="15.75" customHeight="1" x14ac:dyDescent="0.2">
      <c r="A142" s="408" t="s">
        <v>565</v>
      </c>
      <c r="B142" s="246"/>
      <c r="C142" s="247">
        <f t="shared" si="27"/>
        <v>23.493061185030172</v>
      </c>
      <c r="D142" s="247"/>
      <c r="E142" s="735"/>
      <c r="F142" s="740"/>
    </row>
    <row r="143" spans="1:12" ht="15.75" customHeight="1" x14ac:dyDescent="0.2">
      <c r="A143" s="410" t="s">
        <v>566</v>
      </c>
      <c r="B143" s="411"/>
      <c r="C143" s="412">
        <f t="shared" si="27"/>
        <v>23.76703274403927</v>
      </c>
      <c r="D143" s="412"/>
      <c r="E143" s="752"/>
      <c r="F143" s="741"/>
    </row>
    <row r="144" spans="1:12" x14ac:dyDescent="0.2">
      <c r="A144" s="248"/>
      <c r="B144"/>
      <c r="C144"/>
      <c r="D144"/>
      <c r="E144"/>
      <c r="F144"/>
      <c r="G144"/>
      <c r="H144"/>
      <c r="I144"/>
      <c r="J144"/>
      <c r="K144"/>
      <c r="L144"/>
    </row>
    <row r="145" spans="1:15" ht="14.25" customHeight="1" x14ac:dyDescent="0.2">
      <c r="A145" s="1033" t="s">
        <v>567</v>
      </c>
      <c r="B145" s="1033"/>
      <c r="C145" s="1033" t="s">
        <v>568</v>
      </c>
      <c r="D145" s="1033"/>
      <c r="E145" s="1029" t="s">
        <v>569</v>
      </c>
      <c r="F145" s="1030"/>
      <c r="G145" s="1028" t="s">
        <v>570</v>
      </c>
      <c r="H145" s="1028"/>
      <c r="I145" s="1028" t="s">
        <v>571</v>
      </c>
      <c r="J145" s="1028"/>
      <c r="K145" s="1028" t="s">
        <v>572</v>
      </c>
      <c r="L145" s="1028"/>
    </row>
    <row r="146" spans="1:15" ht="38.25" x14ac:dyDescent="0.2">
      <c r="A146" s="271" t="s">
        <v>573</v>
      </c>
      <c r="B146" s="272" t="s">
        <v>574</v>
      </c>
      <c r="C146" s="272" t="s">
        <v>575</v>
      </c>
      <c r="D146" s="272" t="s">
        <v>576</v>
      </c>
      <c r="E146" s="272" t="s">
        <v>575</v>
      </c>
      <c r="F146" s="272" t="s">
        <v>576</v>
      </c>
      <c r="G146" s="272" t="s">
        <v>575</v>
      </c>
      <c r="H146" s="272" t="s">
        <v>576</v>
      </c>
      <c r="I146" s="272" t="s">
        <v>575</v>
      </c>
      <c r="J146" s="272" t="s">
        <v>576</v>
      </c>
      <c r="K146" s="272" t="s">
        <v>575</v>
      </c>
      <c r="L146" s="272" t="s">
        <v>576</v>
      </c>
    </row>
    <row r="147" spans="1:15" x14ac:dyDescent="0.2">
      <c r="A147" s="273" t="s">
        <v>577</v>
      </c>
      <c r="B147" s="274">
        <f>1/'Prod. GEXFLO'!C23</f>
        <v>1.0989010989010989E-3</v>
      </c>
      <c r="C147" s="275">
        <f>C134</f>
        <v>5052.0008193386002</v>
      </c>
      <c r="D147" s="275">
        <f>B147*C147</f>
        <v>5.5516492520204395</v>
      </c>
      <c r="E147" s="275">
        <f>C135</f>
        <v>5080.6240534425015</v>
      </c>
      <c r="F147" s="275">
        <f>B147*E147</f>
        <v>5.5831033554313203</v>
      </c>
      <c r="G147" s="275">
        <f>C136</f>
        <v>5109.5734782484415</v>
      </c>
      <c r="H147" s="275">
        <f>B147*G147</f>
        <v>5.6149159101631225</v>
      </c>
      <c r="I147" s="275">
        <f>C137</f>
        <v>5168.4734607066375</v>
      </c>
      <c r="J147" s="275">
        <f>B147*I147</f>
        <v>5.6796411656116899</v>
      </c>
      <c r="K147" s="275">
        <f>C138</f>
        <v>5228.7472036886393</v>
      </c>
      <c r="L147" s="275">
        <f>B147*K147</f>
        <v>5.7458760480094941</v>
      </c>
    </row>
    <row r="148" spans="1:15" x14ac:dyDescent="0.2">
      <c r="A148" s="276" t="s">
        <v>578</v>
      </c>
      <c r="B148" s="274">
        <f>B147/'Prod. GEXFLO'!O23</f>
        <v>3.924646781789639E-5</v>
      </c>
      <c r="C148" s="275">
        <f>F135</f>
        <v>5763.0305946431199</v>
      </c>
      <c r="D148" s="275">
        <f>C148*B148</f>
        <v>0.22617859476621349</v>
      </c>
      <c r="E148" s="275">
        <f>F135</f>
        <v>5763.0305946431199</v>
      </c>
      <c r="F148" s="275">
        <f>B148*E148</f>
        <v>0.22617859476621349</v>
      </c>
      <c r="G148" s="275">
        <f>F135</f>
        <v>5763.0305946431199</v>
      </c>
      <c r="H148" s="275">
        <f>B148*G148</f>
        <v>0.22617859476621349</v>
      </c>
      <c r="I148" s="275">
        <f>F135</f>
        <v>5763.0305946431199</v>
      </c>
      <c r="J148" s="275">
        <f>B148*I148</f>
        <v>0.22617859476621349</v>
      </c>
      <c r="K148" s="275">
        <f>F135</f>
        <v>5763.0305946431199</v>
      </c>
      <c r="L148" s="275">
        <f>B148*K148</f>
        <v>0.22617859476621349</v>
      </c>
      <c r="M148" s="1018"/>
      <c r="N148" s="1019"/>
      <c r="O148" s="429"/>
    </row>
    <row r="149" spans="1:15" x14ac:dyDescent="0.2">
      <c r="A149" s="277" t="s">
        <v>579</v>
      </c>
      <c r="B149" s="278"/>
      <c r="C149" s="279"/>
      <c r="D149" s="279">
        <f>SUM(D147:D148)</f>
        <v>5.7778278467866526</v>
      </c>
      <c r="E149" s="279"/>
      <c r="F149" s="279">
        <f>SUM(F147:F148)</f>
        <v>5.8092819501975335</v>
      </c>
      <c r="G149" s="279"/>
      <c r="H149" s="279">
        <f>SUM(H147:H148)</f>
        <v>5.8410945049293357</v>
      </c>
      <c r="I149" s="279"/>
      <c r="J149" s="279">
        <f>SUM(J147:J148)</f>
        <v>5.905819760377903</v>
      </c>
      <c r="K149" s="279"/>
      <c r="L149" s="279">
        <f>SUM(L147:L148)</f>
        <v>5.9720546427757073</v>
      </c>
      <c r="M149" s="427"/>
      <c r="N149" s="428"/>
    </row>
    <row r="150" spans="1:15" x14ac:dyDescent="0.2">
      <c r="A150" s="249"/>
      <c r="B150" s="250"/>
      <c r="C150" s="250"/>
      <c r="D150" s="251"/>
      <c r="E150" s="251"/>
      <c r="F150"/>
      <c r="G150"/>
      <c r="H150"/>
      <c r="I150"/>
      <c r="J150"/>
      <c r="K150"/>
      <c r="L150"/>
    </row>
    <row r="151" spans="1:15" ht="14.25" customHeight="1" x14ac:dyDescent="0.2">
      <c r="A151" s="1025" t="s">
        <v>580</v>
      </c>
      <c r="B151" s="1025"/>
      <c r="C151" s="1025" t="s">
        <v>568</v>
      </c>
      <c r="D151" s="1025"/>
      <c r="E151" s="1026" t="s">
        <v>569</v>
      </c>
      <c r="F151" s="1027"/>
      <c r="G151" s="1025" t="s">
        <v>570</v>
      </c>
      <c r="H151" s="1025"/>
      <c r="I151" s="1025" t="s">
        <v>571</v>
      </c>
      <c r="J151" s="1025"/>
      <c r="K151" s="1025" t="s">
        <v>572</v>
      </c>
      <c r="L151" s="1025"/>
    </row>
    <row r="152" spans="1:15" ht="38.25" x14ac:dyDescent="0.2">
      <c r="A152" s="271" t="s">
        <v>573</v>
      </c>
      <c r="B152" s="272" t="s">
        <v>581</v>
      </c>
      <c r="C152" s="272" t="s">
        <v>575</v>
      </c>
      <c r="D152" s="272" t="s">
        <v>576</v>
      </c>
      <c r="E152" s="272" t="s">
        <v>575</v>
      </c>
      <c r="F152" s="272" t="s">
        <v>576</v>
      </c>
      <c r="G152" s="272" t="s">
        <v>575</v>
      </c>
      <c r="H152" s="272" t="s">
        <v>576</v>
      </c>
      <c r="I152" s="272" t="s">
        <v>575</v>
      </c>
      <c r="J152" s="272" t="s">
        <v>576</v>
      </c>
      <c r="K152" s="272" t="s">
        <v>575</v>
      </c>
      <c r="L152" s="272" t="s">
        <v>576</v>
      </c>
    </row>
    <row r="153" spans="1:15" x14ac:dyDescent="0.2">
      <c r="A153" s="273" t="s">
        <v>577</v>
      </c>
      <c r="B153" s="280">
        <f>1/'Prod. GEXFLO'!D23</f>
        <v>4.0000000000000002E-4</v>
      </c>
      <c r="C153" s="281">
        <f>C134</f>
        <v>5052.0008193386002</v>
      </c>
      <c r="D153" s="275">
        <f>B153*C153</f>
        <v>2.02080032773544</v>
      </c>
      <c r="E153" s="275">
        <f>C135</f>
        <v>5080.6240534425015</v>
      </c>
      <c r="F153" s="275">
        <f>B153*E153</f>
        <v>2.0322496213770007</v>
      </c>
      <c r="G153" s="275">
        <f>C136</f>
        <v>5109.5734782484415</v>
      </c>
      <c r="H153" s="275">
        <f>B153*G153</f>
        <v>2.0438293912993766</v>
      </c>
      <c r="I153" s="275">
        <f>C137</f>
        <v>5168.4734607066375</v>
      </c>
      <c r="J153" s="275">
        <f>B153*I153</f>
        <v>2.067389384282655</v>
      </c>
      <c r="K153" s="275">
        <f>C138</f>
        <v>5228.7472036886393</v>
      </c>
      <c r="L153" s="275">
        <f>B153*K153</f>
        <v>2.0914988814754558</v>
      </c>
    </row>
    <row r="154" spans="1:15" x14ac:dyDescent="0.2">
      <c r="A154" s="276" t="s">
        <v>578</v>
      </c>
      <c r="B154" s="274">
        <f>B153/'Prod. GEXFLO'!O23</f>
        <v>1.4285714285714287E-5</v>
      </c>
      <c r="C154" s="275">
        <f>F135</f>
        <v>5763.0305946431199</v>
      </c>
      <c r="D154" s="275">
        <f>B154*C154</f>
        <v>8.2329008494901726E-2</v>
      </c>
      <c r="E154" s="275">
        <f>F135</f>
        <v>5763.0305946431199</v>
      </c>
      <c r="F154" s="275">
        <f>B154*E154</f>
        <v>8.2329008494901726E-2</v>
      </c>
      <c r="G154" s="275">
        <f>F135</f>
        <v>5763.0305946431199</v>
      </c>
      <c r="H154" s="275">
        <f>B154*G154</f>
        <v>8.2329008494901726E-2</v>
      </c>
      <c r="I154" s="275">
        <f>F135</f>
        <v>5763.0305946431199</v>
      </c>
      <c r="J154" s="275">
        <f>B154*I154</f>
        <v>8.2329008494901726E-2</v>
      </c>
      <c r="K154" s="275">
        <f>F135</f>
        <v>5763.0305946431199</v>
      </c>
      <c r="L154" s="275">
        <f>B154*K154</f>
        <v>8.2329008494901726E-2</v>
      </c>
    </row>
    <row r="155" spans="1:15" x14ac:dyDescent="0.2">
      <c r="A155" s="277" t="s">
        <v>582</v>
      </c>
      <c r="B155" s="278"/>
      <c r="C155" s="279"/>
      <c r="D155" s="279">
        <f>SUM(D153:D154)</f>
        <v>2.1031293362303418</v>
      </c>
      <c r="E155" s="279"/>
      <c r="F155" s="279">
        <f>SUM(F153:F154)</f>
        <v>2.1145786298719025</v>
      </c>
      <c r="G155" s="279"/>
      <c r="H155" s="279">
        <f>SUM(H153:H154)</f>
        <v>2.1261583997942783</v>
      </c>
      <c r="I155" s="279"/>
      <c r="J155" s="279">
        <f>SUM(J153:J154)</f>
        <v>2.1497183927775567</v>
      </c>
      <c r="K155" s="279"/>
      <c r="L155" s="279">
        <f>SUM(L153:L154)</f>
        <v>2.1738278899703576</v>
      </c>
    </row>
    <row r="156" spans="1:15" x14ac:dyDescent="0.2">
      <c r="A156" s="249"/>
      <c r="B156" s="252"/>
      <c r="C156" s="252"/>
      <c r="D156" s="252"/>
      <c r="E156" s="252"/>
      <c r="F156"/>
      <c r="G156"/>
      <c r="H156"/>
      <c r="I156"/>
      <c r="J156"/>
      <c r="K156"/>
      <c r="L156"/>
    </row>
    <row r="157" spans="1:15" ht="14.25" customHeight="1" x14ac:dyDescent="0.2">
      <c r="A157" s="1025" t="s">
        <v>583</v>
      </c>
      <c r="B157" s="1025"/>
      <c r="C157" s="1025" t="s">
        <v>568</v>
      </c>
      <c r="D157" s="1025"/>
      <c r="E157" s="1026" t="s">
        <v>569</v>
      </c>
      <c r="F157" s="1027"/>
      <c r="G157" s="1025" t="s">
        <v>570</v>
      </c>
      <c r="H157" s="1025"/>
      <c r="I157" s="1025" t="s">
        <v>571</v>
      </c>
      <c r="J157" s="1025"/>
      <c r="K157" s="1025" t="s">
        <v>572</v>
      </c>
      <c r="L157" s="1025"/>
    </row>
    <row r="158" spans="1:15" ht="38.25" x14ac:dyDescent="0.2">
      <c r="A158" s="271" t="s">
        <v>573</v>
      </c>
      <c r="B158" s="272" t="s">
        <v>581</v>
      </c>
      <c r="C158" s="272" t="s">
        <v>575</v>
      </c>
      <c r="D158" s="272" t="s">
        <v>576</v>
      </c>
      <c r="E158" s="272" t="s">
        <v>575</v>
      </c>
      <c r="F158" s="272" t="s">
        <v>576</v>
      </c>
      <c r="G158" s="272" t="s">
        <v>575</v>
      </c>
      <c r="H158" s="272" t="s">
        <v>576</v>
      </c>
      <c r="I158" s="272" t="s">
        <v>575</v>
      </c>
      <c r="J158" s="272" t="s">
        <v>576</v>
      </c>
      <c r="K158" s="272" t="s">
        <v>575</v>
      </c>
      <c r="L158" s="272" t="s">
        <v>576</v>
      </c>
    </row>
    <row r="159" spans="1:15" x14ac:dyDescent="0.2">
      <c r="A159" s="273" t="s">
        <v>577</v>
      </c>
      <c r="B159" s="280">
        <f>1/'Prod. GEXFLO'!E23</f>
        <v>6.6666666666666664E-4</v>
      </c>
      <c r="C159" s="281">
        <f>C134</f>
        <v>5052.0008193386002</v>
      </c>
      <c r="D159" s="275">
        <f>B159*C159</f>
        <v>3.3680005462257334</v>
      </c>
      <c r="E159" s="275">
        <f>C135</f>
        <v>5080.6240534425015</v>
      </c>
      <c r="F159" s="275">
        <f>B159*E159</f>
        <v>3.3870827022950007</v>
      </c>
      <c r="G159" s="275">
        <f>C136</f>
        <v>5109.5734782484415</v>
      </c>
      <c r="H159" s="275">
        <f>B159*G159</f>
        <v>3.4063823188322941</v>
      </c>
      <c r="I159" s="275">
        <f>C137</f>
        <v>5168.4734607066375</v>
      </c>
      <c r="J159" s="275">
        <f>B159*I159</f>
        <v>3.4456489738044249</v>
      </c>
      <c r="K159" s="275">
        <f>C138</f>
        <v>5228.7472036886393</v>
      </c>
      <c r="L159" s="275">
        <f>B159*K159</f>
        <v>3.4858314691257593</v>
      </c>
    </row>
    <row r="160" spans="1:15" x14ac:dyDescent="0.2">
      <c r="A160" s="276" t="s">
        <v>578</v>
      </c>
      <c r="B160" s="274">
        <f>B159/'Prod. GEXFLO'!O23</f>
        <v>2.380952380952381E-5</v>
      </c>
      <c r="C160" s="275">
        <f>F135</f>
        <v>5763.0305946431199</v>
      </c>
      <c r="D160" s="275">
        <f>B160*C160</f>
        <v>0.13721501415816953</v>
      </c>
      <c r="E160" s="275">
        <f>F135</f>
        <v>5763.0305946431199</v>
      </c>
      <c r="F160" s="275">
        <f>B160*E160</f>
        <v>0.13721501415816953</v>
      </c>
      <c r="G160" s="275">
        <f>F135</f>
        <v>5763.0305946431199</v>
      </c>
      <c r="H160" s="275">
        <f>B160*G160</f>
        <v>0.13721501415816953</v>
      </c>
      <c r="I160" s="275">
        <f>F135</f>
        <v>5763.0305946431199</v>
      </c>
      <c r="J160" s="275">
        <f>B160*I160</f>
        <v>0.13721501415816953</v>
      </c>
      <c r="K160" s="275">
        <f>F135</f>
        <v>5763.0305946431199</v>
      </c>
      <c r="L160" s="275">
        <f>B160*K160</f>
        <v>0.13721501415816953</v>
      </c>
    </row>
    <row r="161" spans="1:14" x14ac:dyDescent="0.2">
      <c r="A161" s="277" t="s">
        <v>582</v>
      </c>
      <c r="B161" s="278"/>
      <c r="C161" s="279"/>
      <c r="D161" s="279">
        <f>SUM(D159:D160)</f>
        <v>3.505215560383903</v>
      </c>
      <c r="E161" s="279"/>
      <c r="F161" s="279">
        <f>SUM(F159:F160)</f>
        <v>3.5242977164531704</v>
      </c>
      <c r="G161" s="279"/>
      <c r="H161" s="279">
        <f>SUM(H159:H160)</f>
        <v>3.5435973329904638</v>
      </c>
      <c r="I161" s="279"/>
      <c r="J161" s="279">
        <f>SUM(J159:J160)</f>
        <v>3.5828639879625945</v>
      </c>
      <c r="K161" s="279"/>
      <c r="L161" s="279">
        <f>SUM(L159:L160)</f>
        <v>3.6230464832839289</v>
      </c>
    </row>
    <row r="162" spans="1:14" x14ac:dyDescent="0.2">
      <c r="A162" s="249"/>
      <c r="B162" s="252"/>
      <c r="C162" s="252"/>
      <c r="D162" s="252"/>
      <c r="E162" s="252"/>
      <c r="F162"/>
      <c r="G162"/>
      <c r="H162"/>
      <c r="I162"/>
      <c r="J162"/>
      <c r="K162"/>
      <c r="L162"/>
    </row>
    <row r="163" spans="1:14" ht="14.25" customHeight="1" x14ac:dyDescent="0.2">
      <c r="A163" s="1025" t="s">
        <v>584</v>
      </c>
      <c r="B163" s="1025"/>
      <c r="C163" s="1025" t="s">
        <v>568</v>
      </c>
      <c r="D163" s="1025"/>
      <c r="E163" s="1026" t="s">
        <v>569</v>
      </c>
      <c r="F163" s="1027"/>
      <c r="G163" s="1025" t="s">
        <v>570</v>
      </c>
      <c r="H163" s="1025"/>
      <c r="I163" s="1025" t="s">
        <v>571</v>
      </c>
      <c r="J163" s="1025"/>
      <c r="K163" s="1025" t="s">
        <v>572</v>
      </c>
      <c r="L163" s="1025"/>
    </row>
    <row r="164" spans="1:14" ht="38.25" x14ac:dyDescent="0.2">
      <c r="A164" s="271" t="s">
        <v>573</v>
      </c>
      <c r="B164" s="272" t="s">
        <v>581</v>
      </c>
      <c r="C164" s="272" t="s">
        <v>575</v>
      </c>
      <c r="D164" s="272" t="s">
        <v>576</v>
      </c>
      <c r="E164" s="272" t="s">
        <v>575</v>
      </c>
      <c r="F164" s="272" t="s">
        <v>576</v>
      </c>
      <c r="G164" s="272" t="s">
        <v>575</v>
      </c>
      <c r="H164" s="272" t="s">
        <v>576</v>
      </c>
      <c r="I164" s="272" t="s">
        <v>575</v>
      </c>
      <c r="J164" s="272" t="s">
        <v>576</v>
      </c>
      <c r="K164" s="272" t="s">
        <v>575</v>
      </c>
      <c r="L164" s="272" t="s">
        <v>576</v>
      </c>
    </row>
    <row r="165" spans="1:14" x14ac:dyDescent="0.2">
      <c r="A165" s="273" t="s">
        <v>577</v>
      </c>
      <c r="B165" s="280">
        <f>1/'Prod. GEXFLO'!F23</f>
        <v>3.3333333333333335E-3</v>
      </c>
      <c r="C165" s="275">
        <f>C134</f>
        <v>5052.0008193386002</v>
      </c>
      <c r="D165" s="275">
        <f>B165*C165</f>
        <v>16.840002731128667</v>
      </c>
      <c r="E165" s="275">
        <f>C135</f>
        <v>5080.6240534425015</v>
      </c>
      <c r="F165" s="275">
        <f>B165*E165</f>
        <v>16.935413511475005</v>
      </c>
      <c r="G165" s="275">
        <f>C136</f>
        <v>5109.5734782484415</v>
      </c>
      <c r="H165" s="275">
        <f>B165*G165</f>
        <v>17.031911594161471</v>
      </c>
      <c r="I165" s="275">
        <f>C137</f>
        <v>5168.4734607066375</v>
      </c>
      <c r="J165" s="275">
        <f>B165*I165</f>
        <v>17.228244869022127</v>
      </c>
      <c r="K165" s="275">
        <f>C138</f>
        <v>5228.7472036886393</v>
      </c>
      <c r="L165" s="275">
        <f>B165*K165</f>
        <v>17.429157345628798</v>
      </c>
    </row>
    <row r="166" spans="1:14" x14ac:dyDescent="0.2">
      <c r="A166" s="276" t="s">
        <v>578</v>
      </c>
      <c r="B166" s="274">
        <f>B165/'Prod. GEXFLO'!O23</f>
        <v>1.1904761904761906E-4</v>
      </c>
      <c r="C166" s="275">
        <f>F135</f>
        <v>5763.0305946431199</v>
      </c>
      <c r="D166" s="275">
        <f>C166*B166</f>
        <v>0.68607507079084773</v>
      </c>
      <c r="E166" s="275">
        <f>F135</f>
        <v>5763.0305946431199</v>
      </c>
      <c r="F166" s="275">
        <f>B166*E166</f>
        <v>0.68607507079084773</v>
      </c>
      <c r="G166" s="275">
        <f>F135</f>
        <v>5763.0305946431199</v>
      </c>
      <c r="H166" s="275">
        <f>B166*G166</f>
        <v>0.68607507079084773</v>
      </c>
      <c r="I166" s="275">
        <f>F135</f>
        <v>5763.0305946431199</v>
      </c>
      <c r="J166" s="275">
        <f>B166*I166</f>
        <v>0.68607507079084773</v>
      </c>
      <c r="K166" s="275">
        <f>F135</f>
        <v>5763.0305946431199</v>
      </c>
      <c r="L166" s="275">
        <f>B166*K166</f>
        <v>0.68607507079084773</v>
      </c>
    </row>
    <row r="167" spans="1:14" x14ac:dyDescent="0.2">
      <c r="A167" s="277" t="s">
        <v>582</v>
      </c>
      <c r="B167" s="278"/>
      <c r="C167" s="279"/>
      <c r="D167" s="279">
        <f>SUM(D165:D166)</f>
        <v>17.526077801919516</v>
      </c>
      <c r="E167" s="279"/>
      <c r="F167" s="279">
        <f>SUM(F165:F166)</f>
        <v>17.621488582265854</v>
      </c>
      <c r="G167" s="279"/>
      <c r="H167" s="279">
        <f>SUM(H165:H166)</f>
        <v>17.717986664952321</v>
      </c>
      <c r="I167" s="279"/>
      <c r="J167" s="279">
        <f>SUM(J165:J166)</f>
        <v>17.914319939812977</v>
      </c>
      <c r="K167" s="279"/>
      <c r="L167" s="279">
        <f>SUM(L165:L166)</f>
        <v>18.115232416419648</v>
      </c>
    </row>
    <row r="168" spans="1:14" x14ac:dyDescent="0.2">
      <c r="A168" s="249"/>
      <c r="B168" s="253"/>
      <c r="C168" s="253"/>
      <c r="D168" s="253"/>
      <c r="E168" s="253"/>
    </row>
    <row r="169" spans="1:14" ht="14.25" customHeight="1" x14ac:dyDescent="0.2">
      <c r="A169" s="1020" t="s">
        <v>585</v>
      </c>
      <c r="B169" s="1020"/>
      <c r="C169" s="1020" t="s">
        <v>568</v>
      </c>
      <c r="D169" s="1020"/>
      <c r="E169" s="1023" t="s">
        <v>569</v>
      </c>
      <c r="F169" s="1024"/>
      <c r="G169" s="1020" t="s">
        <v>570</v>
      </c>
      <c r="H169" s="1020"/>
      <c r="I169" s="1020" t="s">
        <v>571</v>
      </c>
      <c r="J169" s="1020"/>
      <c r="K169" s="1020" t="s">
        <v>572</v>
      </c>
      <c r="L169" s="1020"/>
    </row>
    <row r="170" spans="1:14" ht="38.25" x14ac:dyDescent="0.2">
      <c r="A170" s="271" t="s">
        <v>573</v>
      </c>
      <c r="B170" s="272" t="s">
        <v>581</v>
      </c>
      <c r="C170" s="272" t="s">
        <v>575</v>
      </c>
      <c r="D170" s="272" t="s">
        <v>576</v>
      </c>
      <c r="E170" s="272" t="s">
        <v>575</v>
      </c>
      <c r="F170" s="272" t="s">
        <v>576</v>
      </c>
      <c r="G170" s="272" t="s">
        <v>575</v>
      </c>
      <c r="H170" s="272" t="s">
        <v>576</v>
      </c>
      <c r="I170" s="272" t="s">
        <v>575</v>
      </c>
      <c r="J170" s="272" t="s">
        <v>576</v>
      </c>
      <c r="K170" s="272" t="s">
        <v>575</v>
      </c>
      <c r="L170" s="272" t="s">
        <v>576</v>
      </c>
    </row>
    <row r="171" spans="1:14" x14ac:dyDescent="0.2">
      <c r="A171" s="273" t="s">
        <v>586</v>
      </c>
      <c r="B171" s="280">
        <f>1/'Prod. GEXFLO'!G23</f>
        <v>3.7037037037037035E-4</v>
      </c>
      <c r="C171" s="275">
        <f>C134</f>
        <v>5052.0008193386002</v>
      </c>
      <c r="D171" s="275">
        <f>B171*C171</f>
        <v>1.8711114145698517</v>
      </c>
      <c r="E171" s="275">
        <f>C135</f>
        <v>5080.6240534425015</v>
      </c>
      <c r="F171" s="275">
        <f>B171*E171</f>
        <v>1.8817126123861116</v>
      </c>
      <c r="G171" s="275">
        <f>C136</f>
        <v>5109.5734782484415</v>
      </c>
      <c r="H171" s="275">
        <f>B171*G171</f>
        <v>1.8924346215734968</v>
      </c>
      <c r="I171" s="275">
        <f>C137</f>
        <v>5168.4734607066375</v>
      </c>
      <c r="J171" s="275">
        <f>B171*I171</f>
        <v>1.9142494298913471</v>
      </c>
      <c r="K171" s="275">
        <f>C138</f>
        <v>5228.7472036886393</v>
      </c>
      <c r="L171" s="275">
        <f>B171*K171</f>
        <v>1.9365730384031996</v>
      </c>
    </row>
    <row r="172" spans="1:14" x14ac:dyDescent="0.2">
      <c r="A172" s="276" t="s">
        <v>578</v>
      </c>
      <c r="B172" s="274">
        <f>B171/'Prod. GEXFLO'!O23</f>
        <v>1.3227513227513226E-5</v>
      </c>
      <c r="C172" s="275">
        <f>F135</f>
        <v>5763.0305946431199</v>
      </c>
      <c r="D172" s="275">
        <f>B172*C172</f>
        <v>7.623056342120528E-2</v>
      </c>
      <c r="E172" s="275">
        <f>F135</f>
        <v>5763.0305946431199</v>
      </c>
      <c r="F172" s="275">
        <f>B172*E172</f>
        <v>7.623056342120528E-2</v>
      </c>
      <c r="G172" s="275">
        <f>F135</f>
        <v>5763.0305946431199</v>
      </c>
      <c r="H172" s="275">
        <f>B172*G172</f>
        <v>7.623056342120528E-2</v>
      </c>
      <c r="I172" s="275">
        <f>F135</f>
        <v>5763.0305946431199</v>
      </c>
      <c r="J172" s="275">
        <f>B172*I172</f>
        <v>7.623056342120528E-2</v>
      </c>
      <c r="K172" s="275">
        <f>F135</f>
        <v>5763.0305946431199</v>
      </c>
      <c r="L172" s="275">
        <f>B172*K172</f>
        <v>7.623056342120528E-2</v>
      </c>
      <c r="M172" s="1018"/>
      <c r="N172" s="1019"/>
    </row>
    <row r="173" spans="1:14" x14ac:dyDescent="0.2">
      <c r="A173" s="282" t="s">
        <v>587</v>
      </c>
      <c r="B173" s="283"/>
      <c r="C173" s="284"/>
      <c r="D173" s="285">
        <f>SUM(D171:D172)</f>
        <v>1.947341977991057</v>
      </c>
      <c r="E173" s="284"/>
      <c r="F173" s="285">
        <f>SUM(F171:F172)</f>
        <v>1.9579431758073169</v>
      </c>
      <c r="G173" s="284"/>
      <c r="H173" s="285">
        <f>SUM(H171:H172)</f>
        <v>1.9686651849947021</v>
      </c>
      <c r="I173" s="284"/>
      <c r="J173" s="285">
        <f>SUM(J171:J172)</f>
        <v>1.9904799933125523</v>
      </c>
      <c r="K173" s="284"/>
      <c r="L173" s="285">
        <f>SUM(L171:L172)</f>
        <v>2.0128036018244049</v>
      </c>
      <c r="M173" s="427"/>
      <c r="N173" s="428"/>
    </row>
    <row r="174" spans="1:14" x14ac:dyDescent="0.2">
      <c r="A174" s="273" t="s">
        <v>588</v>
      </c>
      <c r="B174" s="280">
        <f>1/'Prod. GEXFLO'!H23</f>
        <v>1.0000000000000001E-5</v>
      </c>
      <c r="C174" s="275">
        <f>C134</f>
        <v>5052.0008193386002</v>
      </c>
      <c r="D174" s="275">
        <f>B174*C174</f>
        <v>5.0520008193386007E-2</v>
      </c>
      <c r="E174" s="275">
        <f>C135</f>
        <v>5080.6240534425015</v>
      </c>
      <c r="F174" s="275">
        <f>B174*E174</f>
        <v>5.0806240534425021E-2</v>
      </c>
      <c r="G174" s="275">
        <f>C136</f>
        <v>5109.5734782484415</v>
      </c>
      <c r="H174" s="275">
        <f>B174*G174</f>
        <v>5.1095734782484421E-2</v>
      </c>
      <c r="I174" s="275">
        <f>C137</f>
        <v>5168.4734607066375</v>
      </c>
      <c r="J174" s="275">
        <f>B174*I174</f>
        <v>5.1684734607066379E-2</v>
      </c>
      <c r="K174" s="275">
        <f>C138</f>
        <v>5228.7472036886393</v>
      </c>
      <c r="L174" s="275">
        <f>B174*K174</f>
        <v>5.2287472036886398E-2</v>
      </c>
    </row>
    <row r="175" spans="1:14" x14ac:dyDescent="0.2">
      <c r="A175" s="276" t="s">
        <v>578</v>
      </c>
      <c r="B175" s="274">
        <f>B174/'Prod. GEXFLO'!O23</f>
        <v>3.5714285714285716E-7</v>
      </c>
      <c r="C175" s="275">
        <f>F135</f>
        <v>5763.0305946431199</v>
      </c>
      <c r="D175" s="275">
        <f>B175*C175</f>
        <v>2.0582252123725431E-3</v>
      </c>
      <c r="E175" s="275">
        <f>F135</f>
        <v>5763.0305946431199</v>
      </c>
      <c r="F175" s="275">
        <f>B175*E175</f>
        <v>2.0582252123725431E-3</v>
      </c>
      <c r="G175" s="275">
        <f>F135</f>
        <v>5763.0305946431199</v>
      </c>
      <c r="H175" s="275">
        <f>B175*G175</f>
        <v>2.0582252123725431E-3</v>
      </c>
      <c r="I175" s="275">
        <f>F135</f>
        <v>5763.0305946431199</v>
      </c>
      <c r="J175" s="275">
        <f>B175*I175</f>
        <v>2.0582252123725431E-3</v>
      </c>
      <c r="K175" s="275">
        <f>F135</f>
        <v>5763.0305946431199</v>
      </c>
      <c r="L175" s="275">
        <f>B175*K175</f>
        <v>2.0582252123725431E-3</v>
      </c>
    </row>
    <row r="176" spans="1:14" x14ac:dyDescent="0.2">
      <c r="A176" s="282" t="s">
        <v>589</v>
      </c>
      <c r="B176" s="286"/>
      <c r="C176" s="284"/>
      <c r="D176" s="285">
        <f>SUM(D174:D175)</f>
        <v>5.2578233405758547E-2</v>
      </c>
      <c r="E176" s="284"/>
      <c r="F176" s="285">
        <f>SUM(F174:F175)</f>
        <v>5.2864465746797561E-2</v>
      </c>
      <c r="G176" s="284"/>
      <c r="H176" s="285">
        <f>SUM(H174:H175)</f>
        <v>5.3153959994856961E-2</v>
      </c>
      <c r="I176" s="284"/>
      <c r="J176" s="285">
        <f>SUM(J174:J175)</f>
        <v>5.3742959819438919E-2</v>
      </c>
      <c r="K176" s="284"/>
      <c r="L176" s="285">
        <f>SUM(L174:L175)</f>
        <v>5.4345697249258938E-2</v>
      </c>
    </row>
    <row r="177" spans="1:14" x14ac:dyDescent="0.2">
      <c r="A177" s="273" t="s">
        <v>590</v>
      </c>
      <c r="B177" s="280">
        <f>1/'Prod. GEXFLO'!I23</f>
        <v>1.1111111111111112E-4</v>
      </c>
      <c r="C177" s="275">
        <f>C134</f>
        <v>5052.0008193386002</v>
      </c>
      <c r="D177" s="275">
        <f>B177*C177</f>
        <v>0.56133342437095557</v>
      </c>
      <c r="E177" s="275">
        <f>C135</f>
        <v>5080.6240534425015</v>
      </c>
      <c r="F177" s="275">
        <f>B177*E177</f>
        <v>0.56451378371583349</v>
      </c>
      <c r="G177" s="275">
        <f>C136</f>
        <v>5109.5734782484415</v>
      </c>
      <c r="H177" s="275">
        <f>B177*G177</f>
        <v>0.5677303864720491</v>
      </c>
      <c r="I177" s="275">
        <f>C137</f>
        <v>5168.4734607066375</v>
      </c>
      <c r="J177" s="275">
        <f>B177*I177</f>
        <v>0.57427482896740423</v>
      </c>
      <c r="K177" s="275">
        <f>C138</f>
        <v>5228.7472036886393</v>
      </c>
      <c r="L177" s="275">
        <f>B177*K177</f>
        <v>0.58097191152095995</v>
      </c>
    </row>
    <row r="178" spans="1:14" x14ac:dyDescent="0.2">
      <c r="A178" s="276" t="s">
        <v>578</v>
      </c>
      <c r="B178" s="274">
        <f>B177/'Prod. GEXFLO'!O23</f>
        <v>3.9682539682539681E-6</v>
      </c>
      <c r="C178" s="275">
        <f>F135</f>
        <v>5763.0305946431199</v>
      </c>
      <c r="D178" s="275">
        <f>B178*C178</f>
        <v>2.2869169026361585E-2</v>
      </c>
      <c r="E178" s="275">
        <f>F135</f>
        <v>5763.0305946431199</v>
      </c>
      <c r="F178" s="275">
        <f>B178*E178</f>
        <v>2.2869169026361585E-2</v>
      </c>
      <c r="G178" s="275">
        <f>F135</f>
        <v>5763.0305946431199</v>
      </c>
      <c r="H178" s="275">
        <f>B178*G178</f>
        <v>2.2869169026361585E-2</v>
      </c>
      <c r="I178" s="275">
        <f>F135</f>
        <v>5763.0305946431199</v>
      </c>
      <c r="J178" s="275">
        <f>B178*I178</f>
        <v>2.2869169026361585E-2</v>
      </c>
      <c r="K178" s="275">
        <f>F135</f>
        <v>5763.0305946431199</v>
      </c>
      <c r="L178" s="275">
        <f>B178*K178</f>
        <v>2.2869169026361585E-2</v>
      </c>
    </row>
    <row r="179" spans="1:14" x14ac:dyDescent="0.2">
      <c r="A179" s="282" t="s">
        <v>591</v>
      </c>
      <c r="B179" s="286"/>
      <c r="C179" s="284"/>
      <c r="D179" s="285">
        <f>SUM(D177:D178)</f>
        <v>0.58420259339731717</v>
      </c>
      <c r="E179" s="284"/>
      <c r="F179" s="285">
        <f>SUM(F177:F178)</f>
        <v>0.5873829527421951</v>
      </c>
      <c r="G179" s="284"/>
      <c r="H179" s="285">
        <f>SUM(H177:H178)</f>
        <v>0.5905995554984107</v>
      </c>
      <c r="I179" s="284"/>
      <c r="J179" s="285">
        <f>SUM(J177:J178)</f>
        <v>0.59714399799376583</v>
      </c>
      <c r="K179" s="284"/>
      <c r="L179" s="285">
        <f>SUM(L177:L178)</f>
        <v>0.60384108054732155</v>
      </c>
    </row>
    <row r="180" spans="1:14" x14ac:dyDescent="0.2">
      <c r="A180" s="249"/>
      <c r="B180" s="252"/>
      <c r="C180" s="252"/>
      <c r="D180" s="252"/>
      <c r="E180" s="252"/>
    </row>
    <row r="181" spans="1:14" ht="14.25" customHeight="1" x14ac:dyDescent="0.2">
      <c r="A181" s="1012" t="s">
        <v>592</v>
      </c>
      <c r="B181" s="1012"/>
      <c r="C181" s="1012" t="s">
        <v>568</v>
      </c>
      <c r="D181" s="1012"/>
      <c r="E181" s="1021" t="s">
        <v>569</v>
      </c>
      <c r="F181" s="1022"/>
      <c r="G181" s="1012" t="s">
        <v>570</v>
      </c>
      <c r="H181" s="1012"/>
      <c r="I181" s="1012" t="s">
        <v>571</v>
      </c>
      <c r="J181" s="1012"/>
      <c r="K181" s="1012" t="s">
        <v>572</v>
      </c>
      <c r="L181" s="1012"/>
    </row>
    <row r="182" spans="1:14" ht="38.25" x14ac:dyDescent="0.2">
      <c r="A182" s="271" t="s">
        <v>573</v>
      </c>
      <c r="B182" s="272" t="s">
        <v>581</v>
      </c>
      <c r="C182" s="272" t="s">
        <v>575</v>
      </c>
      <c r="D182" s="272" t="s">
        <v>576</v>
      </c>
      <c r="E182" s="272" t="s">
        <v>575</v>
      </c>
      <c r="F182" s="272" t="s">
        <v>576</v>
      </c>
      <c r="G182" s="272" t="s">
        <v>575</v>
      </c>
      <c r="H182" s="272" t="s">
        <v>576</v>
      </c>
      <c r="I182" s="272" t="s">
        <v>575</v>
      </c>
      <c r="J182" s="272" t="s">
        <v>576</v>
      </c>
      <c r="K182" s="272" t="s">
        <v>575</v>
      </c>
      <c r="L182" s="272" t="s">
        <v>576</v>
      </c>
    </row>
    <row r="183" spans="1:14" x14ac:dyDescent="0.2">
      <c r="A183" s="287" t="s">
        <v>593</v>
      </c>
      <c r="B183" s="280">
        <f>(1/'Prod. GEXFLO'!J23)*(1/(30/7*44*6))*8</f>
        <v>4.4191919191919199E-5</v>
      </c>
      <c r="C183" s="275">
        <f>E134</f>
        <v>5203.4051250870107</v>
      </c>
      <c r="D183" s="275">
        <f>B183*C183</f>
        <v>0.22994845881066339</v>
      </c>
      <c r="E183" s="275">
        <f>E135</f>
        <v>5232.886173954359</v>
      </c>
      <c r="F183" s="275">
        <f>B183*E183</f>
        <v>0.23125128293990227</v>
      </c>
      <c r="G183" s="275">
        <f>E136</f>
        <v>5262.7031891905663</v>
      </c>
      <c r="H183" s="275">
        <f>B183*G183</f>
        <v>0.23256895406776495</v>
      </c>
      <c r="I183" s="275">
        <f>E137</f>
        <v>5323.3683556365668</v>
      </c>
      <c r="J183" s="275">
        <f>B183*I183</f>
        <v>0.23524986420111094</v>
      </c>
      <c r="K183" s="275">
        <f>E138</f>
        <v>5385.448453078393</v>
      </c>
      <c r="L183" s="275">
        <f>B183*K183</f>
        <v>0.23799330285068659</v>
      </c>
    </row>
    <row r="184" spans="1:14" x14ac:dyDescent="0.2">
      <c r="A184" s="276" t="s">
        <v>578</v>
      </c>
      <c r="B184" s="280">
        <f>B183/4</f>
        <v>1.10479797979798E-5</v>
      </c>
      <c r="C184" s="275">
        <f>F135</f>
        <v>5763.0305946431199</v>
      </c>
      <c r="D184" s="275">
        <f>B184*C184</f>
        <v>6.3669845584756704E-2</v>
      </c>
      <c r="E184" s="275">
        <f>F135</f>
        <v>5763.0305946431199</v>
      </c>
      <c r="F184" s="275">
        <f>B184*E184</f>
        <v>6.3669845584756704E-2</v>
      </c>
      <c r="G184" s="275">
        <f>F135</f>
        <v>5763.0305946431199</v>
      </c>
      <c r="H184" s="275">
        <f>B184*G184</f>
        <v>6.3669845584756704E-2</v>
      </c>
      <c r="I184" s="275">
        <f>F135</f>
        <v>5763.0305946431199</v>
      </c>
      <c r="J184" s="275">
        <f>B184*I184</f>
        <v>6.3669845584756704E-2</v>
      </c>
      <c r="K184" s="275">
        <f>F135</f>
        <v>5763.0305946431199</v>
      </c>
      <c r="L184" s="275">
        <f>B184*K184</f>
        <v>6.3669845584756704E-2</v>
      </c>
      <c r="M184" s="1018"/>
      <c r="N184" s="1019"/>
    </row>
    <row r="185" spans="1:14" x14ac:dyDescent="0.2">
      <c r="A185" s="288" t="s">
        <v>594</v>
      </c>
      <c r="B185" s="289"/>
      <c r="C185" s="290"/>
      <c r="D185" s="291">
        <f>SUM(D183:D184)</f>
        <v>0.29361830439542008</v>
      </c>
      <c r="E185" s="290"/>
      <c r="F185" s="291">
        <f>SUM(F183:F184)</f>
        <v>0.29492112852465896</v>
      </c>
      <c r="G185" s="290"/>
      <c r="H185" s="291">
        <f>SUM(H183:H184)</f>
        <v>0.29623879965252164</v>
      </c>
      <c r="I185" s="290"/>
      <c r="J185" s="291">
        <f>SUM(J183:J184)</f>
        <v>0.29891970978586763</v>
      </c>
      <c r="K185" s="290"/>
      <c r="L185" s="291">
        <f>SUM(L183:L184)</f>
        <v>0.30166314843544328</v>
      </c>
      <c r="M185" s="427"/>
      <c r="N185" s="428"/>
    </row>
    <row r="186" spans="1:14" x14ac:dyDescent="0.2">
      <c r="A186" s="287" t="s">
        <v>595</v>
      </c>
      <c r="B186" s="280">
        <f>1/'Prod. GEXFLO'!K23*16*(1/188.76)</f>
        <v>2.2306242401936183E-4</v>
      </c>
      <c r="C186" s="275">
        <f>C134</f>
        <v>5052.0008193386002</v>
      </c>
      <c r="D186" s="275">
        <f>B186*C186</f>
        <v>1.1269115489094703</v>
      </c>
      <c r="E186" s="275">
        <f>C135</f>
        <v>5080.6240534425015</v>
      </c>
      <c r="F186" s="275">
        <f>B186*E186</f>
        <v>1.1332963168919601</v>
      </c>
      <c r="G186" s="275">
        <f>C136</f>
        <v>5109.5734782484415</v>
      </c>
      <c r="H186" s="275">
        <f>B186*G186</f>
        <v>1.1397538457631393</v>
      </c>
      <c r="I186" s="275">
        <f>C137</f>
        <v>5168.4734607066375</v>
      </c>
      <c r="J186" s="275">
        <f>B186*I186</f>
        <v>1.1528922186249624</v>
      </c>
      <c r="K186" s="275">
        <f>C138</f>
        <v>5228.7472036886393</v>
      </c>
      <c r="L186" s="275">
        <f>B186*K186</f>
        <v>1.1663370258392478</v>
      </c>
    </row>
    <row r="187" spans="1:14" x14ac:dyDescent="0.2">
      <c r="A187" s="276" t="s">
        <v>578</v>
      </c>
      <c r="B187" s="280">
        <f>1/('Prod. GEXFLO'!O23*'Prod. GEXFLO'!K23)*16*(1/188.76)</f>
        <v>7.9665151435486371E-6</v>
      </c>
      <c r="C187" s="275">
        <f>F135</f>
        <v>5763.0305946431199</v>
      </c>
      <c r="D187" s="275">
        <f>B187*C187</f>
        <v>4.5911270504958523E-2</v>
      </c>
      <c r="E187" s="275">
        <f>F135</f>
        <v>5763.0305946431199</v>
      </c>
      <c r="F187" s="275">
        <f>B187*E187</f>
        <v>4.5911270504958523E-2</v>
      </c>
      <c r="G187" s="275">
        <f>F135</f>
        <v>5763.0305946431199</v>
      </c>
      <c r="H187" s="275">
        <f>B187*G187</f>
        <v>4.5911270504958523E-2</v>
      </c>
      <c r="I187" s="275">
        <f>F135</f>
        <v>5763.0305946431199</v>
      </c>
      <c r="J187" s="275">
        <f>B187*I187</f>
        <v>4.5911270504958523E-2</v>
      </c>
      <c r="K187" s="275">
        <f>F135</f>
        <v>5763.0305946431199</v>
      </c>
      <c r="L187" s="275">
        <f>B187*K187</f>
        <v>4.5911270504958523E-2</v>
      </c>
      <c r="M187" s="1018"/>
      <c r="N187" s="1019"/>
    </row>
    <row r="188" spans="1:14" x14ac:dyDescent="0.2">
      <c r="A188" s="288" t="s">
        <v>596</v>
      </c>
      <c r="B188" s="289"/>
      <c r="C188" s="290"/>
      <c r="D188" s="291">
        <f>SUM(D186:D187)</f>
        <v>1.1728228194144288</v>
      </c>
      <c r="E188" s="290"/>
      <c r="F188" s="291">
        <f>SUM(F186:F187)</f>
        <v>1.1792075873969186</v>
      </c>
      <c r="G188" s="290"/>
      <c r="H188" s="291">
        <f>SUM(H186:H187)</f>
        <v>1.1856651162680978</v>
      </c>
      <c r="I188" s="290"/>
      <c r="J188" s="291">
        <f>SUM(J186:J187)</f>
        <v>1.1988034891299209</v>
      </c>
      <c r="K188" s="290"/>
      <c r="L188" s="291">
        <f>SUM(L186:L187)</f>
        <v>1.2122482963442063</v>
      </c>
      <c r="M188" s="427"/>
      <c r="N188" s="428"/>
    </row>
    <row r="189" spans="1:14" x14ac:dyDescent="0.2">
      <c r="A189" s="273" t="s">
        <v>597</v>
      </c>
      <c r="B189" s="280">
        <f>1/'Prod. GEXFLO'!K23*16*(1/188.76)</f>
        <v>2.2306242401936183E-4</v>
      </c>
      <c r="C189" s="275">
        <f>C134</f>
        <v>5052.0008193386002</v>
      </c>
      <c r="D189" s="275">
        <f>B189*C189</f>
        <v>1.1269115489094703</v>
      </c>
      <c r="E189" s="275">
        <f>C135</f>
        <v>5080.6240534425015</v>
      </c>
      <c r="F189" s="275">
        <f>B189*E189</f>
        <v>1.1332963168919601</v>
      </c>
      <c r="G189" s="275">
        <f>C136</f>
        <v>5109.5734782484415</v>
      </c>
      <c r="H189" s="275">
        <f>B189*G189</f>
        <v>1.1397538457631393</v>
      </c>
      <c r="I189" s="275">
        <f>C137</f>
        <v>5168.4734607066375</v>
      </c>
      <c r="J189" s="275">
        <f>B189*I189</f>
        <v>1.1528922186249624</v>
      </c>
      <c r="K189" s="275">
        <f>C138</f>
        <v>5228.7472036886393</v>
      </c>
      <c r="L189" s="275">
        <f>B189*K189</f>
        <v>1.1663370258392478</v>
      </c>
    </row>
    <row r="190" spans="1:14" x14ac:dyDescent="0.2">
      <c r="A190" s="276" t="s">
        <v>578</v>
      </c>
      <c r="B190" s="280">
        <f>1/('Prod. GEXFLO'!O23*'Prod. GEXFLO'!K23)*16*(1/188.76)</f>
        <v>7.9665151435486371E-6</v>
      </c>
      <c r="C190" s="275">
        <f>F135</f>
        <v>5763.0305946431199</v>
      </c>
      <c r="D190" s="275">
        <f>B190*C190</f>
        <v>4.5911270504958523E-2</v>
      </c>
      <c r="E190" s="275">
        <f>F135</f>
        <v>5763.0305946431199</v>
      </c>
      <c r="F190" s="275">
        <f>B190*E190</f>
        <v>4.5911270504958523E-2</v>
      </c>
      <c r="G190" s="275">
        <f>F136</f>
        <v>5796.0839600298332</v>
      </c>
      <c r="H190" s="275">
        <f>B190*G190</f>
        <v>4.6174590640857022E-2</v>
      </c>
      <c r="I190" s="275">
        <f>F137</f>
        <v>5863.3337466667781</v>
      </c>
      <c r="J190" s="275">
        <f>B190*I190</f>
        <v>4.6710337084500654E-2</v>
      </c>
      <c r="K190" s="275">
        <f>F135</f>
        <v>5763.0305946431199</v>
      </c>
      <c r="L190" s="275">
        <f>B190*K190</f>
        <v>4.5911270504958523E-2</v>
      </c>
      <c r="M190" s="1018"/>
      <c r="N190" s="1019"/>
    </row>
    <row r="191" spans="1:14" x14ac:dyDescent="0.2">
      <c r="A191" s="288" t="s">
        <v>598</v>
      </c>
      <c r="B191" s="289"/>
      <c r="C191" s="290"/>
      <c r="D191" s="291">
        <f>SUM(D189:D190)</f>
        <v>1.1728228194144288</v>
      </c>
      <c r="E191" s="290"/>
      <c r="F191" s="291">
        <f>SUM(F189:F190)</f>
        <v>1.1792075873969186</v>
      </c>
      <c r="G191" s="290"/>
      <c r="H191" s="291">
        <f>SUM(H189:H190)</f>
        <v>1.1859284364039964</v>
      </c>
      <c r="I191" s="290"/>
      <c r="J191" s="291">
        <f>SUM(J189:J190)</f>
        <v>1.1996025557094629</v>
      </c>
      <c r="K191" s="290"/>
      <c r="L191" s="291">
        <f>SUM(L189:L190)</f>
        <v>1.2122482963442063</v>
      </c>
      <c r="M191" s="427"/>
      <c r="N191" s="428"/>
    </row>
    <row r="192" spans="1:14" x14ac:dyDescent="0.2">
      <c r="A192" s="248"/>
    </row>
  </sheetData>
  <mergeCells count="68">
    <mergeCell ref="A1:F1"/>
    <mergeCell ref="A2:F2"/>
    <mergeCell ref="A3:F3"/>
    <mergeCell ref="A9:F9"/>
    <mergeCell ref="A20:B20"/>
    <mergeCell ref="A21:F21"/>
    <mergeCell ref="A50:B50"/>
    <mergeCell ref="A51:F51"/>
    <mergeCell ref="A61:B61"/>
    <mergeCell ref="A62:F62"/>
    <mergeCell ref="A92:B92"/>
    <mergeCell ref="A112:A116"/>
    <mergeCell ref="A119:F119"/>
    <mergeCell ref="A120:F120"/>
    <mergeCell ref="A121:B121"/>
    <mergeCell ref="A122:B122"/>
    <mergeCell ref="A123:B123"/>
    <mergeCell ref="A124:B124"/>
    <mergeCell ref="A125:B125"/>
    <mergeCell ref="A126:B126"/>
    <mergeCell ref="A132:B132"/>
    <mergeCell ref="A133:B133"/>
    <mergeCell ref="A145:B145"/>
    <mergeCell ref="C145:D145"/>
    <mergeCell ref="A127:B127"/>
    <mergeCell ref="A128:B128"/>
    <mergeCell ref="A129:B129"/>
    <mergeCell ref="A130:B130"/>
    <mergeCell ref="A131:B131"/>
    <mergeCell ref="G145:H145"/>
    <mergeCell ref="I145:J145"/>
    <mergeCell ref="K145:L145"/>
    <mergeCell ref="A151:B151"/>
    <mergeCell ref="C151:D151"/>
    <mergeCell ref="E151:F151"/>
    <mergeCell ref="G151:H151"/>
    <mergeCell ref="I151:J151"/>
    <mergeCell ref="K151:L151"/>
    <mergeCell ref="E145:F145"/>
    <mergeCell ref="K157:L157"/>
    <mergeCell ref="A163:B163"/>
    <mergeCell ref="C163:D163"/>
    <mergeCell ref="E163:F163"/>
    <mergeCell ref="G163:H163"/>
    <mergeCell ref="I163:J163"/>
    <mergeCell ref="K163:L163"/>
    <mergeCell ref="A157:B157"/>
    <mergeCell ref="C157:D157"/>
    <mergeCell ref="E157:F157"/>
    <mergeCell ref="G157:H157"/>
    <mergeCell ref="I157:J157"/>
    <mergeCell ref="I169:J169"/>
    <mergeCell ref="K169:L169"/>
    <mergeCell ref="A169:B169"/>
    <mergeCell ref="C169:D169"/>
    <mergeCell ref="E181:F181"/>
    <mergeCell ref="G181:H181"/>
    <mergeCell ref="I181:J181"/>
    <mergeCell ref="K181:L181"/>
    <mergeCell ref="A181:B181"/>
    <mergeCell ref="C181:D181"/>
    <mergeCell ref="E169:F169"/>
    <mergeCell ref="G169:H169"/>
    <mergeCell ref="M187:N187"/>
    <mergeCell ref="M184:N184"/>
    <mergeCell ref="M190:N190"/>
    <mergeCell ref="M148:N148"/>
    <mergeCell ref="M172:N172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E144"/>
  <sheetViews>
    <sheetView topLeftCell="A158" zoomScale="80" zoomScaleNormal="80" workbookViewId="0">
      <selection activeCell="D85" sqref="D85"/>
    </sheetView>
  </sheetViews>
  <sheetFormatPr defaultRowHeight="14.25" x14ac:dyDescent="0.2"/>
  <cols>
    <col min="1" max="1" width="55.5" style="92" customWidth="1"/>
    <col min="2" max="2" width="17" style="92" customWidth="1"/>
    <col min="3" max="3" width="15.25" style="92" customWidth="1"/>
    <col min="4" max="4" width="16.25" style="92" customWidth="1"/>
    <col min="5" max="1019" width="9" style="92"/>
  </cols>
  <sheetData>
    <row r="1" spans="1:4" ht="15.75" x14ac:dyDescent="0.2">
      <c r="A1" s="1060" t="s">
        <v>456</v>
      </c>
      <c r="B1" s="1061"/>
      <c r="C1" s="1061"/>
      <c r="D1" s="1062"/>
    </row>
    <row r="2" spans="1:4" ht="15.75" x14ac:dyDescent="0.2">
      <c r="A2" s="1063" t="s">
        <v>457</v>
      </c>
      <c r="B2" s="1044"/>
      <c r="C2" s="1044"/>
      <c r="D2" s="1064"/>
    </row>
    <row r="3" spans="1:4" ht="15.75" customHeight="1" x14ac:dyDescent="0.2">
      <c r="A3" s="1063" t="s">
        <v>458</v>
      </c>
      <c r="B3" s="1044"/>
      <c r="C3" s="1044"/>
      <c r="D3" s="1064"/>
    </row>
    <row r="4" spans="1:4" ht="15.75" x14ac:dyDescent="0.2">
      <c r="A4" s="351"/>
      <c r="B4" s="94"/>
      <c r="C4" s="95" t="s">
        <v>459</v>
      </c>
      <c r="D4" s="352" t="s">
        <v>460</v>
      </c>
    </row>
    <row r="5" spans="1:4" x14ac:dyDescent="0.2">
      <c r="A5" s="353"/>
      <c r="B5" s="97" t="s">
        <v>463</v>
      </c>
      <c r="C5" s="98">
        <f>MC!C11</f>
        <v>1322.72</v>
      </c>
      <c r="D5" s="354">
        <f>MC!E11</f>
        <v>1082.2254545454546</v>
      </c>
    </row>
    <row r="6" spans="1:4" x14ac:dyDescent="0.2">
      <c r="A6" s="353"/>
      <c r="B6" s="97" t="s">
        <v>464</v>
      </c>
      <c r="C6" s="99">
        <f>MC!D8</f>
        <v>44593</v>
      </c>
      <c r="D6" s="355">
        <f>MC!D8</f>
        <v>44593</v>
      </c>
    </row>
    <row r="7" spans="1:4" x14ac:dyDescent="0.2">
      <c r="A7" s="353"/>
      <c r="B7" s="97" t="s">
        <v>465</v>
      </c>
      <c r="C7" s="99" t="str">
        <f>MC!C8</f>
        <v>SC000316/2022</v>
      </c>
      <c r="D7" s="355" t="str">
        <f>MC!C8</f>
        <v>SC000316/2022</v>
      </c>
    </row>
    <row r="8" spans="1:4" x14ac:dyDescent="0.2">
      <c r="A8" s="353"/>
      <c r="B8" s="97" t="s">
        <v>466</v>
      </c>
      <c r="C8" s="100" t="str">
        <f>MC!E8</f>
        <v>5143-20</v>
      </c>
      <c r="D8" s="356" t="str">
        <f>MC!E8</f>
        <v>5143-20</v>
      </c>
    </row>
    <row r="9" spans="1:4" x14ac:dyDescent="0.2">
      <c r="A9" s="1065"/>
      <c r="B9" s="1045"/>
      <c r="C9" s="1045"/>
      <c r="D9" s="1066"/>
    </row>
    <row r="10" spans="1:4" ht="66.75" customHeight="1" x14ac:dyDescent="0.2">
      <c r="A10" s="357" t="s">
        <v>467</v>
      </c>
      <c r="B10" s="188" t="s">
        <v>468</v>
      </c>
      <c r="C10" s="188" t="s">
        <v>599</v>
      </c>
      <c r="D10" s="358" t="s">
        <v>600</v>
      </c>
    </row>
    <row r="11" spans="1:4" ht="14.25" customHeight="1" x14ac:dyDescent="0.2">
      <c r="A11" s="359" t="s">
        <v>471</v>
      </c>
      <c r="B11" s="321"/>
      <c r="C11" s="321"/>
      <c r="D11" s="360"/>
    </row>
    <row r="12" spans="1:4" ht="14.25" customHeight="1" x14ac:dyDescent="0.2">
      <c r="A12" s="361" t="s">
        <v>472</v>
      </c>
      <c r="B12" s="102" t="s">
        <v>473</v>
      </c>
      <c r="C12" s="102" t="s">
        <v>474</v>
      </c>
      <c r="D12" s="362" t="s">
        <v>474</v>
      </c>
    </row>
    <row r="13" spans="1:4" ht="14.25" customHeight="1" x14ac:dyDescent="0.2">
      <c r="A13" s="363" t="s">
        <v>475</v>
      </c>
      <c r="B13" s="105"/>
      <c r="C13" s="106">
        <f>C5</f>
        <v>1322.72</v>
      </c>
      <c r="D13" s="364">
        <f>D5</f>
        <v>1082.2254545454546</v>
      </c>
    </row>
    <row r="14" spans="1:4" ht="14.25" customHeight="1" x14ac:dyDescent="0.2">
      <c r="A14" s="363" t="s">
        <v>476</v>
      </c>
      <c r="B14" s="417">
        <v>0.2</v>
      </c>
      <c r="C14" s="106">
        <f>C13*$B$14</f>
        <v>264.54400000000004</v>
      </c>
      <c r="D14" s="364">
        <f>D13*$B$14</f>
        <v>216.44509090909094</v>
      </c>
    </row>
    <row r="15" spans="1:4" ht="14.25" customHeight="1" x14ac:dyDescent="0.2">
      <c r="A15" s="363" t="s">
        <v>477</v>
      </c>
      <c r="B15" s="109"/>
      <c r="C15" s="106"/>
      <c r="D15" s="364"/>
    </row>
    <row r="16" spans="1:4" ht="14.25" customHeight="1" x14ac:dyDescent="0.2">
      <c r="A16" s="363" t="s">
        <v>478</v>
      </c>
      <c r="B16" s="109"/>
      <c r="C16" s="106"/>
      <c r="D16" s="364"/>
    </row>
    <row r="17" spans="1:4" ht="14.25" customHeight="1" x14ac:dyDescent="0.2">
      <c r="A17" s="363" t="s">
        <v>479</v>
      </c>
      <c r="B17" s="109"/>
      <c r="C17" s="106"/>
      <c r="D17" s="364"/>
    </row>
    <row r="18" spans="1:4" ht="14.25" customHeight="1" x14ac:dyDescent="0.2">
      <c r="A18" s="363" t="s">
        <v>601</v>
      </c>
      <c r="B18" s="110"/>
      <c r="C18" s="106"/>
      <c r="D18" s="364"/>
    </row>
    <row r="19" spans="1:4" ht="14.25" customHeight="1" x14ac:dyDescent="0.2">
      <c r="A19" s="365" t="s">
        <v>481</v>
      </c>
      <c r="B19" s="112"/>
      <c r="C19" s="121">
        <f>SUM(C13:C18)</f>
        <v>1587.2640000000001</v>
      </c>
      <c r="D19" s="366">
        <f>SUM(D13:D18)</f>
        <v>1298.6705454545454</v>
      </c>
    </row>
    <row r="20" spans="1:4" ht="14.25" customHeight="1" x14ac:dyDescent="0.2">
      <c r="A20" s="1049"/>
      <c r="B20" s="1037"/>
      <c r="C20" s="114"/>
      <c r="D20" s="368"/>
    </row>
    <row r="21" spans="1:4" ht="14.25" customHeight="1" x14ac:dyDescent="0.2">
      <c r="A21" s="1050" t="s">
        <v>482</v>
      </c>
      <c r="B21" s="1042"/>
      <c r="C21" s="1042"/>
      <c r="D21" s="1051"/>
    </row>
    <row r="22" spans="1:4" ht="14.25" customHeight="1" x14ac:dyDescent="0.2">
      <c r="A22" s="369" t="s">
        <v>483</v>
      </c>
      <c r="B22" s="117" t="s">
        <v>473</v>
      </c>
      <c r="C22" s="117" t="s">
        <v>474</v>
      </c>
      <c r="D22" s="370" t="s">
        <v>474</v>
      </c>
    </row>
    <row r="23" spans="1:4" ht="14.25" customHeight="1" x14ac:dyDescent="0.2">
      <c r="A23" s="371" t="s">
        <v>484</v>
      </c>
      <c r="B23" s="108">
        <f>1/12</f>
        <v>8.3333333333333329E-2</v>
      </c>
      <c r="C23" s="106">
        <f>ROUND($B23*C$19,2)</f>
        <v>132.27000000000001</v>
      </c>
      <c r="D23" s="364">
        <f>ROUND($B23*D$19,2)</f>
        <v>108.22</v>
      </c>
    </row>
    <row r="24" spans="1:4" ht="14.25" customHeight="1" x14ac:dyDescent="0.2">
      <c r="A24" s="371" t="s">
        <v>485</v>
      </c>
      <c r="B24" s="108">
        <f>1/3*1/12</f>
        <v>2.7777777777777776E-2</v>
      </c>
      <c r="C24" s="106">
        <f>C$19*$B$24</f>
        <v>44.090666666666671</v>
      </c>
      <c r="D24" s="364">
        <f>D$19*$B$24</f>
        <v>36.074181818181813</v>
      </c>
    </row>
    <row r="25" spans="1:4" ht="14.25" customHeight="1" x14ac:dyDescent="0.2">
      <c r="A25" s="365" t="s">
        <v>481</v>
      </c>
      <c r="B25" s="120">
        <f>SUM(B23:B24)</f>
        <v>0.1111111111111111</v>
      </c>
      <c r="C25" s="121">
        <f>SUM(C23:C24)</f>
        <v>176.36066666666667</v>
      </c>
      <c r="D25" s="366">
        <f>SUM(D23:D24)</f>
        <v>144.29418181818181</v>
      </c>
    </row>
    <row r="26" spans="1:4" ht="14.25" customHeight="1" x14ac:dyDescent="0.2">
      <c r="A26" s="369" t="s">
        <v>486</v>
      </c>
      <c r="B26" s="117" t="s">
        <v>473</v>
      </c>
      <c r="C26" s="117" t="s">
        <v>474</v>
      </c>
      <c r="D26" s="370" t="s">
        <v>474</v>
      </c>
    </row>
    <row r="27" spans="1:4" ht="14.25" customHeight="1" x14ac:dyDescent="0.2">
      <c r="A27" s="369" t="s">
        <v>487</v>
      </c>
      <c r="B27" s="123"/>
      <c r="C27" s="123"/>
      <c r="D27" s="372"/>
    </row>
    <row r="28" spans="1:4" ht="14.25" customHeight="1" x14ac:dyDescent="0.2">
      <c r="A28" s="371" t="s">
        <v>488</v>
      </c>
      <c r="B28" s="108">
        <v>0.2</v>
      </c>
      <c r="C28" s="125">
        <f t="shared" ref="C28:C35" si="0">ROUND(($C$19+$C$25)*B28,2)</f>
        <v>352.72</v>
      </c>
      <c r="D28" s="373">
        <f t="shared" ref="D28:D35" si="1">ROUND(($D$19+$D$25)*B28,2)</f>
        <v>288.58999999999997</v>
      </c>
    </row>
    <row r="29" spans="1:4" ht="14.25" customHeight="1" x14ac:dyDescent="0.2">
      <c r="A29" s="371" t="s">
        <v>489</v>
      </c>
      <c r="B29" s="108">
        <v>2.5000000000000001E-2</v>
      </c>
      <c r="C29" s="125">
        <f t="shared" si="0"/>
        <v>44.09</v>
      </c>
      <c r="D29" s="373">
        <f t="shared" si="1"/>
        <v>36.07</v>
      </c>
    </row>
    <row r="30" spans="1:4" ht="14.25" customHeight="1" x14ac:dyDescent="0.2">
      <c r="A30" s="371" t="s">
        <v>490</v>
      </c>
      <c r="B30" s="108">
        <v>0.03</v>
      </c>
      <c r="C30" s="125">
        <f t="shared" si="0"/>
        <v>52.91</v>
      </c>
      <c r="D30" s="373">
        <f t="shared" si="1"/>
        <v>43.29</v>
      </c>
    </row>
    <row r="31" spans="1:4" ht="14.25" customHeight="1" x14ac:dyDescent="0.2">
      <c r="A31" s="371" t="s">
        <v>491</v>
      </c>
      <c r="B31" s="108">
        <v>1.4999999999999999E-2</v>
      </c>
      <c r="C31" s="125">
        <f t="shared" si="0"/>
        <v>26.45</v>
      </c>
      <c r="D31" s="373">
        <f t="shared" si="1"/>
        <v>21.64</v>
      </c>
    </row>
    <row r="32" spans="1:4" ht="14.25" customHeight="1" x14ac:dyDescent="0.2">
      <c r="A32" s="371" t="s">
        <v>492</v>
      </c>
      <c r="B32" s="108">
        <v>0.01</v>
      </c>
      <c r="C32" s="125">
        <f t="shared" si="0"/>
        <v>17.64</v>
      </c>
      <c r="D32" s="373">
        <f t="shared" si="1"/>
        <v>14.43</v>
      </c>
    </row>
    <row r="33" spans="1:4" ht="14.25" customHeight="1" x14ac:dyDescent="0.2">
      <c r="A33" s="371" t="s">
        <v>493</v>
      </c>
      <c r="B33" s="108">
        <v>6.0000000000000001E-3</v>
      </c>
      <c r="C33" s="125">
        <f t="shared" si="0"/>
        <v>10.58</v>
      </c>
      <c r="D33" s="373">
        <f t="shared" si="1"/>
        <v>8.66</v>
      </c>
    </row>
    <row r="34" spans="1:4" ht="14.25" customHeight="1" x14ac:dyDescent="0.2">
      <c r="A34" s="371" t="s">
        <v>494</v>
      </c>
      <c r="B34" s="108">
        <v>2E-3</v>
      </c>
      <c r="C34" s="125">
        <f t="shared" si="0"/>
        <v>3.53</v>
      </c>
      <c r="D34" s="373">
        <f t="shared" si="1"/>
        <v>2.89</v>
      </c>
    </row>
    <row r="35" spans="1:4" ht="14.25" customHeight="1" x14ac:dyDescent="0.2">
      <c r="A35" s="371" t="s">
        <v>495</v>
      </c>
      <c r="B35" s="108">
        <v>0.08</v>
      </c>
      <c r="C35" s="125">
        <f t="shared" si="0"/>
        <v>141.09</v>
      </c>
      <c r="D35" s="373">
        <f t="shared" si="1"/>
        <v>115.44</v>
      </c>
    </row>
    <row r="36" spans="1:4" ht="14.25" customHeight="1" x14ac:dyDescent="0.2">
      <c r="A36" s="365" t="s">
        <v>481</v>
      </c>
      <c r="B36" s="120">
        <f>SUM(B28:B35)</f>
        <v>0.36800000000000005</v>
      </c>
      <c r="C36" s="121">
        <f>SUM(C27:C35)</f>
        <v>649.01</v>
      </c>
      <c r="D36" s="366">
        <f>SUM(D27:D35)</f>
        <v>531.01</v>
      </c>
    </row>
    <row r="37" spans="1:4" ht="14.25" customHeight="1" x14ac:dyDescent="0.2">
      <c r="A37" s="369" t="s">
        <v>496</v>
      </c>
      <c r="B37" s="117" t="s">
        <v>497</v>
      </c>
      <c r="C37" s="117" t="s">
        <v>474</v>
      </c>
      <c r="D37" s="370" t="s">
        <v>474</v>
      </c>
    </row>
    <row r="38" spans="1:4" ht="14.25" customHeight="1" x14ac:dyDescent="0.2">
      <c r="A38" s="119" t="s">
        <v>498</v>
      </c>
      <c r="B38" s="127">
        <f>MC!D92</f>
        <v>4.2620930232558143</v>
      </c>
      <c r="C38" s="106">
        <f>ROUND(((2*22*$B$38)-0.06*C$13),2)</f>
        <v>108.17</v>
      </c>
      <c r="D38" s="364">
        <f>ROUND(((2*22*$B$38)-0.06*D$13),2)</f>
        <v>122.6</v>
      </c>
    </row>
    <row r="39" spans="1:4" ht="14.25" customHeight="1" x14ac:dyDescent="0.2">
      <c r="A39" s="478" t="s">
        <v>499</v>
      </c>
      <c r="B39" s="128"/>
      <c r="C39" s="125">
        <f>MC!E21</f>
        <v>437.34</v>
      </c>
      <c r="D39" s="373">
        <f>MC!E22</f>
        <v>359.59</v>
      </c>
    </row>
    <row r="40" spans="1:4" ht="14.25" customHeight="1" x14ac:dyDescent="0.2">
      <c r="A40" s="119" t="s">
        <v>500</v>
      </c>
      <c r="B40" s="108">
        <f>MC!C26</f>
        <v>0</v>
      </c>
      <c r="C40" s="125"/>
      <c r="D40" s="373"/>
    </row>
    <row r="41" spans="1:4" ht="14.25" customHeight="1" x14ac:dyDescent="0.2">
      <c r="A41" s="119" t="s">
        <v>501</v>
      </c>
      <c r="B41" s="129">
        <f>MC!E25</f>
        <v>11</v>
      </c>
      <c r="C41" s="125">
        <f>B41</f>
        <v>11</v>
      </c>
      <c r="D41" s="373">
        <f>B41</f>
        <v>11</v>
      </c>
    </row>
    <row r="42" spans="1:4" ht="14.25" customHeight="1" x14ac:dyDescent="0.2">
      <c r="A42" s="119" t="s">
        <v>502</v>
      </c>
      <c r="B42" s="567">
        <f>MC!C24</f>
        <v>7.0000000000000007E-2</v>
      </c>
      <c r="C42" s="125">
        <f>$B$42*C19</f>
        <v>111.10848000000001</v>
      </c>
      <c r="D42" s="125">
        <f>$B$42*D19</f>
        <v>90.906938181818191</v>
      </c>
    </row>
    <row r="43" spans="1:4" ht="14.25" customHeight="1" x14ac:dyDescent="0.2">
      <c r="A43" s="119" t="s">
        <v>503</v>
      </c>
      <c r="B43" s="108"/>
      <c r="C43" s="125"/>
      <c r="D43" s="373"/>
    </row>
    <row r="44" spans="1:4" ht="14.25" customHeight="1" x14ac:dyDescent="0.2">
      <c r="A44" s="365" t="s">
        <v>481</v>
      </c>
      <c r="B44" s="112"/>
      <c r="C44" s="121">
        <f>SUM(C38:C43)</f>
        <v>667.61847999999998</v>
      </c>
      <c r="D44" s="366">
        <f>SUM(D38:D43)</f>
        <v>584.09693818181813</v>
      </c>
    </row>
    <row r="45" spans="1:4" ht="14.25" customHeight="1" x14ac:dyDescent="0.2">
      <c r="A45" s="361" t="s">
        <v>504</v>
      </c>
      <c r="B45" s="102" t="s">
        <v>473</v>
      </c>
      <c r="C45" s="102" t="s">
        <v>474</v>
      </c>
      <c r="D45" s="362" t="s">
        <v>474</v>
      </c>
    </row>
    <row r="46" spans="1:4" ht="14.25" customHeight="1" x14ac:dyDescent="0.2">
      <c r="A46" s="371" t="s">
        <v>483</v>
      </c>
      <c r="B46" s="130">
        <f>B25</f>
        <v>0.1111111111111111</v>
      </c>
      <c r="C46" s="131">
        <f>C25</f>
        <v>176.36066666666667</v>
      </c>
      <c r="D46" s="374">
        <f>D25</f>
        <v>144.29418181818181</v>
      </c>
    </row>
    <row r="47" spans="1:4" ht="14.25" customHeight="1" x14ac:dyDescent="0.2">
      <c r="A47" s="371" t="s">
        <v>505</v>
      </c>
      <c r="B47" s="130">
        <f>B36</f>
        <v>0.36800000000000005</v>
      </c>
      <c r="C47" s="131">
        <f>C36</f>
        <v>649.01</v>
      </c>
      <c r="D47" s="374">
        <f>D36</f>
        <v>531.01</v>
      </c>
    </row>
    <row r="48" spans="1:4" ht="14.25" customHeight="1" x14ac:dyDescent="0.2">
      <c r="A48" s="371" t="s">
        <v>496</v>
      </c>
      <c r="B48" s="130"/>
      <c r="C48" s="131">
        <f>C44</f>
        <v>667.61847999999998</v>
      </c>
      <c r="D48" s="374">
        <f>D44</f>
        <v>584.09693818181813</v>
      </c>
    </row>
    <row r="49" spans="1:4" ht="14.25" customHeight="1" x14ac:dyDescent="0.2">
      <c r="A49" s="365" t="s">
        <v>481</v>
      </c>
      <c r="B49" s="112"/>
      <c r="C49" s="121">
        <f>SUM(C46:C48)</f>
        <v>1492.9891466666668</v>
      </c>
      <c r="D49" s="366">
        <f>SUM(D46:D48)</f>
        <v>1259.40112</v>
      </c>
    </row>
    <row r="50" spans="1:4" ht="14.25" customHeight="1" x14ac:dyDescent="0.2">
      <c r="A50" s="1049"/>
      <c r="B50" s="1037"/>
      <c r="C50" s="114"/>
      <c r="D50" s="368"/>
    </row>
    <row r="51" spans="1:4" s="133" customFormat="1" ht="14.25" customHeight="1" x14ac:dyDescent="0.2">
      <c r="A51" s="1050" t="s">
        <v>506</v>
      </c>
      <c r="B51" s="1042"/>
      <c r="C51" s="1042"/>
      <c r="D51" s="1051"/>
    </row>
    <row r="52" spans="1:4" ht="14.25" customHeight="1" x14ac:dyDescent="0.2">
      <c r="A52" s="361" t="s">
        <v>507</v>
      </c>
      <c r="B52" s="102" t="s">
        <v>473</v>
      </c>
      <c r="C52" s="102" t="s">
        <v>474</v>
      </c>
      <c r="D52" s="362" t="s">
        <v>474</v>
      </c>
    </row>
    <row r="53" spans="1:4" ht="14.25" customHeight="1" x14ac:dyDescent="0.2">
      <c r="A53" s="369" t="s">
        <v>508</v>
      </c>
      <c r="B53" s="134"/>
      <c r="C53" s="134"/>
      <c r="D53" s="375"/>
    </row>
    <row r="54" spans="1:4" ht="14.25" customHeight="1" x14ac:dyDescent="0.2">
      <c r="A54" s="371" t="s">
        <v>509</v>
      </c>
      <c r="B54" s="130">
        <f>1/12*0.05</f>
        <v>4.1666666666666666E-3</v>
      </c>
      <c r="C54" s="136">
        <f>C19*$B54</f>
        <v>6.6136000000000008</v>
      </c>
      <c r="D54" s="376">
        <f t="shared" ref="D54" si="2">D19*$B54</f>
        <v>5.4111272727272723</v>
      </c>
    </row>
    <row r="55" spans="1:4" ht="14.25" customHeight="1" x14ac:dyDescent="0.2">
      <c r="A55" s="371" t="s">
        <v>510</v>
      </c>
      <c r="B55" s="130">
        <f>B35*B54</f>
        <v>3.3333333333333332E-4</v>
      </c>
      <c r="C55" s="136">
        <f>$B$55*C19</f>
        <v>0.529088</v>
      </c>
      <c r="D55" s="376">
        <f t="shared" ref="D55" si="3">$B$55*D19</f>
        <v>0.43289018181818179</v>
      </c>
    </row>
    <row r="56" spans="1:4" ht="14.25" customHeight="1" x14ac:dyDescent="0.2">
      <c r="A56" s="371" t="s">
        <v>511</v>
      </c>
      <c r="B56" s="130">
        <v>0</v>
      </c>
      <c r="C56" s="136">
        <f>C35*$B56</f>
        <v>0</v>
      </c>
      <c r="D56" s="376">
        <f t="shared" ref="D56" si="4">D35*$B56</f>
        <v>0</v>
      </c>
    </row>
    <row r="57" spans="1:4" ht="14.25" customHeight="1" x14ac:dyDescent="0.2">
      <c r="A57" s="371" t="s">
        <v>512</v>
      </c>
      <c r="B57" s="130">
        <f>1/12*1/30*7</f>
        <v>1.9444444444444441E-2</v>
      </c>
      <c r="C57" s="131">
        <f>C19*$B57</f>
        <v>30.863466666666664</v>
      </c>
      <c r="D57" s="374">
        <f t="shared" ref="D57" si="5">D19*$B57</f>
        <v>25.251927272727269</v>
      </c>
    </row>
    <row r="58" spans="1:4" ht="14.25" customHeight="1" x14ac:dyDescent="0.2">
      <c r="A58" s="371" t="s">
        <v>513</v>
      </c>
      <c r="B58" s="130">
        <f>B36*B57</f>
        <v>7.1555555555555556E-3</v>
      </c>
      <c r="C58" s="131">
        <f>$B58*C19</f>
        <v>11.357755733333335</v>
      </c>
      <c r="D58" s="374">
        <f t="shared" ref="D58" si="6">$B58*D19</f>
        <v>9.2927092363636365</v>
      </c>
    </row>
    <row r="59" spans="1:4" ht="14.25" customHeight="1" x14ac:dyDescent="0.2">
      <c r="A59" s="371" t="s">
        <v>514</v>
      </c>
      <c r="B59" s="130">
        <f>B35*40/100*90/100*(1+1/12+1/12+1/3*1/12)</f>
        <v>3.4399999999999993E-2</v>
      </c>
      <c r="C59" s="131">
        <f>C19*$B59</f>
        <v>54.601881599999992</v>
      </c>
      <c r="D59" s="374">
        <f t="shared" ref="D59" si="7">D19*$B59</f>
        <v>44.674266763636354</v>
      </c>
    </row>
    <row r="60" spans="1:4" ht="14.25" customHeight="1" x14ac:dyDescent="0.2">
      <c r="A60" s="365" t="s">
        <v>481</v>
      </c>
      <c r="B60" s="120">
        <f>SUM(B54:B59)</f>
        <v>6.5499999999999989E-2</v>
      </c>
      <c r="C60" s="137">
        <f>SUM(C54:C59)</f>
        <v>103.96579199999999</v>
      </c>
      <c r="D60" s="377">
        <f>SUM(D54:D59)</f>
        <v>85.062920727272711</v>
      </c>
    </row>
    <row r="61" spans="1:4" ht="14.25" customHeight="1" x14ac:dyDescent="0.2">
      <c r="A61" s="1049"/>
      <c r="B61" s="1037"/>
      <c r="C61" s="322"/>
      <c r="D61" s="378"/>
    </row>
    <row r="62" spans="1:4" ht="14.25" customHeight="1" x14ac:dyDescent="0.2">
      <c r="A62" s="1050" t="s">
        <v>515</v>
      </c>
      <c r="B62" s="1042"/>
      <c r="C62" s="1042"/>
      <c r="D62" s="1051"/>
    </row>
    <row r="63" spans="1:4" ht="14.25" customHeight="1" x14ac:dyDescent="0.2">
      <c r="A63" s="369" t="s">
        <v>49</v>
      </c>
      <c r="B63" s="117"/>
      <c r="C63" s="117"/>
      <c r="D63" s="370"/>
    </row>
    <row r="64" spans="1:4" ht="14.25" customHeight="1" x14ac:dyDescent="0.2">
      <c r="A64" s="371" t="s">
        <v>50</v>
      </c>
      <c r="B64" s="108">
        <f>1/12</f>
        <v>8.3333333333333329E-2</v>
      </c>
      <c r="C64" s="125">
        <f>B64*($C$19+$C$49+$C$60)</f>
        <v>265.3515782222222</v>
      </c>
      <c r="D64" s="373">
        <f>B64*($D$19+$D$49+$D$60)</f>
        <v>220.26121551515149</v>
      </c>
    </row>
    <row r="65" spans="1:4" ht="14.25" customHeight="1" x14ac:dyDescent="0.2">
      <c r="A65" s="371" t="s">
        <v>516</v>
      </c>
      <c r="B65" s="108">
        <f>MC!E56/30/12</f>
        <v>1.3538888888888885E-2</v>
      </c>
      <c r="C65" s="125">
        <f>B65*($C$19+$C$49+$C$60)</f>
        <v>43.110786408503692</v>
      </c>
      <c r="D65" s="373">
        <f>B65*($D$19+$D$49+$D$60)</f>
        <v>35.785105480694938</v>
      </c>
    </row>
    <row r="66" spans="1:4" ht="14.25" customHeight="1" x14ac:dyDescent="0.2">
      <c r="A66" s="371" t="s">
        <v>517</v>
      </c>
      <c r="B66" s="139">
        <f>(5/30)/12*MC!F58*MC!C59</f>
        <v>1.0764583333333333E-4</v>
      </c>
      <c r="C66" s="125">
        <f>B66*($C$19+$C$49+$C$60)</f>
        <v>0.3427679011685556</v>
      </c>
      <c r="D66" s="373">
        <f>B66*($D$19+$D$49+$D$60)</f>
        <v>0.28452242514169696</v>
      </c>
    </row>
    <row r="67" spans="1:4" ht="14.25" customHeight="1" x14ac:dyDescent="0.2">
      <c r="A67" s="371" t="s">
        <v>518</v>
      </c>
      <c r="B67" s="139">
        <f>MC!C61/30/12</f>
        <v>2.6830555555555553E-3</v>
      </c>
      <c r="C67" s="125">
        <f>B67*($C$19+$C$49+$C$60)</f>
        <v>8.5434363134948139</v>
      </c>
      <c r="D67" s="373">
        <f>B67*($D$19+$D$49+$D$60)</f>
        <v>7.0916769355361611</v>
      </c>
    </row>
    <row r="68" spans="1:4" ht="14.25" customHeight="1" x14ac:dyDescent="0.2">
      <c r="A68" s="371" t="s">
        <v>519</v>
      </c>
      <c r="B68" s="108"/>
      <c r="C68" s="125"/>
      <c r="D68" s="373"/>
    </row>
    <row r="69" spans="1:4" ht="14.25" customHeight="1" x14ac:dyDescent="0.2">
      <c r="A69" s="379" t="s">
        <v>520</v>
      </c>
      <c r="B69" s="141">
        <f>SUM(B64:B68)</f>
        <v>9.9662923611111107E-2</v>
      </c>
      <c r="C69" s="142">
        <f>SUM(C64:C68)</f>
        <v>317.34856884538925</v>
      </c>
      <c r="D69" s="380">
        <f>SUM(D64:D68)</f>
        <v>263.42252035652427</v>
      </c>
    </row>
    <row r="70" spans="1:4" ht="14.25" customHeight="1" x14ac:dyDescent="0.2">
      <c r="A70" s="369" t="s">
        <v>521</v>
      </c>
      <c r="B70" s="117"/>
      <c r="C70" s="117"/>
      <c r="D70" s="370"/>
    </row>
    <row r="71" spans="1:4" ht="14.25" customHeight="1" x14ac:dyDescent="0.2">
      <c r="A71" s="371" t="s">
        <v>522</v>
      </c>
      <c r="B71" s="108"/>
      <c r="C71" s="125"/>
      <c r="D71" s="373"/>
    </row>
    <row r="72" spans="1:4" ht="14.25" customHeight="1" x14ac:dyDescent="0.2">
      <c r="A72" s="379" t="s">
        <v>520</v>
      </c>
      <c r="B72" s="141"/>
      <c r="C72" s="142">
        <f>C71</f>
        <v>0</v>
      </c>
      <c r="D72" s="380"/>
    </row>
    <row r="73" spans="1:4" ht="14.25" customHeight="1" x14ac:dyDescent="0.2">
      <c r="A73" s="369" t="s">
        <v>71</v>
      </c>
      <c r="B73" s="117"/>
      <c r="C73" s="117"/>
      <c r="D73" s="370"/>
    </row>
    <row r="74" spans="1:4" ht="14.25" customHeight="1" x14ac:dyDescent="0.2">
      <c r="A74" s="371" t="s">
        <v>72</v>
      </c>
      <c r="B74" s="108">
        <f>120/30*MC!C64*MC!C65</f>
        <v>6.18624E-3</v>
      </c>
      <c r="C74" s="125">
        <f>(((C19*2)+ (C19*1/3))+(C36)+(C44-C38-C39))*$B$74</f>
        <v>27.681781429555201</v>
      </c>
      <c r="D74" s="373">
        <f>(((D19*2)+ (D19*1/3))+(D36)+(D44-D38-D39))*$B$74</f>
        <v>22.66111398825425</v>
      </c>
    </row>
    <row r="75" spans="1:4" ht="14.25" customHeight="1" x14ac:dyDescent="0.2">
      <c r="A75" s="379" t="s">
        <v>481</v>
      </c>
      <c r="B75" s="141"/>
      <c r="C75" s="142"/>
      <c r="D75" s="380"/>
    </row>
    <row r="76" spans="1:4" ht="14.25" customHeight="1" x14ac:dyDescent="0.2">
      <c r="A76" s="361" t="s">
        <v>523</v>
      </c>
      <c r="B76" s="102"/>
      <c r="C76" s="102"/>
      <c r="D76" s="362"/>
    </row>
    <row r="77" spans="1:4" ht="14.25" customHeight="1" x14ac:dyDescent="0.2">
      <c r="A77" s="371" t="s">
        <v>49</v>
      </c>
      <c r="B77" s="130">
        <f>B69</f>
        <v>9.9662923611111107E-2</v>
      </c>
      <c r="C77" s="131">
        <f>C69</f>
        <v>317.34856884538925</v>
      </c>
      <c r="D77" s="374">
        <f>D69</f>
        <v>263.42252035652427</v>
      </c>
    </row>
    <row r="78" spans="1:4" ht="14.25" customHeight="1" x14ac:dyDescent="0.2">
      <c r="A78" s="371" t="s">
        <v>521</v>
      </c>
      <c r="B78" s="130">
        <f>B72</f>
        <v>0</v>
      </c>
      <c r="C78" s="131">
        <f>C72</f>
        <v>0</v>
      </c>
      <c r="D78" s="374">
        <f>D72</f>
        <v>0</v>
      </c>
    </row>
    <row r="79" spans="1:4" ht="14.25" customHeight="1" x14ac:dyDescent="0.2">
      <c r="A79" s="371" t="s">
        <v>71</v>
      </c>
      <c r="B79" s="130">
        <f>B74</f>
        <v>6.18624E-3</v>
      </c>
      <c r="C79" s="131">
        <f>C74</f>
        <v>27.681781429555201</v>
      </c>
      <c r="D79" s="374">
        <f>D74</f>
        <v>22.66111398825425</v>
      </c>
    </row>
    <row r="80" spans="1:4" ht="14.25" customHeight="1" x14ac:dyDescent="0.2">
      <c r="A80" s="365" t="s">
        <v>481</v>
      </c>
      <c r="B80" s="112"/>
      <c r="C80" s="121">
        <f>SUM(C77:C79)</f>
        <v>345.03035027494445</v>
      </c>
      <c r="D80" s="366">
        <f>SUM(D77:D79)</f>
        <v>286.08363434477855</v>
      </c>
    </row>
    <row r="81" spans="1:4" ht="14.25" customHeight="1" x14ac:dyDescent="0.2">
      <c r="A81" s="367"/>
      <c r="B81" s="114"/>
      <c r="C81" s="114"/>
      <c r="D81" s="368"/>
    </row>
    <row r="82" spans="1:4" ht="14.25" customHeight="1" x14ac:dyDescent="0.2">
      <c r="A82" s="381" t="s">
        <v>524</v>
      </c>
      <c r="B82" s="200"/>
      <c r="C82" s="200"/>
      <c r="D82" s="382"/>
    </row>
    <row r="83" spans="1:4" ht="14.25" customHeight="1" x14ac:dyDescent="0.2">
      <c r="A83" s="361" t="s">
        <v>525</v>
      </c>
      <c r="B83" s="102" t="s">
        <v>497</v>
      </c>
      <c r="C83" s="102" t="s">
        <v>474</v>
      </c>
      <c r="D83" s="362" t="s">
        <v>474</v>
      </c>
    </row>
    <row r="84" spans="1:4" ht="14.25" customHeight="1" x14ac:dyDescent="0.2">
      <c r="A84" s="371" t="s">
        <v>526</v>
      </c>
      <c r="B84" s="414">
        <f>Insumos!G117</f>
        <v>27.875416666666666</v>
      </c>
      <c r="C84" s="106">
        <f>B84</f>
        <v>27.875416666666666</v>
      </c>
      <c r="D84" s="364">
        <f>B84</f>
        <v>27.875416666666666</v>
      </c>
    </row>
    <row r="85" spans="1:4" ht="14.25" customHeight="1" x14ac:dyDescent="0.2">
      <c r="A85" s="383" t="s">
        <v>527</v>
      </c>
      <c r="B85" s="414">
        <f>Insumos!G69</f>
        <v>247.1166666666667</v>
      </c>
      <c r="C85" s="106">
        <f>B85</f>
        <v>247.1166666666667</v>
      </c>
      <c r="D85" s="364">
        <f>B85</f>
        <v>247.1166666666667</v>
      </c>
    </row>
    <row r="86" spans="1:4" ht="14.25" customHeight="1" x14ac:dyDescent="0.2">
      <c r="A86" s="383" t="s">
        <v>528</v>
      </c>
      <c r="B86" s="415">
        <v>0</v>
      </c>
      <c r="C86" s="106"/>
      <c r="D86" s="364"/>
    </row>
    <row r="87" spans="1:4" ht="14.25" customHeight="1" x14ac:dyDescent="0.2">
      <c r="A87" s="383" t="s">
        <v>529</v>
      </c>
      <c r="B87" s="416"/>
      <c r="C87" s="106">
        <f>Insumos!I122</f>
        <v>142.21333333333334</v>
      </c>
      <c r="D87" s="364">
        <f>Insumos!H122</f>
        <v>122.52333333333333</v>
      </c>
    </row>
    <row r="88" spans="1:4" ht="14.25" customHeight="1" x14ac:dyDescent="0.2">
      <c r="A88" s="383" t="s">
        <v>530</v>
      </c>
      <c r="B88" s="417">
        <v>0</v>
      </c>
      <c r="C88" s="106"/>
      <c r="D88" s="364"/>
    </row>
    <row r="89" spans="1:4" ht="14.25" customHeight="1" x14ac:dyDescent="0.2">
      <c r="A89" s="383" t="s">
        <v>602</v>
      </c>
      <c r="B89" s="414">
        <v>0</v>
      </c>
      <c r="C89" s="106"/>
      <c r="D89" s="364"/>
    </row>
    <row r="90" spans="1:4" ht="14.25" customHeight="1" x14ac:dyDescent="0.2">
      <c r="A90" s="383" t="s">
        <v>603</v>
      </c>
      <c r="B90" s="414">
        <v>0</v>
      </c>
      <c r="C90" s="106"/>
      <c r="D90" s="364"/>
    </row>
    <row r="91" spans="1:4" ht="14.25" customHeight="1" x14ac:dyDescent="0.2">
      <c r="A91" s="379" t="s">
        <v>481</v>
      </c>
      <c r="B91" s="147"/>
      <c r="C91" s="142">
        <f>SUM(C84:C90)</f>
        <v>417.20541666666668</v>
      </c>
      <c r="D91" s="380">
        <f t="shared" ref="D91" si="8">SUM(D84:D90)</f>
        <v>397.51541666666668</v>
      </c>
    </row>
    <row r="92" spans="1:4" ht="14.25" customHeight="1" x14ac:dyDescent="0.2">
      <c r="A92" s="1049"/>
      <c r="B92" s="1037"/>
      <c r="C92" s="148"/>
      <c r="D92" s="384"/>
    </row>
    <row r="93" spans="1:4" ht="14.25" customHeight="1" x14ac:dyDescent="0.2">
      <c r="A93" s="381" t="s">
        <v>533</v>
      </c>
      <c r="B93" s="200"/>
      <c r="C93" s="200"/>
      <c r="D93" s="382"/>
    </row>
    <row r="94" spans="1:4" ht="14.25" customHeight="1" x14ac:dyDescent="0.2">
      <c r="A94" s="361" t="s">
        <v>534</v>
      </c>
      <c r="B94" s="102" t="s">
        <v>473</v>
      </c>
      <c r="C94" s="102" t="s">
        <v>474</v>
      </c>
      <c r="D94" s="362" t="s">
        <v>474</v>
      </c>
    </row>
    <row r="95" spans="1:4" ht="14.25" customHeight="1" x14ac:dyDescent="0.2">
      <c r="A95" s="363" t="s">
        <v>77</v>
      </c>
      <c r="B95" s="108">
        <v>0.03</v>
      </c>
      <c r="C95" s="125">
        <f>($C$19+$C$49+$C$60+$C$80+$C$91)*$B$95</f>
        <v>118.39364116824834</v>
      </c>
      <c r="D95" s="373">
        <f>($D$19+$D$49+$D$60+$D$80+$D$91)*$B$95</f>
        <v>99.802009115797901</v>
      </c>
    </row>
    <row r="96" spans="1:4" ht="14.25" customHeight="1" x14ac:dyDescent="0.2">
      <c r="A96" s="363" t="s">
        <v>78</v>
      </c>
      <c r="B96" s="108">
        <v>6.7900000000000002E-2</v>
      </c>
      <c r="C96" s="125">
        <f>($C$19+$C$49+$C$60+$C$80+$C$91+C95)*B96</f>
        <v>276.00320274612614</v>
      </c>
      <c r="D96" s="373">
        <f>($D$19+$D$49+$D$60+$D$80+$D$91+$D$95)*$B$96</f>
        <v>232.66177038438525</v>
      </c>
    </row>
    <row r="97" spans="1:5" ht="14.25" customHeight="1" x14ac:dyDescent="0.2">
      <c r="A97" s="385" t="s">
        <v>535</v>
      </c>
      <c r="B97" s="204">
        <f>B98+B99</f>
        <v>0.1125</v>
      </c>
      <c r="C97" s="205">
        <f>((C19+C49+C60+C80+C91+C95+C96)/(1-($B$97)))*$B$97</f>
        <v>550.24878796766018</v>
      </c>
      <c r="D97" s="386">
        <f>((D19+D49+D60+D80+D91+D95+D96)/(1-($B$97)))*$B$97</f>
        <v>463.84192605973266</v>
      </c>
    </row>
    <row r="98" spans="1:5" ht="14.25" customHeight="1" x14ac:dyDescent="0.2">
      <c r="A98" s="363" t="s">
        <v>536</v>
      </c>
      <c r="B98" s="108">
        <f>0.0165+0.076</f>
        <v>9.2499999999999999E-2</v>
      </c>
      <c r="C98" s="206">
        <f>((C$19+C$49+C$60+C$80+C$91+C$95+C$96)/(1-($B$97)))*$B$98</f>
        <v>452.42678121785394</v>
      </c>
      <c r="D98" s="387">
        <f t="shared" ref="D98" si="9">((D$19+D$49+D$60+D$80+D$91+D$95+D$96)/(1-($B$97)))*$B$98</f>
        <v>381.38113920466907</v>
      </c>
    </row>
    <row r="99" spans="1:5" ht="14.25" customHeight="1" x14ac:dyDescent="0.2">
      <c r="A99" s="363" t="s">
        <v>537</v>
      </c>
      <c r="B99" s="108">
        <v>0.02</v>
      </c>
      <c r="C99" s="207">
        <f>((C$19+C$49+C$60+C$80+C$91+C$95+C$96)/(1-($B$97)))*$B$99</f>
        <v>97.822006749806263</v>
      </c>
      <c r="D99" s="388">
        <f t="shared" ref="D99" si="10">((D$19+D$49+D$60+D$80+D$91+D$95+D$96)/(1-($B$97)))*$B$99</f>
        <v>82.460786855063574</v>
      </c>
    </row>
    <row r="100" spans="1:5" ht="14.25" customHeight="1" x14ac:dyDescent="0.2">
      <c r="A100" s="385" t="s">
        <v>538</v>
      </c>
      <c r="B100" s="204">
        <f>B101+B102</f>
        <v>0.11749999999999999</v>
      </c>
      <c r="C100" s="205">
        <f>((C19+C49+C60+C80+C91+C95+C96)/(1-($B$100)))*$B$100</f>
        <v>577.96040461066468</v>
      </c>
      <c r="D100" s="386">
        <f t="shared" ref="D100" si="11">((D19+D49+D60+D80+D91+D95+D96)/(1-($B$100)))*$B$100</f>
        <v>487.20192233595458</v>
      </c>
    </row>
    <row r="101" spans="1:5" ht="14.25" customHeight="1" x14ac:dyDescent="0.2">
      <c r="A101" s="363" t="s">
        <v>536</v>
      </c>
      <c r="B101" s="108">
        <f>0.0165+0.076</f>
        <v>9.2499999999999999E-2</v>
      </c>
      <c r="C101" s="206">
        <f>((C19+C49+C60+C80+C91+C95+C96)/(1-($B$100)))*$B$101</f>
        <v>454.99010575733183</v>
      </c>
      <c r="D101" s="387">
        <f t="shared" ref="D101" si="12">((D19+D49+D60+D80+D91+D95+D96)/(1-($B$100)))*$B$101</f>
        <v>383.54193886021955</v>
      </c>
    </row>
    <row r="102" spans="1:5" ht="14.25" customHeight="1" x14ac:dyDescent="0.2">
      <c r="A102" s="363" t="s">
        <v>537</v>
      </c>
      <c r="B102" s="108">
        <v>2.5000000000000001E-2</v>
      </c>
      <c r="C102" s="207">
        <f>((C$19+C$49+C$60+C$80+C$91+C$95+C$96)/(1-($B$100)))*$B$102</f>
        <v>122.97029885333293</v>
      </c>
      <c r="D102" s="388">
        <f t="shared" ref="D102" si="13">((D$19+D$49+D$60+D$80+D$91+D$95+D$96)/(1-($B$100)))*$B$102</f>
        <v>103.65998347573503</v>
      </c>
    </row>
    <row r="103" spans="1:5" ht="14.25" customHeight="1" x14ac:dyDescent="0.2">
      <c r="A103" s="385" t="s">
        <v>539</v>
      </c>
      <c r="B103" s="204">
        <f>B104+B105</f>
        <v>0.1225</v>
      </c>
      <c r="C103" s="205">
        <f>((C19+C49+C60+C80+C91+C95+C96)/(1-($B$103)))*$B$103</f>
        <v>605.98782315273502</v>
      </c>
      <c r="D103" s="386">
        <f t="shared" ref="D103" si="14">((D19+D49+D60+D80+D91+D95+D96)/(1-($B$103)))*$B$103</f>
        <v>510.82812939595124</v>
      </c>
    </row>
    <row r="104" spans="1:5" ht="14.25" customHeight="1" x14ac:dyDescent="0.2">
      <c r="A104" s="363" t="s">
        <v>536</v>
      </c>
      <c r="B104" s="108">
        <f>0.0165+0.076</f>
        <v>9.2499999999999999E-2</v>
      </c>
      <c r="C104" s="206">
        <f>((C19+C49+C60+C80+C91+C95+C96)/(1-($B$103)))*$B$104</f>
        <v>457.58264197247343</v>
      </c>
      <c r="D104" s="387">
        <f t="shared" ref="D104" si="15">((D19+D49+D60+D80+D91+D95+D96)/(1-($B$103)))*$B$104</f>
        <v>385.72736301326927</v>
      </c>
    </row>
    <row r="105" spans="1:5" ht="14.25" customHeight="1" x14ac:dyDescent="0.2">
      <c r="A105" s="363" t="s">
        <v>537</v>
      </c>
      <c r="B105" s="108">
        <v>0.03</v>
      </c>
      <c r="C105" s="207">
        <f>((C19+C49+C60+C80+C91+C95+C96)/(1-($B$103)))*$B$105</f>
        <v>148.40518118026165</v>
      </c>
      <c r="D105" s="388">
        <f t="shared" ref="D105" si="16">((D19+D49+D60+D80+D91+D95+D96)/(1-($B$103)))*$B$105</f>
        <v>125.10076638268193</v>
      </c>
      <c r="E105" s="208"/>
    </row>
    <row r="106" spans="1:5" ht="14.25" customHeight="1" x14ac:dyDescent="0.2">
      <c r="A106" s="385" t="s">
        <v>540</v>
      </c>
      <c r="B106" s="204">
        <f>B107+B108</f>
        <v>0.13250000000000001</v>
      </c>
      <c r="C106" s="205">
        <f>((C19+C49+C60+C80+C91+C95+C96)/(1-($B$106)))*$B$106</f>
        <v>663.01190814034771</v>
      </c>
      <c r="D106" s="386">
        <f t="shared" ref="D106" si="17">((D19+D49+D60+D80+D91+D95+D96)/(1-($B$106)))*$B$106</f>
        <v>558.89758814049765</v>
      </c>
    </row>
    <row r="107" spans="1:5" ht="14.25" customHeight="1" x14ac:dyDescent="0.2">
      <c r="A107" s="363" t="s">
        <v>536</v>
      </c>
      <c r="B107" s="108">
        <f>0.0165+0.076</f>
        <v>9.2499999999999999E-2</v>
      </c>
      <c r="C107" s="206">
        <f>((C19+C49+C60+C80+C91+C95+C96)/(1-($B$106)))*$B$107</f>
        <v>462.85736983382759</v>
      </c>
      <c r="D107" s="387">
        <f t="shared" ref="D107" si="18">((D19+D49+D60+D80+D91+D95+D96)/(1-($B$106)))*$B$107</f>
        <v>390.17378794713989</v>
      </c>
    </row>
    <row r="108" spans="1:5" ht="14.25" customHeight="1" x14ac:dyDescent="0.2">
      <c r="A108" s="363" t="s">
        <v>537</v>
      </c>
      <c r="B108" s="108">
        <v>0.04</v>
      </c>
      <c r="C108" s="207">
        <f>((C19+C49+C60+C80+C91+C95+C96)/(1-($B$106)))*$B$108</f>
        <v>200.15453830652004</v>
      </c>
      <c r="D108" s="388">
        <f t="shared" ref="D108" si="19">((D19+D49+D60+D80+D91+D95+D96)/(1-($B$106)))*$B$108</f>
        <v>168.72380019335779</v>
      </c>
    </row>
    <row r="109" spans="1:5" ht="14.25" customHeight="1" x14ac:dyDescent="0.2">
      <c r="A109" s="385" t="s">
        <v>541</v>
      </c>
      <c r="B109" s="204">
        <f>B110+B111</f>
        <v>0.14250000000000002</v>
      </c>
      <c r="C109" s="205">
        <f>((C19+C49+C60+C80+C91+C95+C96)/(1-($B$109)))*$B$109</f>
        <v>721.36600094108235</v>
      </c>
      <c r="D109" s="386">
        <f t="shared" ref="D109" si="20">((D19+D49+D60+D80+D91+D95+D96)/(1-($B$109)))*$B$109</f>
        <v>608.08820044176821</v>
      </c>
    </row>
    <row r="110" spans="1:5" ht="14.25" customHeight="1" x14ac:dyDescent="0.2">
      <c r="A110" s="363" t="s">
        <v>536</v>
      </c>
      <c r="B110" s="108">
        <f>0.0165+0.076</f>
        <v>9.2499999999999999E-2</v>
      </c>
      <c r="C110" s="206">
        <f>((C19+C49+C60+C80+C91+C95+C96)/(1-($B$109)))*$B$110</f>
        <v>468.2551234178955</v>
      </c>
      <c r="D110" s="387">
        <f t="shared" ref="D110" si="21">((D19+D49+D60+D80+D91+D95+D96)/(1-($B$109)))*$B$110</f>
        <v>394.72391958500737</v>
      </c>
    </row>
    <row r="111" spans="1:5" ht="14.25" customHeight="1" x14ac:dyDescent="0.2">
      <c r="A111" s="363" t="s">
        <v>537</v>
      </c>
      <c r="B111" s="209">
        <v>0.05</v>
      </c>
      <c r="C111" s="207">
        <f>((C19+C49+C60+C80+C91+C95+C96)/(1-($B$109)))*$B$111</f>
        <v>253.11087752318679</v>
      </c>
      <c r="D111" s="388">
        <f t="shared" ref="D111" si="22">((D19+D49+D60+D80+D91+D95+D96)/(1-($B$109)))*$B$111</f>
        <v>213.36428085676076</v>
      </c>
    </row>
    <row r="112" spans="1:5" ht="14.25" customHeight="1" x14ac:dyDescent="0.2">
      <c r="A112" s="1052" t="s">
        <v>542</v>
      </c>
      <c r="B112" s="210">
        <v>0.02</v>
      </c>
      <c r="C112" s="211">
        <f>C95+C96+C97</f>
        <v>944.64563188203465</v>
      </c>
      <c r="D112" s="389">
        <f>D95+D96+D97</f>
        <v>796.30570555991585</v>
      </c>
    </row>
    <row r="113" spans="1:5" ht="14.25" customHeight="1" x14ac:dyDescent="0.2">
      <c r="A113" s="1052"/>
      <c r="B113" s="212">
        <v>2.5000000000000001E-2</v>
      </c>
      <c r="C113" s="213">
        <f>C95+C96+C100</f>
        <v>972.35724852503915</v>
      </c>
      <c r="D113" s="390">
        <f>D95+D96+D100</f>
        <v>819.66570183613771</v>
      </c>
    </row>
    <row r="114" spans="1:5" ht="14.25" customHeight="1" x14ac:dyDescent="0.2">
      <c r="A114" s="1052"/>
      <c r="B114" s="212">
        <v>0.03</v>
      </c>
      <c r="C114" s="213">
        <f>C95+C96+C103</f>
        <v>1000.3846670671095</v>
      </c>
      <c r="D114" s="390">
        <f>D95+D96+D103</f>
        <v>843.29190889613437</v>
      </c>
      <c r="E114" s="208"/>
    </row>
    <row r="115" spans="1:5" ht="14.25" customHeight="1" x14ac:dyDescent="0.2">
      <c r="A115" s="1052"/>
      <c r="B115" s="212">
        <v>0.04</v>
      </c>
      <c r="C115" s="213">
        <f>C95+C96+C106</f>
        <v>1057.4087520547223</v>
      </c>
      <c r="D115" s="390">
        <f>D95+D96+D106</f>
        <v>891.36136764068078</v>
      </c>
    </row>
    <row r="116" spans="1:5" ht="14.25" customHeight="1" x14ac:dyDescent="0.2">
      <c r="A116" s="1052"/>
      <c r="B116" s="214">
        <v>0.05</v>
      </c>
      <c r="C116" s="215">
        <f>C95+C96+C109</f>
        <v>1115.7628448554569</v>
      </c>
      <c r="D116" s="391">
        <f>D95+D96+D109</f>
        <v>940.55197994195134</v>
      </c>
    </row>
    <row r="117" spans="1:5" ht="14.25" customHeight="1" x14ac:dyDescent="0.2">
      <c r="A117" s="363" t="s">
        <v>543</v>
      </c>
      <c r="B117" s="216"/>
      <c r="C117" s="217"/>
      <c r="D117" s="392"/>
    </row>
    <row r="118" spans="1:5" ht="14.25" customHeight="1" x14ac:dyDescent="0.2">
      <c r="A118" s="393"/>
      <c r="B118" s="220"/>
      <c r="C118" s="221"/>
      <c r="D118" s="394"/>
    </row>
    <row r="119" spans="1:5" ht="7.5" customHeight="1" x14ac:dyDescent="0.2">
      <c r="A119" s="1053"/>
      <c r="B119" s="1039"/>
      <c r="C119" s="1039"/>
      <c r="D119" s="1054"/>
    </row>
    <row r="120" spans="1:5" ht="7.5" customHeight="1" x14ac:dyDescent="0.2">
      <c r="A120" s="1055"/>
      <c r="B120" s="1040"/>
      <c r="C120" s="1040"/>
      <c r="D120" s="1056"/>
    </row>
    <row r="121" spans="1:5" ht="54.75" customHeight="1" x14ac:dyDescent="0.2">
      <c r="A121" s="1057" t="s">
        <v>544</v>
      </c>
      <c r="B121" s="1041"/>
      <c r="C121" s="224" t="str">
        <f>C10</f>
        <v>Servente 44h COVID</v>
      </c>
      <c r="D121" s="395" t="str">
        <f>D10</f>
        <v>Servente 30h COVID</v>
      </c>
    </row>
    <row r="122" spans="1:5" ht="15.75" customHeight="1" x14ac:dyDescent="0.2">
      <c r="A122" s="1058" t="s">
        <v>545</v>
      </c>
      <c r="B122" s="1035"/>
      <c r="C122" s="227" t="s">
        <v>474</v>
      </c>
      <c r="D122" s="396" t="s">
        <v>474</v>
      </c>
    </row>
    <row r="123" spans="1:5" ht="14.25" customHeight="1" x14ac:dyDescent="0.2">
      <c r="A123" s="1059" t="s">
        <v>546</v>
      </c>
      <c r="B123" s="1036"/>
      <c r="C123" s="229">
        <f>C19</f>
        <v>1587.2640000000001</v>
      </c>
      <c r="D123" s="397">
        <f>D19</f>
        <v>1298.6705454545454</v>
      </c>
    </row>
    <row r="124" spans="1:5" ht="14.25" customHeight="1" x14ac:dyDescent="0.2">
      <c r="A124" s="1046" t="s">
        <v>547</v>
      </c>
      <c r="B124" s="1031"/>
      <c r="C124" s="150">
        <f>C49</f>
        <v>1492.9891466666668</v>
      </c>
      <c r="D124" s="398">
        <f>D49</f>
        <v>1259.40112</v>
      </c>
    </row>
    <row r="125" spans="1:5" ht="14.25" customHeight="1" x14ac:dyDescent="0.2">
      <c r="A125" s="1046" t="s">
        <v>548</v>
      </c>
      <c r="B125" s="1031"/>
      <c r="C125" s="150">
        <f>C60</f>
        <v>103.96579199999999</v>
      </c>
      <c r="D125" s="398">
        <f>D60</f>
        <v>85.062920727272711</v>
      </c>
    </row>
    <row r="126" spans="1:5" ht="14.25" customHeight="1" x14ac:dyDescent="0.2">
      <c r="A126" s="1046" t="s">
        <v>549</v>
      </c>
      <c r="B126" s="1031"/>
      <c r="C126" s="150">
        <f>C80</f>
        <v>345.03035027494445</v>
      </c>
      <c r="D126" s="398">
        <f>D80</f>
        <v>286.08363434477855</v>
      </c>
    </row>
    <row r="127" spans="1:5" ht="15.75" customHeight="1" x14ac:dyDescent="0.2">
      <c r="A127" s="1046" t="s">
        <v>550</v>
      </c>
      <c r="B127" s="1031"/>
      <c r="C127" s="150">
        <f>C91</f>
        <v>417.20541666666668</v>
      </c>
      <c r="D127" s="398">
        <f>D91</f>
        <v>397.51541666666668</v>
      </c>
    </row>
    <row r="128" spans="1:5" ht="15.75" customHeight="1" x14ac:dyDescent="0.2">
      <c r="A128" s="1048" t="s">
        <v>551</v>
      </c>
      <c r="B128" s="1034"/>
      <c r="C128" s="152">
        <f>SUM(C123:C127)</f>
        <v>3946.4547056082779</v>
      </c>
      <c r="D128" s="399">
        <f>SUM(D123:D127)</f>
        <v>3326.7336371932633</v>
      </c>
    </row>
    <row r="129" spans="1:4" ht="15.75" customHeight="1" x14ac:dyDescent="0.2">
      <c r="A129" s="1047" t="s">
        <v>552</v>
      </c>
      <c r="B129" s="1032"/>
      <c r="C129" s="232">
        <f t="shared" ref="C129:D133" si="23">C112</f>
        <v>944.64563188203465</v>
      </c>
      <c r="D129" s="400">
        <f t="shared" si="23"/>
        <v>796.30570555991585</v>
      </c>
    </row>
    <row r="130" spans="1:4" ht="15.75" customHeight="1" x14ac:dyDescent="0.2">
      <c r="A130" s="1046" t="s">
        <v>553</v>
      </c>
      <c r="B130" s="1031"/>
      <c r="C130" s="234">
        <f t="shared" si="23"/>
        <v>972.35724852503915</v>
      </c>
      <c r="D130" s="401">
        <f t="shared" si="23"/>
        <v>819.66570183613771</v>
      </c>
    </row>
    <row r="131" spans="1:4" ht="15.75" customHeight="1" x14ac:dyDescent="0.2">
      <c r="A131" s="1046" t="s">
        <v>554</v>
      </c>
      <c r="B131" s="1031"/>
      <c r="C131" s="234">
        <f t="shared" si="23"/>
        <v>1000.3846670671095</v>
      </c>
      <c r="D131" s="401">
        <f t="shared" si="23"/>
        <v>843.29190889613437</v>
      </c>
    </row>
    <row r="132" spans="1:4" ht="15.75" customHeight="1" x14ac:dyDescent="0.2">
      <c r="A132" s="1046" t="s">
        <v>555</v>
      </c>
      <c r="B132" s="1031"/>
      <c r="C132" s="234">
        <f t="shared" si="23"/>
        <v>1057.4087520547223</v>
      </c>
      <c r="D132" s="401">
        <f t="shared" si="23"/>
        <v>891.36136764068078</v>
      </c>
    </row>
    <row r="133" spans="1:4" ht="15.75" customHeight="1" x14ac:dyDescent="0.2">
      <c r="A133" s="1047" t="s">
        <v>556</v>
      </c>
      <c r="B133" s="1032"/>
      <c r="C133" s="234">
        <f t="shared" si="23"/>
        <v>1115.7628448554569</v>
      </c>
      <c r="D133" s="401">
        <f t="shared" si="23"/>
        <v>940.55197994195134</v>
      </c>
    </row>
    <row r="134" spans="1:4" ht="15.75" customHeight="1" x14ac:dyDescent="0.2">
      <c r="A134" s="402" t="s">
        <v>557</v>
      </c>
      <c r="B134" s="237"/>
      <c r="C134" s="238">
        <f>C128+C129</f>
        <v>4891.1003374903121</v>
      </c>
      <c r="D134" s="403">
        <f>D128+D129</f>
        <v>4123.039342753179</v>
      </c>
    </row>
    <row r="135" spans="1:4" ht="15.75" customHeight="1" x14ac:dyDescent="0.2">
      <c r="A135" s="404" t="s">
        <v>558</v>
      </c>
      <c r="B135" s="241"/>
      <c r="C135" s="242">
        <f>C128+C130</f>
        <v>4918.8119541333172</v>
      </c>
      <c r="D135" s="405">
        <f>D128+D130</f>
        <v>4146.3993390294008</v>
      </c>
    </row>
    <row r="136" spans="1:4" ht="15.75" customHeight="1" x14ac:dyDescent="0.2">
      <c r="A136" s="404" t="s">
        <v>559</v>
      </c>
      <c r="B136" s="241"/>
      <c r="C136" s="242">
        <f>C128+C131</f>
        <v>4946.8393726753875</v>
      </c>
      <c r="D136" s="405">
        <f>D128+D131</f>
        <v>4170.0255460893977</v>
      </c>
    </row>
    <row r="137" spans="1:4" ht="15.75" customHeight="1" x14ac:dyDescent="0.2">
      <c r="A137" s="404" t="s">
        <v>560</v>
      </c>
      <c r="B137" s="241"/>
      <c r="C137" s="242">
        <f>C128+C132</f>
        <v>5003.8634576630002</v>
      </c>
      <c r="D137" s="405">
        <f>D128+D132</f>
        <v>4218.0950048339437</v>
      </c>
    </row>
    <row r="138" spans="1:4" ht="15.75" customHeight="1" x14ac:dyDescent="0.2">
      <c r="A138" s="404" t="s">
        <v>561</v>
      </c>
      <c r="B138" s="241"/>
      <c r="C138" s="242">
        <f>C128+C133</f>
        <v>5062.2175504637344</v>
      </c>
      <c r="D138" s="405">
        <f>D128+D133</f>
        <v>4267.285617135215</v>
      </c>
    </row>
    <row r="139" spans="1:4" ht="15.75" customHeight="1" x14ac:dyDescent="0.2">
      <c r="A139" s="406" t="s">
        <v>562</v>
      </c>
      <c r="B139" s="244"/>
      <c r="C139" s="245">
        <f>C134/200</f>
        <v>24.455501687451559</v>
      </c>
      <c r="D139" s="407"/>
    </row>
    <row r="140" spans="1:4" ht="15.75" customHeight="1" x14ac:dyDescent="0.2">
      <c r="A140" s="408" t="s">
        <v>563</v>
      </c>
      <c r="B140" s="246"/>
      <c r="C140" s="247">
        <f>C135/200</f>
        <v>24.594059770666586</v>
      </c>
      <c r="D140" s="409"/>
    </row>
    <row r="141" spans="1:4" ht="15.75" customHeight="1" x14ac:dyDescent="0.2">
      <c r="A141" s="408" t="s">
        <v>564</v>
      </c>
      <c r="B141" s="246"/>
      <c r="C141" s="247">
        <f>C136/200</f>
        <v>24.734196863376937</v>
      </c>
      <c r="D141" s="409"/>
    </row>
    <row r="142" spans="1:4" ht="15.75" customHeight="1" x14ac:dyDescent="0.2">
      <c r="A142" s="408" t="s">
        <v>565</v>
      </c>
      <c r="B142" s="246"/>
      <c r="C142" s="247">
        <f>C137/200</f>
        <v>25.019317288315001</v>
      </c>
      <c r="D142" s="409"/>
    </row>
    <row r="143" spans="1:4" ht="15.75" customHeight="1" x14ac:dyDescent="0.2">
      <c r="A143" s="410" t="s">
        <v>566</v>
      </c>
      <c r="B143" s="411"/>
      <c r="C143" s="412">
        <f>C138/200</f>
        <v>25.31108775231867</v>
      </c>
      <c r="D143" s="413"/>
    </row>
    <row r="144" spans="1:4" x14ac:dyDescent="0.2">
      <c r="A144" s="248"/>
    </row>
  </sheetData>
  <mergeCells count="27">
    <mergeCell ref="A21:D21"/>
    <mergeCell ref="A1:D1"/>
    <mergeCell ref="A2:D2"/>
    <mergeCell ref="A3:D3"/>
    <mergeCell ref="A9:D9"/>
    <mergeCell ref="A20:B20"/>
    <mergeCell ref="A124:B124"/>
    <mergeCell ref="A50:B50"/>
    <mergeCell ref="A51:D51"/>
    <mergeCell ref="A61:B61"/>
    <mergeCell ref="A62:D62"/>
    <mergeCell ref="A92:B92"/>
    <mergeCell ref="A112:A116"/>
    <mergeCell ref="A119:D119"/>
    <mergeCell ref="A120:D120"/>
    <mergeCell ref="A121:B121"/>
    <mergeCell ref="A122:B122"/>
    <mergeCell ref="A123:B123"/>
    <mergeCell ref="A131:B131"/>
    <mergeCell ref="A132:B132"/>
    <mergeCell ref="A133:B133"/>
    <mergeCell ref="A125:B125"/>
    <mergeCell ref="A126:B126"/>
    <mergeCell ref="A127:B127"/>
    <mergeCell ref="A128:B128"/>
    <mergeCell ref="A129:B129"/>
    <mergeCell ref="A130:B13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7070"/>
  </sheetPr>
  <dimension ref="A1:ALX66"/>
  <sheetViews>
    <sheetView zoomScale="80" zoomScaleNormal="80" workbookViewId="0">
      <pane xSplit="2" ySplit="3" topLeftCell="C4" activePane="bottomRight" state="frozen"/>
      <selection pane="topRight"/>
      <selection pane="bottomLeft"/>
      <selection pane="bottomRight" activeCell="S21" sqref="S21"/>
    </sheetView>
  </sheetViews>
  <sheetFormatPr defaultRowHeight="15" x14ac:dyDescent="0.25"/>
  <cols>
    <col min="1" max="1" width="23.375" style="171"/>
    <col min="2" max="2" width="5.75" style="171" customWidth="1"/>
    <col min="3" max="7" width="9.25" style="171"/>
    <col min="8" max="9" width="11.5" style="171"/>
    <col min="10" max="15" width="9.25" style="171"/>
    <col min="16" max="17" width="9" style="171"/>
    <col min="18" max="21" width="9" style="156" customWidth="1"/>
    <col min="22" max="997" width="10.625" style="156"/>
    <col min="998" max="998" width="9" style="171"/>
    <col min="999" max="1012" width="8.625" style="171"/>
  </cols>
  <sheetData>
    <row r="1" spans="1:999" x14ac:dyDescent="0.25">
      <c r="A1" s="156"/>
      <c r="B1" s="156"/>
      <c r="C1" s="1067" t="s">
        <v>333</v>
      </c>
      <c r="D1" s="1068"/>
      <c r="E1" s="1068"/>
      <c r="F1" s="1068"/>
      <c r="G1" s="1083" t="s">
        <v>334</v>
      </c>
      <c r="H1" s="1083"/>
      <c r="I1" s="1083"/>
      <c r="J1" s="1084" t="s">
        <v>335</v>
      </c>
      <c r="K1" s="1084"/>
      <c r="L1" s="1085"/>
      <c r="M1" s="156"/>
      <c r="N1" s="156"/>
      <c r="O1" s="156"/>
      <c r="P1" s="156"/>
      <c r="Q1" s="156"/>
      <c r="ALJ1"/>
      <c r="ALK1"/>
    </row>
    <row r="2" spans="1:999" ht="55.5" customHeight="1" x14ac:dyDescent="0.25">
      <c r="A2" s="1073" t="s">
        <v>86</v>
      </c>
      <c r="B2" s="1090" t="s">
        <v>81</v>
      </c>
      <c r="C2" s="1075" t="s">
        <v>604</v>
      </c>
      <c r="D2" s="1077" t="s">
        <v>605</v>
      </c>
      <c r="E2" s="1079" t="s">
        <v>606</v>
      </c>
      <c r="F2" s="1081" t="s">
        <v>607</v>
      </c>
      <c r="G2" s="1093" t="s">
        <v>608</v>
      </c>
      <c r="H2" s="1095" t="s">
        <v>609</v>
      </c>
      <c r="I2" s="1097" t="s">
        <v>610</v>
      </c>
      <c r="J2" s="1099" t="s">
        <v>611</v>
      </c>
      <c r="K2" s="1069" t="s">
        <v>612</v>
      </c>
      <c r="L2" s="1086" t="s">
        <v>613</v>
      </c>
      <c r="M2" s="1088" t="s">
        <v>433</v>
      </c>
      <c r="N2" s="1071" t="s">
        <v>434</v>
      </c>
      <c r="O2" s="1072"/>
      <c r="P2" s="1092" t="s">
        <v>435</v>
      </c>
      <c r="Q2" s="1092"/>
      <c r="R2" s="499" t="s">
        <v>436</v>
      </c>
      <c r="S2" s="500" t="s">
        <v>437</v>
      </c>
      <c r="T2" s="501" t="s">
        <v>438</v>
      </c>
      <c r="U2" s="502" t="s">
        <v>439</v>
      </c>
      <c r="ALJ2" s="156"/>
      <c r="ALK2" s="156"/>
    </row>
    <row r="3" spans="1:999" ht="18" customHeight="1" x14ac:dyDescent="0.25">
      <c r="A3" s="1074"/>
      <c r="B3" s="1091"/>
      <c r="C3" s="1076"/>
      <c r="D3" s="1078"/>
      <c r="E3" s="1080"/>
      <c r="F3" s="1082"/>
      <c r="G3" s="1094"/>
      <c r="H3" s="1096"/>
      <c r="I3" s="1098"/>
      <c r="J3" s="1100"/>
      <c r="K3" s="1070"/>
      <c r="L3" s="1087"/>
      <c r="M3" s="1089"/>
      <c r="N3" s="571" t="s">
        <v>360</v>
      </c>
      <c r="O3" s="572" t="s">
        <v>361</v>
      </c>
      <c r="P3" s="573" t="s">
        <v>360</v>
      </c>
      <c r="Q3" s="574" t="s">
        <v>361</v>
      </c>
      <c r="R3" s="608" t="s">
        <v>440</v>
      </c>
      <c r="S3" s="609" t="s">
        <v>440</v>
      </c>
      <c r="T3" s="610" t="s">
        <v>441</v>
      </c>
      <c r="U3" s="611" t="s">
        <v>361</v>
      </c>
      <c r="ALJ3" s="156"/>
      <c r="ALK3" s="156"/>
    </row>
    <row r="4" spans="1:999" x14ac:dyDescent="0.25">
      <c r="A4" s="799" t="s">
        <v>88</v>
      </c>
      <c r="B4" s="798">
        <f>'Resumo Proposta'!D25</f>
        <v>0.03</v>
      </c>
      <c r="C4" s="801">
        <v>1239.6099999999999</v>
      </c>
      <c r="D4" s="624">
        <v>45.94</v>
      </c>
      <c r="E4" s="624">
        <v>327</v>
      </c>
      <c r="F4" s="624">
        <v>78.7</v>
      </c>
      <c r="G4" s="624"/>
      <c r="H4" s="624"/>
      <c r="I4" s="624"/>
      <c r="J4" s="624">
        <v>0</v>
      </c>
      <c r="K4" s="624">
        <v>0</v>
      </c>
      <c r="L4" s="625">
        <f t="shared" ref="L4:L15" si="0">J4+K4</f>
        <v>0</v>
      </c>
      <c r="M4" s="626">
        <f t="shared" ref="M4:M15" si="1">C4/$C$17+D4/$D$17+E4/$E$17+F4/$F$17+G4/$G$17+H4/$H$17+I4/$I$17+K4/$K$17*16*1/188.76+L4/$L$17*16*1/188.76</f>
        <v>2.3006391666666666</v>
      </c>
      <c r="N4" s="626"/>
      <c r="O4" s="626">
        <v>1</v>
      </c>
      <c r="P4" s="627"/>
      <c r="Q4" s="627"/>
      <c r="R4" s="628">
        <v>6</v>
      </c>
      <c r="S4" s="629">
        <v>6</v>
      </c>
      <c r="T4" s="630">
        <v>22</v>
      </c>
      <c r="U4" s="631">
        <v>1</v>
      </c>
    </row>
    <row r="5" spans="1:999" x14ac:dyDescent="0.25">
      <c r="A5" s="800" t="s">
        <v>91</v>
      </c>
      <c r="B5" s="798">
        <f>'Resumo Proposta'!D26</f>
        <v>0.03</v>
      </c>
      <c r="C5" s="802">
        <v>188.9</v>
      </c>
      <c r="D5" s="562">
        <v>268.93</v>
      </c>
      <c r="E5" s="562"/>
      <c r="F5" s="562">
        <v>14</v>
      </c>
      <c r="G5" s="562">
        <v>618</v>
      </c>
      <c r="H5" s="562"/>
      <c r="I5" s="562">
        <v>145</v>
      </c>
      <c r="J5" s="562">
        <v>0</v>
      </c>
      <c r="K5" s="562">
        <f>25*3+8*3</f>
        <v>99</v>
      </c>
      <c r="L5" s="605">
        <f t="shared" si="0"/>
        <v>99</v>
      </c>
      <c r="M5" s="606">
        <f t="shared" si="1"/>
        <v>0.89707802662250047</v>
      </c>
      <c r="N5" s="606">
        <v>1</v>
      </c>
      <c r="O5" s="606"/>
      <c r="P5" s="607"/>
      <c r="Q5" s="607"/>
      <c r="R5" s="533">
        <v>6</v>
      </c>
      <c r="S5" s="510">
        <v>6</v>
      </c>
      <c r="T5" s="511"/>
      <c r="U5" s="632"/>
    </row>
    <row r="6" spans="1:999" x14ac:dyDescent="0.25">
      <c r="A6" s="800" t="s">
        <v>94</v>
      </c>
      <c r="B6" s="798">
        <f>'Resumo Proposta'!D27</f>
        <v>0.03</v>
      </c>
      <c r="C6" s="802">
        <v>1138.97</v>
      </c>
      <c r="D6" s="562">
        <v>222.29</v>
      </c>
      <c r="E6" s="562">
        <v>82.46</v>
      </c>
      <c r="F6" s="562">
        <v>47.44</v>
      </c>
      <c r="G6" s="562">
        <v>388.09</v>
      </c>
      <c r="H6" s="562">
        <v>118.12</v>
      </c>
      <c r="I6" s="562">
        <v>265.26</v>
      </c>
      <c r="J6" s="562">
        <v>0</v>
      </c>
      <c r="K6" s="562">
        <v>232.04</v>
      </c>
      <c r="L6" s="605">
        <f t="shared" si="0"/>
        <v>232.04</v>
      </c>
      <c r="M6" s="606">
        <f t="shared" si="1"/>
        <v>2.2560813986277943</v>
      </c>
      <c r="N6" s="606"/>
      <c r="O6" s="606">
        <v>2</v>
      </c>
      <c r="P6" s="607"/>
      <c r="Q6" s="607">
        <v>3</v>
      </c>
      <c r="R6" s="533">
        <v>6</v>
      </c>
      <c r="S6" s="510">
        <v>6</v>
      </c>
      <c r="T6" s="511"/>
      <c r="U6" s="632"/>
    </row>
    <row r="7" spans="1:999" x14ac:dyDescent="0.25">
      <c r="A7" s="800" t="s">
        <v>97</v>
      </c>
      <c r="B7" s="798">
        <f>'Resumo Proposta'!D28</f>
        <v>0.02</v>
      </c>
      <c r="C7" s="802">
        <v>511.2</v>
      </c>
      <c r="D7" s="562">
        <v>1175.1500000000001</v>
      </c>
      <c r="E7" s="562">
        <v>39.1</v>
      </c>
      <c r="F7" s="562">
        <v>65.08</v>
      </c>
      <c r="G7" s="562">
        <v>853.03</v>
      </c>
      <c r="H7" s="562">
        <v>440.53</v>
      </c>
      <c r="I7" s="562">
        <v>244.09</v>
      </c>
      <c r="J7" s="562">
        <v>0</v>
      </c>
      <c r="K7" s="562">
        <f>10.09+26.67+24.56+7.15+1.4</f>
        <v>69.870000000000019</v>
      </c>
      <c r="L7" s="605">
        <f t="shared" si="0"/>
        <v>69.870000000000019</v>
      </c>
      <c r="M7" s="606">
        <f t="shared" si="1"/>
        <v>2.3370965986880208</v>
      </c>
      <c r="N7" s="606"/>
      <c r="O7" s="606">
        <v>2</v>
      </c>
      <c r="P7" s="607"/>
      <c r="Q7" s="607">
        <v>1</v>
      </c>
      <c r="R7" s="533">
        <v>6</v>
      </c>
      <c r="S7" s="510">
        <v>6</v>
      </c>
      <c r="T7" s="511"/>
      <c r="U7" s="632"/>
    </row>
    <row r="8" spans="1:999" x14ac:dyDescent="0.25">
      <c r="A8" s="800" t="s">
        <v>100</v>
      </c>
      <c r="B8" s="798">
        <f>'Resumo Proposta'!D29</f>
        <v>0.05</v>
      </c>
      <c r="C8" s="802">
        <v>317.24</v>
      </c>
      <c r="D8" s="562">
        <v>84.04</v>
      </c>
      <c r="E8" s="562"/>
      <c r="F8" s="562">
        <v>37</v>
      </c>
      <c r="G8" s="562">
        <v>60.76</v>
      </c>
      <c r="H8" s="562">
        <v>517.51</v>
      </c>
      <c r="I8" s="562">
        <v>108</v>
      </c>
      <c r="J8" s="562">
        <v>0</v>
      </c>
      <c r="K8" s="562">
        <v>115.75</v>
      </c>
      <c r="L8" s="605">
        <f t="shared" si="0"/>
        <v>115.75</v>
      </c>
      <c r="M8" s="606">
        <f t="shared" si="1"/>
        <v>0.74614627338270445</v>
      </c>
      <c r="N8" s="606"/>
      <c r="O8" s="606">
        <v>1</v>
      </c>
      <c r="P8" s="607"/>
      <c r="Q8" s="607"/>
      <c r="R8" s="533">
        <v>6</v>
      </c>
      <c r="S8" s="510">
        <v>6</v>
      </c>
      <c r="T8" s="511"/>
      <c r="U8" s="632"/>
    </row>
    <row r="9" spans="1:999" x14ac:dyDescent="0.25">
      <c r="A9" s="800" t="s">
        <v>103</v>
      </c>
      <c r="B9" s="798">
        <f>'Resumo Proposta'!D30</f>
        <v>0.03</v>
      </c>
      <c r="C9" s="802">
        <v>174.1</v>
      </c>
      <c r="D9" s="562">
        <v>19</v>
      </c>
      <c r="E9" s="562"/>
      <c r="F9" s="562">
        <v>9.3000000000000007</v>
      </c>
      <c r="G9" s="562">
        <v>51.38</v>
      </c>
      <c r="H9" s="562"/>
      <c r="I9" s="562"/>
      <c r="J9" s="562">
        <v>0</v>
      </c>
      <c r="K9" s="562">
        <v>0</v>
      </c>
      <c r="L9" s="605">
        <f t="shared" si="0"/>
        <v>0</v>
      </c>
      <c r="M9" s="606">
        <f t="shared" si="1"/>
        <v>0.30533611111111109</v>
      </c>
      <c r="N9" s="606"/>
      <c r="O9" s="606">
        <v>1</v>
      </c>
      <c r="P9" s="607"/>
      <c r="Q9" s="607"/>
      <c r="R9" s="533">
        <v>6</v>
      </c>
      <c r="S9" s="510">
        <v>6</v>
      </c>
      <c r="T9" s="511"/>
      <c r="U9" s="632"/>
    </row>
    <row r="10" spans="1:999" x14ac:dyDescent="0.25">
      <c r="A10" s="800" t="s">
        <v>107</v>
      </c>
      <c r="B10" s="798">
        <f>'Resumo Proposta'!D31</f>
        <v>0.02</v>
      </c>
      <c r="C10" s="802">
        <v>959.92</v>
      </c>
      <c r="D10" s="562">
        <v>1697</v>
      </c>
      <c r="E10" s="562">
        <v>182</v>
      </c>
      <c r="F10" s="562">
        <v>98</v>
      </c>
      <c r="G10" s="562">
        <v>264.07</v>
      </c>
      <c r="H10" s="562"/>
      <c r="I10" s="562">
        <v>222.62</v>
      </c>
      <c r="J10" s="562">
        <v>0</v>
      </c>
      <c r="K10" s="562">
        <f>107*1.12+3*21.85</f>
        <v>185.39000000000004</v>
      </c>
      <c r="L10" s="605">
        <f t="shared" si="0"/>
        <v>185.39000000000004</v>
      </c>
      <c r="M10" s="606">
        <f t="shared" si="1"/>
        <v>3.269749307800121</v>
      </c>
      <c r="N10" s="606"/>
      <c r="O10" s="606">
        <v>3</v>
      </c>
      <c r="P10" s="607"/>
      <c r="Q10" s="607">
        <v>1</v>
      </c>
      <c r="R10" s="533">
        <v>6</v>
      </c>
      <c r="S10" s="510">
        <v>6</v>
      </c>
      <c r="T10" s="511"/>
      <c r="U10" s="632"/>
    </row>
    <row r="11" spans="1:999" x14ac:dyDescent="0.25">
      <c r="A11" s="800" t="s">
        <v>110</v>
      </c>
      <c r="B11" s="798">
        <f>'Resumo Proposta'!D32</f>
        <v>0.02</v>
      </c>
      <c r="C11" s="802">
        <v>596.27</v>
      </c>
      <c r="D11" s="562">
        <v>1271.3800000000001</v>
      </c>
      <c r="E11" s="562">
        <v>31.65</v>
      </c>
      <c r="F11" s="562">
        <v>46.3</v>
      </c>
      <c r="G11" s="562">
        <v>257.76</v>
      </c>
      <c r="H11" s="562">
        <v>6</v>
      </c>
      <c r="I11" s="562">
        <v>120</v>
      </c>
      <c r="J11" s="562">
        <v>0</v>
      </c>
      <c r="K11" s="562">
        <f>28.5+112.93</f>
        <v>141.43</v>
      </c>
      <c r="L11" s="605">
        <f t="shared" si="0"/>
        <v>141.43</v>
      </c>
      <c r="M11" s="606">
        <f t="shared" si="1"/>
        <v>2.0824296039247829</v>
      </c>
      <c r="N11" s="606"/>
      <c r="O11" s="606">
        <v>2</v>
      </c>
      <c r="P11" s="607"/>
      <c r="Q11" s="607">
        <v>1</v>
      </c>
      <c r="R11" s="533">
        <v>6</v>
      </c>
      <c r="S11" s="510">
        <v>6</v>
      </c>
      <c r="T11" s="511"/>
      <c r="U11" s="632"/>
    </row>
    <row r="12" spans="1:999" x14ac:dyDescent="0.25">
      <c r="A12" s="800" t="s">
        <v>113</v>
      </c>
      <c r="B12" s="798">
        <f>'Resumo Proposta'!D33</f>
        <v>0.03</v>
      </c>
      <c r="C12" s="802">
        <v>374</v>
      </c>
      <c r="D12" s="562">
        <v>382</v>
      </c>
      <c r="E12" s="562">
        <v>39.700000000000003</v>
      </c>
      <c r="F12" s="562">
        <v>41</v>
      </c>
      <c r="G12" s="562">
        <v>269.70999999999998</v>
      </c>
      <c r="H12" s="562">
        <v>1053.18</v>
      </c>
      <c r="I12" s="562">
        <v>368.21</v>
      </c>
      <c r="J12" s="562">
        <v>0</v>
      </c>
      <c r="K12" s="562">
        <f>70.98+6.24+12.48+0.96</f>
        <v>90.66</v>
      </c>
      <c r="L12" s="605">
        <f t="shared" si="0"/>
        <v>90.66</v>
      </c>
      <c r="M12" s="606">
        <f t="shared" si="1"/>
        <v>1.2290513676120793</v>
      </c>
      <c r="N12" s="606"/>
      <c r="O12" s="606">
        <v>2</v>
      </c>
      <c r="P12" s="607">
        <v>2</v>
      </c>
      <c r="Q12" s="607"/>
      <c r="R12" s="533">
        <v>6</v>
      </c>
      <c r="S12" s="510">
        <v>6</v>
      </c>
      <c r="T12" s="511"/>
      <c r="U12" s="632"/>
    </row>
    <row r="13" spans="1:999" x14ac:dyDescent="0.25">
      <c r="A13" s="800" t="s">
        <v>116</v>
      </c>
      <c r="B13" s="798">
        <f>'Resumo Proposta'!D34</f>
        <v>2.5000000000000001E-2</v>
      </c>
      <c r="C13" s="802">
        <v>374.46</v>
      </c>
      <c r="D13" s="562">
        <v>54.12</v>
      </c>
      <c r="E13" s="562">
        <v>70.349999999999994</v>
      </c>
      <c r="F13" s="562">
        <v>30.38</v>
      </c>
      <c r="G13" s="562"/>
      <c r="H13" s="562"/>
      <c r="I13" s="562">
        <v>30</v>
      </c>
      <c r="J13" s="562">
        <v>0</v>
      </c>
      <c r="K13" s="562">
        <f>9.09*2</f>
        <v>18.18</v>
      </c>
      <c r="L13" s="605">
        <f t="shared" si="0"/>
        <v>18.18</v>
      </c>
      <c r="M13" s="606">
        <f t="shared" si="1"/>
        <v>0.7395155497373439</v>
      </c>
      <c r="N13" s="606"/>
      <c r="O13" s="606">
        <v>1</v>
      </c>
      <c r="P13" s="607"/>
      <c r="Q13" s="607">
        <v>1</v>
      </c>
      <c r="R13" s="533">
        <v>6</v>
      </c>
      <c r="S13" s="510">
        <v>6</v>
      </c>
      <c r="T13" s="511"/>
      <c r="U13" s="632"/>
    </row>
    <row r="14" spans="1:999" x14ac:dyDescent="0.25">
      <c r="A14" s="800" t="s">
        <v>119</v>
      </c>
      <c r="B14" s="798">
        <f>'Resumo Proposta'!D35</f>
        <v>0.03</v>
      </c>
      <c r="C14" s="802">
        <v>258.60000000000002</v>
      </c>
      <c r="D14" s="562">
        <v>21.85</v>
      </c>
      <c r="E14" s="562">
        <v>33.79</v>
      </c>
      <c r="F14" s="562">
        <v>24.05</v>
      </c>
      <c r="G14" s="562">
        <v>314.49</v>
      </c>
      <c r="H14" s="562">
        <v>128.33000000000001</v>
      </c>
      <c r="I14" s="562">
        <v>232.21</v>
      </c>
      <c r="J14" s="562">
        <v>0</v>
      </c>
      <c r="K14" s="562">
        <v>69.77</v>
      </c>
      <c r="L14" s="605">
        <f t="shared" si="0"/>
        <v>69.77</v>
      </c>
      <c r="M14" s="606">
        <f t="shared" si="1"/>
        <v>0.73768443064766176</v>
      </c>
      <c r="N14" s="606"/>
      <c r="O14" s="606">
        <v>1</v>
      </c>
      <c r="P14" s="607"/>
      <c r="Q14" s="607"/>
      <c r="R14" s="533">
        <v>6</v>
      </c>
      <c r="S14" s="510">
        <v>6</v>
      </c>
      <c r="T14" s="511"/>
      <c r="U14" s="632"/>
    </row>
    <row r="15" spans="1:999" x14ac:dyDescent="0.25">
      <c r="A15" s="807" t="s">
        <v>122</v>
      </c>
      <c r="B15" s="808">
        <f>'Resumo Proposta'!D36</f>
        <v>3.5000000000000003E-2</v>
      </c>
      <c r="C15" s="803">
        <v>258.60000000000002</v>
      </c>
      <c r="D15" s="633">
        <v>21.85</v>
      </c>
      <c r="E15" s="633">
        <v>33.79</v>
      </c>
      <c r="F15" s="633">
        <v>24.05</v>
      </c>
      <c r="G15" s="633">
        <v>611.16</v>
      </c>
      <c r="H15" s="633">
        <v>278</v>
      </c>
      <c r="I15" s="633">
        <v>175.23</v>
      </c>
      <c r="J15" s="633">
        <v>0</v>
      </c>
      <c r="K15" s="633">
        <v>69.77</v>
      </c>
      <c r="L15" s="634">
        <f t="shared" si="0"/>
        <v>69.77</v>
      </c>
      <c r="M15" s="635">
        <f t="shared" si="1"/>
        <v>0.8945011306476619</v>
      </c>
      <c r="N15" s="635"/>
      <c r="O15" s="635">
        <v>1</v>
      </c>
      <c r="P15" s="636"/>
      <c r="Q15" s="636"/>
      <c r="R15" s="637">
        <v>6</v>
      </c>
      <c r="S15" s="638">
        <v>6</v>
      </c>
      <c r="T15" s="639"/>
      <c r="U15" s="640"/>
    </row>
    <row r="16" spans="1:999" x14ac:dyDescent="0.25">
      <c r="A16" s="804" t="s">
        <v>442</v>
      </c>
      <c r="B16" s="805"/>
      <c r="C16" s="806">
        <f t="shared" ref="C16:U16" si="2">SUM(C4:C15)</f>
        <v>6391.87</v>
      </c>
      <c r="D16" s="614">
        <f t="shared" si="2"/>
        <v>5263.55</v>
      </c>
      <c r="E16" s="614">
        <f t="shared" si="2"/>
        <v>839.83999999999992</v>
      </c>
      <c r="F16" s="614">
        <f t="shared" si="2"/>
        <v>515.29999999999995</v>
      </c>
      <c r="G16" s="614">
        <f t="shared" si="2"/>
        <v>3688.45</v>
      </c>
      <c r="H16" s="614">
        <f t="shared" si="2"/>
        <v>2541.67</v>
      </c>
      <c r="I16" s="614">
        <f t="shared" si="2"/>
        <v>1910.6200000000001</v>
      </c>
      <c r="J16" s="614">
        <f t="shared" si="2"/>
        <v>0</v>
      </c>
      <c r="K16" s="614">
        <f t="shared" si="2"/>
        <v>1091.8599999999999</v>
      </c>
      <c r="L16" s="615">
        <f t="shared" si="2"/>
        <v>1091.8599999999999</v>
      </c>
      <c r="M16" s="616">
        <f t="shared" si="2"/>
        <v>17.795308965468447</v>
      </c>
      <c r="N16" s="617">
        <f t="shared" si="2"/>
        <v>1</v>
      </c>
      <c r="O16" s="618">
        <f t="shared" si="2"/>
        <v>17</v>
      </c>
      <c r="P16" s="619">
        <f t="shared" si="2"/>
        <v>2</v>
      </c>
      <c r="Q16" s="619">
        <f t="shared" si="2"/>
        <v>7</v>
      </c>
      <c r="R16" s="620">
        <f t="shared" si="2"/>
        <v>72</v>
      </c>
      <c r="S16" s="621">
        <f t="shared" si="2"/>
        <v>72</v>
      </c>
      <c r="T16" s="622">
        <f t="shared" si="2"/>
        <v>22</v>
      </c>
      <c r="U16" s="623">
        <f t="shared" si="2"/>
        <v>1</v>
      </c>
    </row>
    <row r="17" spans="1:17" x14ac:dyDescent="0.25">
      <c r="A17" s="575" t="s">
        <v>443</v>
      </c>
      <c r="B17" s="575"/>
      <c r="C17" s="576">
        <v>800</v>
      </c>
      <c r="D17" s="577">
        <v>1500</v>
      </c>
      <c r="E17" s="577">
        <v>1000</v>
      </c>
      <c r="F17" s="577">
        <v>200</v>
      </c>
      <c r="G17" s="577">
        <v>1800</v>
      </c>
      <c r="H17" s="577">
        <v>100000</v>
      </c>
      <c r="I17" s="577">
        <v>6000</v>
      </c>
      <c r="J17" s="577">
        <v>160</v>
      </c>
      <c r="K17" s="577">
        <v>380</v>
      </c>
      <c r="L17" s="578">
        <v>380</v>
      </c>
      <c r="M17" s="579"/>
      <c r="N17" s="185" t="s">
        <v>614</v>
      </c>
      <c r="O17" s="170">
        <f>N16+O16</f>
        <v>18</v>
      </c>
      <c r="P17" s="170"/>
      <c r="Q17" s="170"/>
    </row>
    <row r="18" spans="1:17" x14ac:dyDescent="0.25">
      <c r="A18" s="580" t="s">
        <v>445</v>
      </c>
      <c r="B18" s="580"/>
      <c r="C18" s="581">
        <f t="shared" ref="C18:I18" si="3">C16/C17</f>
        <v>7.9898375000000001</v>
      </c>
      <c r="D18" s="582">
        <f t="shared" si="3"/>
        <v>3.5090333333333334</v>
      </c>
      <c r="E18" s="582">
        <f t="shared" si="3"/>
        <v>0.83983999999999992</v>
      </c>
      <c r="F18" s="582">
        <f t="shared" si="3"/>
        <v>2.5764999999999998</v>
      </c>
      <c r="G18" s="582">
        <f t="shared" si="3"/>
        <v>2.0491388888888888</v>
      </c>
      <c r="H18" s="582">
        <f t="shared" si="3"/>
        <v>2.54167E-2</v>
      </c>
      <c r="I18" s="582">
        <f t="shared" si="3"/>
        <v>0.3184366666666667</v>
      </c>
      <c r="J18" s="582">
        <f>1/J17*8*1/1132.6*J16</f>
        <v>0</v>
      </c>
      <c r="K18" s="582">
        <f>1/K17*16*1/188.76*K16</f>
        <v>0.24355293828978039</v>
      </c>
      <c r="L18" s="583">
        <f>1/L17*16*1/188.76*L16</f>
        <v>0.24355293828978039</v>
      </c>
      <c r="M18" s="579">
        <f>SUM(C18:L18)</f>
        <v>17.795308965468454</v>
      </c>
      <c r="N18" s="170" t="s">
        <v>615</v>
      </c>
      <c r="O18" s="170">
        <f>O16+(N16*0.7)</f>
        <v>17.7</v>
      </c>
      <c r="P18" s="170"/>
      <c r="Q18" s="170"/>
    </row>
    <row r="19" spans="1:17" x14ac:dyDescent="0.25">
      <c r="A19" s="584" t="s">
        <v>447</v>
      </c>
      <c r="B19" s="584"/>
      <c r="C19" s="585">
        <f>C16/($M$16*C17)</f>
        <v>0.44898560151465594</v>
      </c>
      <c r="D19" s="585">
        <f t="shared" ref="D19:I19" si="4">D16/($M$16*D17)</f>
        <v>0.19718867147193481</v>
      </c>
      <c r="E19" s="585">
        <f t="shared" si="4"/>
        <v>4.7194460159680166E-2</v>
      </c>
      <c r="F19" s="585">
        <f t="shared" si="4"/>
        <v>0.14478534792509998</v>
      </c>
      <c r="G19" s="585">
        <f t="shared" si="4"/>
        <v>0.11515050920808483</v>
      </c>
      <c r="H19" s="585">
        <f t="shared" si="4"/>
        <v>1.428280905339759E-3</v>
      </c>
      <c r="I19" s="585">
        <f t="shared" si="4"/>
        <v>1.7894416291652407E-2</v>
      </c>
      <c r="J19" s="586">
        <f>J18/4</f>
        <v>0</v>
      </c>
      <c r="K19" s="586">
        <f>1/M16*1/K17*16*1/188.76*K16</f>
        <v>1.3686356261776153E-2</v>
      </c>
      <c r="L19" s="587">
        <f>1/M16*1/L17*16*1/188.76*L16</f>
        <v>1.3686356261776153E-2</v>
      </c>
      <c r="M19" s="588">
        <f>SUM(C19:L19)</f>
        <v>1.0000000000000002</v>
      </c>
      <c r="N19" s="170"/>
      <c r="O19" s="170"/>
      <c r="P19" s="170"/>
      <c r="Q19" s="170"/>
    </row>
    <row r="20" spans="1:17" x14ac:dyDescent="0.25">
      <c r="C20" s="756" t="s">
        <v>448</v>
      </c>
      <c r="D20" s="757" t="s">
        <v>449</v>
      </c>
      <c r="E20" s="757" t="s">
        <v>450</v>
      </c>
      <c r="F20" s="757" t="s">
        <v>451</v>
      </c>
      <c r="G20" s="758" t="s">
        <v>452</v>
      </c>
      <c r="H20" s="759">
        <v>100000</v>
      </c>
      <c r="I20" s="758" t="s">
        <v>453</v>
      </c>
      <c r="J20" s="758" t="s">
        <v>454</v>
      </c>
      <c r="K20" s="760" t="s">
        <v>455</v>
      </c>
      <c r="L20" s="761" t="s">
        <v>455</v>
      </c>
    </row>
    <row r="22" spans="1:17" ht="13.9" customHeight="1" x14ac:dyDescent="0.25"/>
    <row r="23" spans="1:17" ht="13.9" hidden="1" customHeight="1" x14ac:dyDescent="0.25"/>
    <row r="24" spans="1:17" ht="13.9" hidden="1" customHeight="1" x14ac:dyDescent="0.25">
      <c r="I24" s="92"/>
      <c r="J24" s="92"/>
      <c r="K24" s="92"/>
      <c r="L24" s="92"/>
      <c r="M24" s="92">
        <f>30/7</f>
        <v>4.2857142857142856</v>
      </c>
      <c r="N24" s="92"/>
      <c r="O24" s="92"/>
      <c r="P24" s="92"/>
      <c r="Q24" s="92"/>
    </row>
    <row r="25" spans="1:17" ht="13.9" hidden="1" customHeight="1" x14ac:dyDescent="0.25">
      <c r="I25" s="92"/>
      <c r="J25" s="92"/>
      <c r="K25" s="92"/>
      <c r="L25" s="92"/>
      <c r="M25" s="92"/>
      <c r="N25" s="92"/>
      <c r="O25" s="92"/>
      <c r="P25" s="92"/>
      <c r="Q25" s="92"/>
    </row>
    <row r="26" spans="1:17" ht="13.9" hidden="1" customHeight="1" x14ac:dyDescent="0.25">
      <c r="I26" s="92"/>
      <c r="J26" s="92"/>
      <c r="K26" s="92"/>
      <c r="L26" s="92"/>
      <c r="M26" s="92"/>
      <c r="N26" s="92"/>
      <c r="O26" s="92"/>
      <c r="P26" s="92"/>
      <c r="Q26" s="92"/>
    </row>
    <row r="27" spans="1:17" ht="13.9" hidden="1" customHeight="1" x14ac:dyDescent="0.25">
      <c r="I27" s="92"/>
      <c r="J27" s="92"/>
      <c r="K27" s="92"/>
      <c r="L27" s="92"/>
      <c r="M27" s="92"/>
      <c r="N27" s="92"/>
      <c r="O27" s="92"/>
      <c r="P27" s="92"/>
      <c r="Q27" s="92"/>
    </row>
    <row r="28" spans="1:17" ht="13.9" hidden="1" customHeight="1" x14ac:dyDescent="0.25"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3.9" hidden="1" customHeight="1" x14ac:dyDescent="0.25">
      <c r="H29"/>
      <c r="I29"/>
      <c r="J29"/>
      <c r="K29"/>
      <c r="L29"/>
      <c r="M29"/>
      <c r="N29"/>
      <c r="O29"/>
      <c r="P29"/>
      <c r="Q29"/>
    </row>
    <row r="30" spans="1:17" ht="13.9" hidden="1" customHeight="1" x14ac:dyDescent="0.25">
      <c r="H30" s="92">
        <f>30/7</f>
        <v>4.2857142857142856</v>
      </c>
      <c r="I30" s="92">
        <v>40</v>
      </c>
      <c r="J30" s="92">
        <f>H30*I30</f>
        <v>171.42857142857142</v>
      </c>
      <c r="K30" s="92"/>
      <c r="L30" s="92"/>
      <c r="M30" s="92"/>
      <c r="N30" s="92"/>
      <c r="O30" s="92"/>
      <c r="P30" s="92"/>
      <c r="Q30" s="92"/>
    </row>
    <row r="31" spans="1:17" ht="13.9" hidden="1" customHeight="1" x14ac:dyDescent="0.25">
      <c r="H31" s="92"/>
      <c r="I31" s="92"/>
      <c r="J31" s="92">
        <f>J30*6</f>
        <v>1028.5714285714284</v>
      </c>
      <c r="K31" s="92" t="s">
        <v>616</v>
      </c>
      <c r="L31" s="92"/>
      <c r="M31" s="92"/>
      <c r="N31" s="92"/>
      <c r="O31" s="92"/>
      <c r="P31" s="92"/>
      <c r="Q31" s="92"/>
    </row>
    <row r="66" spans="5:5" x14ac:dyDescent="0.25">
      <c r="E66" s="171" t="s">
        <v>617</v>
      </c>
    </row>
  </sheetData>
  <mergeCells count="18">
    <mergeCell ref="P2:Q2"/>
    <mergeCell ref="G2:G3"/>
    <mergeCell ref="H2:H3"/>
    <mergeCell ref="I2:I3"/>
    <mergeCell ref="J2:J3"/>
    <mergeCell ref="C1:F1"/>
    <mergeCell ref="K2:K3"/>
    <mergeCell ref="N2:O2"/>
    <mergeCell ref="A2:A3"/>
    <mergeCell ref="C2:C3"/>
    <mergeCell ref="D2:D3"/>
    <mergeCell ref="E2:E3"/>
    <mergeCell ref="F2:F3"/>
    <mergeCell ref="G1:I1"/>
    <mergeCell ref="J1:L1"/>
    <mergeCell ref="L2:L3"/>
    <mergeCell ref="M2:M3"/>
    <mergeCell ref="B2:B3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C8DA"/>
  </sheetPr>
  <dimension ref="A1:AMI199"/>
  <sheetViews>
    <sheetView topLeftCell="D133" zoomScale="80" zoomScaleNormal="80" workbookViewId="0">
      <selection activeCell="O155" sqref="O155:AB200"/>
    </sheetView>
  </sheetViews>
  <sheetFormatPr defaultRowHeight="14.25" x14ac:dyDescent="0.2"/>
  <cols>
    <col min="1" max="1" width="49.125" style="92" bestFit="1" customWidth="1"/>
    <col min="2" max="2" width="21.375" style="92" bestFit="1" customWidth="1"/>
    <col min="3" max="4" width="10.75" style="92" bestFit="1" customWidth="1"/>
    <col min="5" max="5" width="16.75" style="92" customWidth="1"/>
    <col min="6" max="6" width="10.75" style="92" customWidth="1"/>
    <col min="7" max="1023" width="9" style="92"/>
  </cols>
  <sheetData>
    <row r="1" spans="1:6" ht="15.75" x14ac:dyDescent="0.2">
      <c r="A1" s="1043" t="s">
        <v>456</v>
      </c>
      <c r="B1" s="1043"/>
      <c r="C1" s="1043"/>
      <c r="D1" s="1043"/>
      <c r="E1" s="1043"/>
      <c r="F1" s="1043"/>
    </row>
    <row r="2" spans="1:6" ht="15.75" x14ac:dyDescent="0.2">
      <c r="A2" s="1044" t="s">
        <v>457</v>
      </c>
      <c r="B2" s="1044"/>
      <c r="C2" s="1044"/>
      <c r="D2" s="1044"/>
      <c r="E2" s="1044"/>
      <c r="F2" s="1044"/>
    </row>
    <row r="3" spans="1:6" ht="15.75" customHeight="1" x14ac:dyDescent="0.2">
      <c r="A3" s="1044" t="s">
        <v>458</v>
      </c>
      <c r="B3" s="1044"/>
      <c r="C3" s="1044"/>
      <c r="D3" s="1044"/>
      <c r="E3" s="1044"/>
      <c r="F3" s="1044"/>
    </row>
    <row r="4" spans="1:6" ht="15.75" x14ac:dyDescent="0.2">
      <c r="A4" s="93"/>
      <c r="B4" s="94"/>
      <c r="C4" s="467" t="s">
        <v>459</v>
      </c>
      <c r="D4" s="468" t="s">
        <v>460</v>
      </c>
      <c r="E4" s="468" t="s">
        <v>461</v>
      </c>
      <c r="F4" s="539" t="s">
        <v>462</v>
      </c>
    </row>
    <row r="5" spans="1:6" x14ac:dyDescent="0.2">
      <c r="A5" s="96"/>
      <c r="B5" s="97" t="s">
        <v>463</v>
      </c>
      <c r="C5" s="469">
        <f>MC!C11</f>
        <v>1322.72</v>
      </c>
      <c r="D5" s="470">
        <f>MC!E11</f>
        <v>1082.2254545454546</v>
      </c>
      <c r="E5" s="470">
        <f>MC!C14</f>
        <v>1322.72</v>
      </c>
      <c r="F5" s="540">
        <f>MC!C12</f>
        <v>1809.07</v>
      </c>
    </row>
    <row r="6" spans="1:6" x14ac:dyDescent="0.2">
      <c r="A6" s="96"/>
      <c r="B6" s="97" t="s">
        <v>464</v>
      </c>
      <c r="C6" s="471">
        <v>44562</v>
      </c>
      <c r="D6" s="472">
        <v>44562</v>
      </c>
      <c r="E6" s="472">
        <v>44562</v>
      </c>
      <c r="F6" s="541">
        <f>MC!D8</f>
        <v>44593</v>
      </c>
    </row>
    <row r="7" spans="1:6" x14ac:dyDescent="0.2">
      <c r="A7" s="96"/>
      <c r="B7" s="97" t="s">
        <v>465</v>
      </c>
      <c r="C7" s="473" t="s">
        <v>9</v>
      </c>
      <c r="D7" s="474" t="s">
        <v>9</v>
      </c>
      <c r="E7" s="474" t="s">
        <v>9</v>
      </c>
      <c r="F7" s="475" t="s">
        <v>9</v>
      </c>
    </row>
    <row r="8" spans="1:6" x14ac:dyDescent="0.2">
      <c r="A8" s="96"/>
      <c r="B8" s="97" t="s">
        <v>466</v>
      </c>
      <c r="C8" s="476" t="s">
        <v>10</v>
      </c>
      <c r="D8" s="477" t="s">
        <v>10</v>
      </c>
      <c r="E8" s="477" t="s">
        <v>10</v>
      </c>
      <c r="F8" s="542" t="str">
        <f>MC!E8</f>
        <v>5143-20</v>
      </c>
    </row>
    <row r="9" spans="1:6" x14ac:dyDescent="0.2">
      <c r="A9" s="1045"/>
      <c r="B9" s="1045"/>
      <c r="C9" s="1045"/>
      <c r="D9" s="1045"/>
      <c r="E9" s="1045"/>
      <c r="F9" s="1045"/>
    </row>
    <row r="10" spans="1:6" ht="66.75" customHeight="1" x14ac:dyDescent="0.2">
      <c r="A10" s="187" t="s">
        <v>467</v>
      </c>
      <c r="B10" s="188" t="s">
        <v>468</v>
      </c>
      <c r="C10" s="188" t="s">
        <v>469</v>
      </c>
      <c r="D10" s="254" t="s">
        <v>460</v>
      </c>
      <c r="E10" s="188" t="s">
        <v>461</v>
      </c>
      <c r="F10" s="188" t="s">
        <v>470</v>
      </c>
    </row>
    <row r="11" spans="1:6" ht="14.25" customHeight="1" x14ac:dyDescent="0.2">
      <c r="A11" s="321" t="s">
        <v>471</v>
      </c>
      <c r="B11" s="321"/>
      <c r="C11" s="321"/>
      <c r="D11" s="321"/>
      <c r="E11" s="321"/>
      <c r="F11" s="321"/>
    </row>
    <row r="12" spans="1:6" ht="15.75" customHeight="1" x14ac:dyDescent="0.2">
      <c r="A12" s="101" t="s">
        <v>472</v>
      </c>
      <c r="B12" s="102" t="s">
        <v>473</v>
      </c>
      <c r="C12" s="102" t="s">
        <v>474</v>
      </c>
      <c r="D12" s="102" t="s">
        <v>474</v>
      </c>
      <c r="E12" s="189"/>
      <c r="F12" s="103" t="s">
        <v>474</v>
      </c>
    </row>
    <row r="13" spans="1:6" ht="15.75" customHeight="1" x14ac:dyDescent="0.2">
      <c r="A13" s="104" t="s">
        <v>475</v>
      </c>
      <c r="B13" s="105"/>
      <c r="C13" s="106">
        <f>C5</f>
        <v>1322.72</v>
      </c>
      <c r="D13" s="190">
        <f>D5</f>
        <v>1082.2254545454546</v>
      </c>
      <c r="E13" s="190">
        <f>E5</f>
        <v>1322.72</v>
      </c>
      <c r="F13" s="107">
        <f>F5</f>
        <v>1809.07</v>
      </c>
    </row>
    <row r="14" spans="1:6" ht="15.75" customHeight="1" x14ac:dyDescent="0.2">
      <c r="A14" s="104" t="s">
        <v>476</v>
      </c>
      <c r="B14" s="108">
        <v>0.2</v>
      </c>
      <c r="C14" s="106">
        <f>C13*$B$14</f>
        <v>264.54400000000004</v>
      </c>
      <c r="D14" s="106">
        <f>D13*$B$14</f>
        <v>216.44509090909094</v>
      </c>
      <c r="E14" s="106"/>
      <c r="F14" s="107">
        <f>F13*$B$14</f>
        <v>361.81400000000002</v>
      </c>
    </row>
    <row r="15" spans="1:6" ht="15.75" customHeight="1" x14ac:dyDescent="0.2">
      <c r="A15" s="104" t="s">
        <v>477</v>
      </c>
      <c r="B15" s="109"/>
      <c r="C15" s="106"/>
      <c r="D15" s="190"/>
      <c r="E15" s="190"/>
      <c r="F15" s="107"/>
    </row>
    <row r="16" spans="1:6" ht="15.75" customHeight="1" x14ac:dyDescent="0.2">
      <c r="A16" s="104" t="s">
        <v>478</v>
      </c>
      <c r="B16" s="109"/>
      <c r="C16" s="106"/>
      <c r="D16" s="190"/>
      <c r="E16" s="190"/>
      <c r="F16" s="107"/>
    </row>
    <row r="17" spans="1:6" ht="15.75" customHeight="1" x14ac:dyDescent="0.2">
      <c r="A17" s="104" t="s">
        <v>479</v>
      </c>
      <c r="B17" s="109"/>
      <c r="C17" s="106"/>
      <c r="D17" s="190"/>
      <c r="E17" s="190"/>
      <c r="F17" s="107"/>
    </row>
    <row r="18" spans="1:6" ht="15.75" customHeight="1" x14ac:dyDescent="0.2">
      <c r="A18" s="104" t="s">
        <v>480</v>
      </c>
      <c r="B18" s="108">
        <v>0.3</v>
      </c>
      <c r="C18" s="106"/>
      <c r="D18" s="106"/>
      <c r="E18" s="190">
        <f>E13*B18</f>
        <v>396.81599999999997</v>
      </c>
      <c r="F18" s="107"/>
    </row>
    <row r="19" spans="1:6" ht="15.75" customHeight="1" x14ac:dyDescent="0.2">
      <c r="A19" s="111" t="s">
        <v>481</v>
      </c>
      <c r="B19" s="112"/>
      <c r="C19" s="121">
        <f>SUM(C13:C18)</f>
        <v>1587.2640000000001</v>
      </c>
      <c r="D19" s="191">
        <f>SUM(D13:D18)</f>
        <v>1298.6705454545454</v>
      </c>
      <c r="E19" s="191">
        <f>SUM(E13:E18)</f>
        <v>1719.5360000000001</v>
      </c>
      <c r="F19" s="122">
        <f>SUM(F13:F18)</f>
        <v>2170.884</v>
      </c>
    </row>
    <row r="20" spans="1:6" ht="15.75" customHeight="1" x14ac:dyDescent="0.2">
      <c r="A20" s="1037"/>
      <c r="B20" s="1037"/>
      <c r="C20" s="114"/>
      <c r="D20" s="192"/>
      <c r="E20" s="192"/>
      <c r="F20" s="115"/>
    </row>
    <row r="21" spans="1:6" ht="14.25" customHeight="1" x14ac:dyDescent="0.2">
      <c r="A21" s="1042" t="s">
        <v>482</v>
      </c>
      <c r="B21" s="1042"/>
      <c r="C21" s="1042"/>
      <c r="D21" s="1042"/>
      <c r="E21" s="1042"/>
      <c r="F21" s="1042"/>
    </row>
    <row r="22" spans="1:6" ht="28.35" customHeight="1" x14ac:dyDescent="0.2">
      <c r="A22" s="116" t="s">
        <v>483</v>
      </c>
      <c r="B22" s="117" t="s">
        <v>473</v>
      </c>
      <c r="C22" s="117" t="s">
        <v>474</v>
      </c>
      <c r="D22" s="117" t="s">
        <v>474</v>
      </c>
      <c r="E22" s="117" t="s">
        <v>474</v>
      </c>
      <c r="F22" s="118" t="s">
        <v>474</v>
      </c>
    </row>
    <row r="23" spans="1:6" ht="15.75" customHeight="1" x14ac:dyDescent="0.2">
      <c r="A23" s="119" t="s">
        <v>484</v>
      </c>
      <c r="B23" s="108">
        <f>1/12</f>
        <v>8.3333333333333329E-2</v>
      </c>
      <c r="C23" s="106">
        <f>ROUND($B23*C$19,2)</f>
        <v>132.27000000000001</v>
      </c>
      <c r="D23" s="106">
        <f>ROUND($B23*D$19,2)</f>
        <v>108.22</v>
      </c>
      <c r="E23" s="106">
        <f>ROUND($B23*E$19,2)</f>
        <v>143.29</v>
      </c>
      <c r="F23" s="107">
        <f>ROUND($B23*F$19,2)</f>
        <v>180.91</v>
      </c>
    </row>
    <row r="24" spans="1:6" x14ac:dyDescent="0.2">
      <c r="A24" s="119" t="s">
        <v>485</v>
      </c>
      <c r="B24" s="108">
        <f>1/3*1/12</f>
        <v>2.7777777777777776E-2</v>
      </c>
      <c r="C24" s="106">
        <f>C$19*$B$24</f>
        <v>44.090666666666671</v>
      </c>
      <c r="D24" s="106">
        <f>D$19*$B$24</f>
        <v>36.074181818181813</v>
      </c>
      <c r="E24" s="106">
        <f>E$19*$B$24</f>
        <v>47.764888888888891</v>
      </c>
      <c r="F24" s="107">
        <f>F$19*$B$24</f>
        <v>60.30233333333333</v>
      </c>
    </row>
    <row r="25" spans="1:6" ht="14.25" customHeight="1" x14ac:dyDescent="0.2">
      <c r="A25" s="111" t="s">
        <v>481</v>
      </c>
      <c r="B25" s="120">
        <f>SUM(B23:B24)</f>
        <v>0.1111111111111111</v>
      </c>
      <c r="C25" s="121">
        <f>SUM(C23:C24)</f>
        <v>176.36066666666667</v>
      </c>
      <c r="D25" s="121">
        <f>SUM(D23:D24)</f>
        <v>144.29418181818181</v>
      </c>
      <c r="E25" s="121">
        <f>SUM(E23:E24)</f>
        <v>191.05488888888888</v>
      </c>
      <c r="F25" s="122">
        <f>SUM(F23:F24)</f>
        <v>241.21233333333333</v>
      </c>
    </row>
    <row r="26" spans="1:6" x14ac:dyDescent="0.2">
      <c r="A26" s="116" t="s">
        <v>486</v>
      </c>
      <c r="B26" s="117" t="s">
        <v>473</v>
      </c>
      <c r="C26" s="117" t="s">
        <v>474</v>
      </c>
      <c r="D26" s="117" t="s">
        <v>474</v>
      </c>
      <c r="E26" s="117" t="s">
        <v>474</v>
      </c>
      <c r="F26" s="118" t="s">
        <v>474</v>
      </c>
    </row>
    <row r="27" spans="1:6" ht="15.75" customHeight="1" x14ac:dyDescent="0.2">
      <c r="A27" s="116" t="s">
        <v>487</v>
      </c>
      <c r="B27" s="123"/>
      <c r="C27" s="123"/>
      <c r="D27" s="123"/>
      <c r="E27" s="193"/>
      <c r="F27" s="124"/>
    </row>
    <row r="28" spans="1:6" ht="14.25" customHeight="1" x14ac:dyDescent="0.2">
      <c r="A28" s="119" t="s">
        <v>488</v>
      </c>
      <c r="B28" s="108">
        <v>0.2</v>
      </c>
      <c r="C28" s="125">
        <f t="shared" ref="C28:C35" si="0">ROUND(($C$19+$C$25)*B28,2)</f>
        <v>352.72</v>
      </c>
      <c r="D28" s="125">
        <f t="shared" ref="D28:D35" si="1">ROUND(($D$19+$D$25)*B28,2)</f>
        <v>288.58999999999997</v>
      </c>
      <c r="E28" s="125">
        <f t="shared" ref="E28:E35" si="2">ROUND(($E$19+$E$25)*B28,2)</f>
        <v>382.12</v>
      </c>
      <c r="F28" s="126">
        <f t="shared" ref="F28:F35" si="3">ROUND(($F$19+$F$25)*B28,2)</f>
        <v>482.42</v>
      </c>
    </row>
    <row r="29" spans="1:6" ht="15.75" customHeight="1" x14ac:dyDescent="0.2">
      <c r="A29" s="119" t="s">
        <v>489</v>
      </c>
      <c r="B29" s="108">
        <v>2.5000000000000001E-2</v>
      </c>
      <c r="C29" s="125">
        <f t="shared" si="0"/>
        <v>44.09</v>
      </c>
      <c r="D29" s="125">
        <f t="shared" si="1"/>
        <v>36.07</v>
      </c>
      <c r="E29" s="125">
        <f t="shared" si="2"/>
        <v>47.76</v>
      </c>
      <c r="F29" s="126">
        <f t="shared" si="3"/>
        <v>60.3</v>
      </c>
    </row>
    <row r="30" spans="1:6" ht="15.75" customHeight="1" x14ac:dyDescent="0.2">
      <c r="A30" s="119" t="s">
        <v>490</v>
      </c>
      <c r="B30" s="108">
        <v>0.03</v>
      </c>
      <c r="C30" s="125">
        <f t="shared" si="0"/>
        <v>52.91</v>
      </c>
      <c r="D30" s="125">
        <f t="shared" si="1"/>
        <v>43.29</v>
      </c>
      <c r="E30" s="125">
        <f t="shared" si="2"/>
        <v>57.32</v>
      </c>
      <c r="F30" s="126">
        <f t="shared" si="3"/>
        <v>72.36</v>
      </c>
    </row>
    <row r="31" spans="1:6" ht="15.75" customHeight="1" x14ac:dyDescent="0.2">
      <c r="A31" s="119" t="s">
        <v>491</v>
      </c>
      <c r="B31" s="108">
        <v>1.4999999999999999E-2</v>
      </c>
      <c r="C31" s="125">
        <f t="shared" si="0"/>
        <v>26.45</v>
      </c>
      <c r="D31" s="125">
        <f t="shared" si="1"/>
        <v>21.64</v>
      </c>
      <c r="E31" s="125">
        <f t="shared" si="2"/>
        <v>28.66</v>
      </c>
      <c r="F31" s="126">
        <f t="shared" si="3"/>
        <v>36.18</v>
      </c>
    </row>
    <row r="32" spans="1:6" ht="15.75" customHeight="1" x14ac:dyDescent="0.2">
      <c r="A32" s="119" t="s">
        <v>492</v>
      </c>
      <c r="B32" s="108">
        <v>0.01</v>
      </c>
      <c r="C32" s="125">
        <f t="shared" si="0"/>
        <v>17.64</v>
      </c>
      <c r="D32" s="125">
        <f t="shared" si="1"/>
        <v>14.43</v>
      </c>
      <c r="E32" s="125">
        <f t="shared" si="2"/>
        <v>19.11</v>
      </c>
      <c r="F32" s="126">
        <f t="shared" si="3"/>
        <v>24.12</v>
      </c>
    </row>
    <row r="33" spans="1:6" ht="15.75" customHeight="1" x14ac:dyDescent="0.2">
      <c r="A33" s="119" t="s">
        <v>493</v>
      </c>
      <c r="B33" s="108">
        <v>6.0000000000000001E-3</v>
      </c>
      <c r="C33" s="125">
        <f t="shared" si="0"/>
        <v>10.58</v>
      </c>
      <c r="D33" s="125">
        <f t="shared" si="1"/>
        <v>8.66</v>
      </c>
      <c r="E33" s="125">
        <f t="shared" si="2"/>
        <v>11.46</v>
      </c>
      <c r="F33" s="126">
        <f t="shared" si="3"/>
        <v>14.47</v>
      </c>
    </row>
    <row r="34" spans="1:6" ht="15.75" customHeight="1" x14ac:dyDescent="0.2">
      <c r="A34" s="119" t="s">
        <v>494</v>
      </c>
      <c r="B34" s="108">
        <v>2E-3</v>
      </c>
      <c r="C34" s="125">
        <f t="shared" si="0"/>
        <v>3.53</v>
      </c>
      <c r="D34" s="125">
        <f t="shared" si="1"/>
        <v>2.89</v>
      </c>
      <c r="E34" s="125">
        <f t="shared" si="2"/>
        <v>3.82</v>
      </c>
      <c r="F34" s="126">
        <f t="shared" si="3"/>
        <v>4.82</v>
      </c>
    </row>
    <row r="35" spans="1:6" ht="15.75" customHeight="1" x14ac:dyDescent="0.2">
      <c r="A35" s="119" t="s">
        <v>495</v>
      </c>
      <c r="B35" s="108">
        <v>0.08</v>
      </c>
      <c r="C35" s="125">
        <f t="shared" si="0"/>
        <v>141.09</v>
      </c>
      <c r="D35" s="125">
        <f t="shared" si="1"/>
        <v>115.44</v>
      </c>
      <c r="E35" s="125">
        <f t="shared" si="2"/>
        <v>152.85</v>
      </c>
      <c r="F35" s="126">
        <f t="shared" si="3"/>
        <v>192.97</v>
      </c>
    </row>
    <row r="36" spans="1:6" ht="15.75" customHeight="1" x14ac:dyDescent="0.2">
      <c r="A36" s="111" t="s">
        <v>481</v>
      </c>
      <c r="B36" s="120">
        <f>SUM(B28:B35)</f>
        <v>0.36800000000000005</v>
      </c>
      <c r="C36" s="121">
        <f>SUM(C27:C35)</f>
        <v>649.01</v>
      </c>
      <c r="D36" s="121">
        <f>SUM(D27:D35)</f>
        <v>531.01</v>
      </c>
      <c r="E36" s="191">
        <f>SUM(E28:E35)</f>
        <v>703.10000000000014</v>
      </c>
      <c r="F36" s="122">
        <f>SUM(F27:F35)</f>
        <v>887.6400000000001</v>
      </c>
    </row>
    <row r="37" spans="1:6" ht="15.75" customHeight="1" x14ac:dyDescent="0.2">
      <c r="A37" s="116" t="s">
        <v>496</v>
      </c>
      <c r="B37" s="117" t="s">
        <v>497</v>
      </c>
      <c r="C37" s="117" t="s">
        <v>474</v>
      </c>
      <c r="D37" s="117" t="s">
        <v>474</v>
      </c>
      <c r="E37" s="117" t="s">
        <v>474</v>
      </c>
      <c r="F37" s="118" t="s">
        <v>474</v>
      </c>
    </row>
    <row r="38" spans="1:6" ht="15.75" customHeight="1" x14ac:dyDescent="0.2">
      <c r="A38" s="119" t="s">
        <v>498</v>
      </c>
      <c r="B38" s="127">
        <f>MC!J86</f>
        <v>4.154642857142858</v>
      </c>
      <c r="C38" s="106">
        <f>ROUND(((2*22*$B$38)-0.06*C$13),2)</f>
        <v>103.44</v>
      </c>
      <c r="D38" s="106">
        <f>ROUND(((2*22*$B$38)-0.06*D$13),2)</f>
        <v>117.87</v>
      </c>
      <c r="E38" s="106">
        <f>ROUND(((2*22*$B$38)-0.06*E$13),2)</f>
        <v>103.44</v>
      </c>
      <c r="F38" s="106">
        <f>ROUND(((2*22*$B$38)-0.06*F$13),2)</f>
        <v>74.260000000000005</v>
      </c>
    </row>
    <row r="39" spans="1:6" ht="15.75" customHeight="1" x14ac:dyDescent="0.2">
      <c r="A39" s="478" t="s">
        <v>499</v>
      </c>
      <c r="B39" s="128"/>
      <c r="C39" s="125">
        <f>MC!E21</f>
        <v>437.34</v>
      </c>
      <c r="D39" s="125">
        <f>MC!E22</f>
        <v>359.59</v>
      </c>
      <c r="E39" s="125">
        <f>MC!E21</f>
        <v>437.34</v>
      </c>
      <c r="F39" s="125">
        <f>MC!E21</f>
        <v>437.34</v>
      </c>
    </row>
    <row r="40" spans="1:6" ht="15.75" customHeight="1" x14ac:dyDescent="0.2">
      <c r="A40" s="119" t="s">
        <v>500</v>
      </c>
      <c r="B40" s="108">
        <f>MC!C26</f>
        <v>0</v>
      </c>
      <c r="C40" s="125"/>
      <c r="D40" s="125"/>
      <c r="E40" s="125">
        <f>MC!E26</f>
        <v>0</v>
      </c>
      <c r="F40" s="125"/>
    </row>
    <row r="41" spans="1:6" ht="15.75" customHeight="1" x14ac:dyDescent="0.2">
      <c r="A41" s="119" t="s">
        <v>501</v>
      </c>
      <c r="B41" s="129">
        <f>MC!E25</f>
        <v>11</v>
      </c>
      <c r="C41" s="125">
        <f>B41</f>
        <v>11</v>
      </c>
      <c r="D41" s="125">
        <f>B41</f>
        <v>11</v>
      </c>
      <c r="E41" s="194">
        <f>B41</f>
        <v>11</v>
      </c>
      <c r="F41" s="126">
        <f>B41</f>
        <v>11</v>
      </c>
    </row>
    <row r="42" spans="1:6" ht="15.75" customHeight="1" x14ac:dyDescent="0.2">
      <c r="A42" s="119" t="s">
        <v>502</v>
      </c>
      <c r="B42" s="567">
        <f>MC!C24</f>
        <v>7.0000000000000007E-2</v>
      </c>
      <c r="C42" s="125">
        <f>$B$42*C19</f>
        <v>111.10848000000001</v>
      </c>
      <c r="D42" s="125">
        <f t="shared" ref="D42:F42" si="4">$B$42*D19</f>
        <v>90.906938181818191</v>
      </c>
      <c r="E42" s="125">
        <f t="shared" si="4"/>
        <v>120.36752000000001</v>
      </c>
      <c r="F42" s="125">
        <f t="shared" si="4"/>
        <v>151.96188000000001</v>
      </c>
    </row>
    <row r="43" spans="1:6" ht="15.75" customHeight="1" x14ac:dyDescent="0.2">
      <c r="A43" s="119" t="s">
        <v>503</v>
      </c>
      <c r="B43" s="108"/>
      <c r="C43" s="125"/>
      <c r="D43" s="125"/>
      <c r="E43" s="194"/>
      <c r="F43" s="126"/>
    </row>
    <row r="44" spans="1:6" ht="15.75" customHeight="1" x14ac:dyDescent="0.2">
      <c r="A44" s="111" t="s">
        <v>481</v>
      </c>
      <c r="B44" s="112"/>
      <c r="C44" s="121">
        <f>SUM(C38:C43)</f>
        <v>662.88847999999996</v>
      </c>
      <c r="D44" s="121">
        <f>SUM(D38:D43)</f>
        <v>579.36693818181811</v>
      </c>
      <c r="E44" s="191">
        <f>SUM(E38:E43)</f>
        <v>672.14751999999999</v>
      </c>
      <c r="F44" s="122">
        <f>SUM(F38:F43)</f>
        <v>674.56187999999997</v>
      </c>
    </row>
    <row r="45" spans="1:6" x14ac:dyDescent="0.2">
      <c r="A45" s="101" t="s">
        <v>504</v>
      </c>
      <c r="B45" s="102" t="s">
        <v>473</v>
      </c>
      <c r="C45" s="102" t="s">
        <v>474</v>
      </c>
      <c r="D45" s="102" t="s">
        <v>474</v>
      </c>
      <c r="E45" s="102" t="s">
        <v>474</v>
      </c>
      <c r="F45" s="103" t="s">
        <v>474</v>
      </c>
    </row>
    <row r="46" spans="1:6" ht="15.75" customHeight="1" x14ac:dyDescent="0.2">
      <c r="A46" s="119" t="s">
        <v>483</v>
      </c>
      <c r="B46" s="130">
        <f>B25</f>
        <v>0.1111111111111111</v>
      </c>
      <c r="C46" s="131">
        <f>C25</f>
        <v>176.36066666666667</v>
      </c>
      <c r="D46" s="131">
        <f>D25</f>
        <v>144.29418181818181</v>
      </c>
      <c r="E46" s="131">
        <f>E25</f>
        <v>191.05488888888888</v>
      </c>
      <c r="F46" s="132">
        <f>F25</f>
        <v>241.21233333333333</v>
      </c>
    </row>
    <row r="47" spans="1:6" ht="15.75" customHeight="1" x14ac:dyDescent="0.2">
      <c r="A47" s="119" t="s">
        <v>505</v>
      </c>
      <c r="B47" s="130">
        <f>B36</f>
        <v>0.36800000000000005</v>
      </c>
      <c r="C47" s="131">
        <f>C36</f>
        <v>649.01</v>
      </c>
      <c r="D47" s="131">
        <f>D36</f>
        <v>531.01</v>
      </c>
      <c r="E47" s="131">
        <f>E36</f>
        <v>703.10000000000014</v>
      </c>
      <c r="F47" s="132">
        <f>F36</f>
        <v>887.6400000000001</v>
      </c>
    </row>
    <row r="48" spans="1:6" ht="15.75" customHeight="1" x14ac:dyDescent="0.2">
      <c r="A48" s="119" t="s">
        <v>496</v>
      </c>
      <c r="B48" s="130"/>
      <c r="C48" s="131">
        <f>C44</f>
        <v>662.88847999999996</v>
      </c>
      <c r="D48" s="131">
        <f>D44</f>
        <v>579.36693818181811</v>
      </c>
      <c r="E48" s="131">
        <f>E44</f>
        <v>672.14751999999999</v>
      </c>
      <c r="F48" s="132">
        <f>F44</f>
        <v>674.56187999999997</v>
      </c>
    </row>
    <row r="49" spans="1:6" ht="15.75" customHeight="1" x14ac:dyDescent="0.2">
      <c r="A49" s="111" t="s">
        <v>481</v>
      </c>
      <c r="B49" s="112"/>
      <c r="C49" s="121">
        <f>SUM(C46:C48)</f>
        <v>1488.2591466666668</v>
      </c>
      <c r="D49" s="121">
        <f>SUM(D46:D48)</f>
        <v>1254.67112</v>
      </c>
      <c r="E49" s="191">
        <f>SUM(E46:E48)</f>
        <v>1566.302408888889</v>
      </c>
      <c r="F49" s="122">
        <f>SUM(F46:F48)</f>
        <v>1803.4142133333335</v>
      </c>
    </row>
    <row r="50" spans="1:6" ht="14.25" customHeight="1" x14ac:dyDescent="0.2">
      <c r="A50" s="1037"/>
      <c r="B50" s="1037"/>
      <c r="C50" s="114"/>
      <c r="D50" s="115"/>
      <c r="E50" s="115"/>
      <c r="F50" s="115"/>
    </row>
    <row r="51" spans="1:6" s="133" customFormat="1" ht="12.75" customHeight="1" x14ac:dyDescent="0.2">
      <c r="A51" s="1042" t="s">
        <v>506</v>
      </c>
      <c r="B51" s="1042"/>
      <c r="C51" s="1042"/>
      <c r="D51" s="1042"/>
      <c r="E51" s="1042"/>
      <c r="F51" s="1042"/>
    </row>
    <row r="52" spans="1:6" ht="15.75" customHeight="1" x14ac:dyDescent="0.2">
      <c r="A52" s="101" t="s">
        <v>507</v>
      </c>
      <c r="B52" s="102" t="s">
        <v>473</v>
      </c>
      <c r="C52" s="102" t="s">
        <v>474</v>
      </c>
      <c r="D52" s="102" t="s">
        <v>474</v>
      </c>
      <c r="E52" s="102" t="s">
        <v>474</v>
      </c>
      <c r="F52" s="103" t="s">
        <v>474</v>
      </c>
    </row>
    <row r="53" spans="1:6" ht="15.75" customHeight="1" x14ac:dyDescent="0.2">
      <c r="A53" s="116" t="s">
        <v>508</v>
      </c>
      <c r="B53" s="134"/>
      <c r="C53" s="134"/>
      <c r="D53" s="134"/>
      <c r="E53" s="195"/>
      <c r="F53" s="135"/>
    </row>
    <row r="54" spans="1:6" ht="15.75" customHeight="1" x14ac:dyDescent="0.2">
      <c r="A54" s="119" t="s">
        <v>509</v>
      </c>
      <c r="B54" s="130">
        <f>1/12*0.05</f>
        <v>4.1666666666666666E-3</v>
      </c>
      <c r="C54" s="136">
        <f>C19*$B54</f>
        <v>6.6136000000000008</v>
      </c>
      <c r="D54" s="136">
        <f t="shared" ref="D54:F54" si="5">D19*$B54</f>
        <v>5.4111272727272723</v>
      </c>
      <c r="E54" s="136">
        <f t="shared" si="5"/>
        <v>7.1647333333333334</v>
      </c>
      <c r="F54" s="136">
        <f t="shared" si="5"/>
        <v>9.0453499999999991</v>
      </c>
    </row>
    <row r="55" spans="1:6" x14ac:dyDescent="0.2">
      <c r="A55" s="119" t="s">
        <v>510</v>
      </c>
      <c r="B55" s="130">
        <f>B35*B54</f>
        <v>3.3333333333333332E-4</v>
      </c>
      <c r="C55" s="136">
        <f>$B$55*C19</f>
        <v>0.529088</v>
      </c>
      <c r="D55" s="136">
        <f t="shared" ref="D55:F55" si="6">$B$55*D19</f>
        <v>0.43289018181818179</v>
      </c>
      <c r="E55" s="136">
        <f t="shared" si="6"/>
        <v>0.57317866666666661</v>
      </c>
      <c r="F55" s="136">
        <f t="shared" si="6"/>
        <v>0.72362799999999994</v>
      </c>
    </row>
    <row r="56" spans="1:6" x14ac:dyDescent="0.2">
      <c r="A56" s="119" t="s">
        <v>511</v>
      </c>
      <c r="B56" s="130">
        <v>0</v>
      </c>
      <c r="C56" s="136">
        <f>C35*$B56</f>
        <v>0</v>
      </c>
      <c r="D56" s="136">
        <f t="shared" ref="D56:F56" si="7">D35*$B56</f>
        <v>0</v>
      </c>
      <c r="E56" s="136">
        <f t="shared" si="7"/>
        <v>0</v>
      </c>
      <c r="F56" s="136">
        <f t="shared" si="7"/>
        <v>0</v>
      </c>
    </row>
    <row r="57" spans="1:6" x14ac:dyDescent="0.2">
      <c r="A57" s="119" t="s">
        <v>512</v>
      </c>
      <c r="B57" s="130">
        <f>1/12*1/30*7</f>
        <v>1.9444444444444441E-2</v>
      </c>
      <c r="C57" s="131">
        <f>C19*$B57</f>
        <v>30.863466666666664</v>
      </c>
      <c r="D57" s="131">
        <f t="shared" ref="D57:F57" si="8">D19*$B57</f>
        <v>25.251927272727269</v>
      </c>
      <c r="E57" s="131">
        <f t="shared" si="8"/>
        <v>33.435422222222215</v>
      </c>
      <c r="F57" s="131">
        <f t="shared" si="8"/>
        <v>42.211633333333324</v>
      </c>
    </row>
    <row r="58" spans="1:6" x14ac:dyDescent="0.2">
      <c r="A58" s="119" t="s">
        <v>513</v>
      </c>
      <c r="B58" s="130">
        <f>B36*B57</f>
        <v>7.1555555555555556E-3</v>
      </c>
      <c r="C58" s="131">
        <f>$B58*C19</f>
        <v>11.357755733333335</v>
      </c>
      <c r="D58" s="131">
        <f t="shared" ref="D58:F58" si="9">$B58*D19</f>
        <v>9.2927092363636365</v>
      </c>
      <c r="E58" s="131">
        <f t="shared" si="9"/>
        <v>12.304235377777779</v>
      </c>
      <c r="F58" s="131">
        <f t="shared" si="9"/>
        <v>15.533881066666668</v>
      </c>
    </row>
    <row r="59" spans="1:6" x14ac:dyDescent="0.2">
      <c r="A59" s="119" t="s">
        <v>514</v>
      </c>
      <c r="B59" s="130">
        <f>B35*40/100*90/100*(1+1/12+1/12+1/3*1/12)</f>
        <v>3.4399999999999993E-2</v>
      </c>
      <c r="C59" s="131">
        <f>C19*$B59</f>
        <v>54.601881599999992</v>
      </c>
      <c r="D59" s="131">
        <f t="shared" ref="D59:F59" si="10">D19*$B59</f>
        <v>44.674266763636354</v>
      </c>
      <c r="E59" s="131">
        <f t="shared" si="10"/>
        <v>59.152038399999988</v>
      </c>
      <c r="F59" s="131">
        <f t="shared" si="10"/>
        <v>74.678409599999981</v>
      </c>
    </row>
    <row r="60" spans="1:6" ht="14.25" customHeight="1" x14ac:dyDescent="0.2">
      <c r="A60" s="111" t="s">
        <v>481</v>
      </c>
      <c r="B60" s="120">
        <f>SUM(B54:B59)</f>
        <v>6.5499999999999989E-2</v>
      </c>
      <c r="C60" s="137">
        <f>SUM(C54:C59)</f>
        <v>103.96579199999999</v>
      </c>
      <c r="D60" s="137">
        <f>SUM(D54:D59)</f>
        <v>85.062920727272711</v>
      </c>
      <c r="E60" s="196">
        <f>SUM(E54:E59)</f>
        <v>112.62960799999999</v>
      </c>
      <c r="F60" s="138">
        <f>SUM(F54:F59)</f>
        <v>142.19290199999998</v>
      </c>
    </row>
    <row r="61" spans="1:6" ht="14.25" customHeight="1" x14ac:dyDescent="0.2">
      <c r="A61" s="1037"/>
      <c r="B61" s="1037"/>
      <c r="C61" s="322"/>
      <c r="D61" s="322"/>
      <c r="E61" s="323"/>
      <c r="F61" s="324"/>
    </row>
    <row r="62" spans="1:6" ht="15.75" customHeight="1" x14ac:dyDescent="0.2">
      <c r="A62" s="1042" t="s">
        <v>515</v>
      </c>
      <c r="B62" s="1042"/>
      <c r="C62" s="1042"/>
      <c r="D62" s="1042"/>
      <c r="E62" s="1042"/>
      <c r="F62" s="1042"/>
    </row>
    <row r="63" spans="1:6" ht="14.25" customHeight="1" x14ac:dyDescent="0.2">
      <c r="A63" s="116" t="s">
        <v>49</v>
      </c>
      <c r="B63" s="117"/>
      <c r="C63" s="117"/>
      <c r="D63" s="117"/>
      <c r="E63" s="197"/>
      <c r="F63" s="118"/>
    </row>
    <row r="64" spans="1:6" ht="14.25" customHeight="1" x14ac:dyDescent="0.2">
      <c r="A64" s="119" t="s">
        <v>50</v>
      </c>
      <c r="B64" s="108">
        <f>1/12</f>
        <v>8.3333333333333329E-2</v>
      </c>
      <c r="C64" s="125">
        <f>B64*($C$19+$C$49+$C$60)</f>
        <v>264.95741155555555</v>
      </c>
      <c r="D64" s="125">
        <f>B64*($D$19+$D$49+$D$60)</f>
        <v>219.86704884848484</v>
      </c>
      <c r="E64" s="194">
        <f>B64*($E$19+$E$49+$E$60)</f>
        <v>283.20566807407408</v>
      </c>
      <c r="F64" s="126">
        <f>B64*($F$19+$F$49+$F$60)</f>
        <v>343.04092627777777</v>
      </c>
    </row>
    <row r="65" spans="1:6" x14ac:dyDescent="0.2">
      <c r="A65" s="119" t="s">
        <v>516</v>
      </c>
      <c r="B65" s="108">
        <f>MC!E56/30/12</f>
        <v>1.3538888888888885E-2</v>
      </c>
      <c r="C65" s="125">
        <f>B65*($C$19+$C$49+$C$60)</f>
        <v>43.046747464059251</v>
      </c>
      <c r="D65" s="125">
        <f>B65*($D$19+$D$49+$D$60)</f>
        <v>35.721066536250497</v>
      </c>
      <c r="E65" s="194">
        <f>B65*($E$19+$E$49+$E$60)</f>
        <v>46.01148087310122</v>
      </c>
      <c r="F65" s="126">
        <f>B65*($F$19+$F$49+$F$60)</f>
        <v>55.732715822596276</v>
      </c>
    </row>
    <row r="66" spans="1:6" x14ac:dyDescent="0.2">
      <c r="A66" s="119" t="s">
        <v>517</v>
      </c>
      <c r="B66" s="139">
        <f>(5/30)/12*MC!F58*MC!C59</f>
        <v>1.0764583333333333E-4</v>
      </c>
      <c r="C66" s="125">
        <f>B66*($C$19+$C$49+$C$60)</f>
        <v>0.34225873637688892</v>
      </c>
      <c r="D66" s="125">
        <f>B66*($D$19+$D$49+$D$60)</f>
        <v>0.28401326035003027</v>
      </c>
      <c r="E66" s="194">
        <f>B66*($E$19+$E$49+$E$60)</f>
        <v>0.36583092173468518</v>
      </c>
      <c r="F66" s="126">
        <f>B66*($F$19+$F$49+$F$60)</f>
        <v>0.4431231165193194</v>
      </c>
    </row>
    <row r="67" spans="1:6" ht="14.25" customHeight="1" x14ac:dyDescent="0.2">
      <c r="A67" s="119" t="s">
        <v>518</v>
      </c>
      <c r="B67" s="139">
        <f>MC!C61/30/12</f>
        <v>2.6830555555555553E-3</v>
      </c>
      <c r="C67" s="125">
        <f>B67*($C$19+$C$49+$C$60)</f>
        <v>8.5307454607170374</v>
      </c>
      <c r="D67" s="125">
        <f>B67*($D$19+$D$49+$D$60)</f>
        <v>7.0789860827583828</v>
      </c>
      <c r="E67" s="194">
        <f>B67*($E$19+$E$49+$E$60)</f>
        <v>9.118278493091605</v>
      </c>
      <c r="F67" s="126">
        <f>B67*($F$19+$F$49+$F$60)</f>
        <v>11.044774356390183</v>
      </c>
    </row>
    <row r="68" spans="1:6" ht="14.25" customHeight="1" x14ac:dyDescent="0.2">
      <c r="A68" s="119" t="s">
        <v>519</v>
      </c>
      <c r="B68" s="108"/>
      <c r="C68" s="125"/>
      <c r="D68" s="125"/>
      <c r="E68" s="194">
        <f>B68*($E$19+$E$49+$E$60)</f>
        <v>0</v>
      </c>
      <c r="F68" s="126"/>
    </row>
    <row r="69" spans="1:6" ht="14.25" customHeight="1" x14ac:dyDescent="0.2">
      <c r="A69" s="140" t="s">
        <v>520</v>
      </c>
      <c r="B69" s="141">
        <f>SUM(B64:B68)</f>
        <v>9.9662923611111107E-2</v>
      </c>
      <c r="C69" s="142">
        <f>SUM(C64:C68)</f>
        <v>316.87716321670871</v>
      </c>
      <c r="D69" s="142">
        <f>SUM(D64:D68)</f>
        <v>262.95111472784379</v>
      </c>
      <c r="E69" s="198">
        <f>SUM(E64:E68)</f>
        <v>338.70125836200162</v>
      </c>
      <c r="F69" s="143">
        <f>SUM(F64:F68)</f>
        <v>410.26153957328353</v>
      </c>
    </row>
    <row r="70" spans="1:6" ht="14.25" customHeight="1" x14ac:dyDescent="0.2">
      <c r="A70" s="116" t="s">
        <v>521</v>
      </c>
      <c r="B70" s="117"/>
      <c r="C70" s="117"/>
      <c r="D70" s="117"/>
      <c r="E70" s="197"/>
      <c r="F70" s="118"/>
    </row>
    <row r="71" spans="1:6" ht="14.25" customHeight="1" x14ac:dyDescent="0.2">
      <c r="A71" s="119" t="s">
        <v>522</v>
      </c>
      <c r="B71" s="108"/>
      <c r="C71" s="125"/>
      <c r="D71" s="125"/>
      <c r="E71" s="194"/>
      <c r="F71" s="126"/>
    </row>
    <row r="72" spans="1:6" ht="14.25" customHeight="1" x14ac:dyDescent="0.2">
      <c r="A72" s="140" t="s">
        <v>520</v>
      </c>
      <c r="B72" s="141"/>
      <c r="C72" s="142">
        <f>C71</f>
        <v>0</v>
      </c>
      <c r="D72" s="142"/>
      <c r="E72" s="198"/>
      <c r="F72" s="143"/>
    </row>
    <row r="73" spans="1:6" ht="14.25" customHeight="1" x14ac:dyDescent="0.2">
      <c r="A73" s="116" t="s">
        <v>71</v>
      </c>
      <c r="B73" s="117"/>
      <c r="C73" s="117"/>
      <c r="D73" s="117"/>
      <c r="E73" s="197"/>
      <c r="F73" s="118"/>
    </row>
    <row r="74" spans="1:6" ht="14.25" customHeight="1" x14ac:dyDescent="0.2">
      <c r="A74" s="119" t="s">
        <v>72</v>
      </c>
      <c r="B74" s="108">
        <f>120/30*MC!C64*MC!C65</f>
        <v>6.18624E-3</v>
      </c>
      <c r="C74" s="125">
        <f>(((C19*2)+ (C19*1/3))+(C36)+(C44-C38-C39))*$B$74</f>
        <v>27.681781429555201</v>
      </c>
      <c r="D74" s="125">
        <f>(((D19*2)+ (D19*1/3))+(D36)+(D44-D38-D39))*$B$74</f>
        <v>22.66111398825425</v>
      </c>
      <c r="E74" s="125">
        <f>(((E19*2)+ (E19*1/3))+(E36)+(E44-E38-E39))*$B$74</f>
        <v>29.9829619150848</v>
      </c>
      <c r="F74" s="126">
        <f>(((F19*2)+ (F19*1/3))+(F36)+(F44-F38-F39))*$B$74</f>
        <v>37.835030725171201</v>
      </c>
    </row>
    <row r="75" spans="1:6" ht="15.75" customHeight="1" x14ac:dyDescent="0.2">
      <c r="A75" s="140" t="s">
        <v>481</v>
      </c>
      <c r="B75" s="141"/>
      <c r="C75" s="142"/>
      <c r="D75" s="142"/>
      <c r="E75" s="198"/>
      <c r="F75" s="143"/>
    </row>
    <row r="76" spans="1:6" x14ac:dyDescent="0.2">
      <c r="A76" s="101" t="s">
        <v>523</v>
      </c>
      <c r="B76" s="102"/>
      <c r="C76" s="102"/>
      <c r="D76" s="102"/>
      <c r="E76" s="189"/>
      <c r="F76" s="103"/>
    </row>
    <row r="77" spans="1:6" x14ac:dyDescent="0.2">
      <c r="A77" s="119" t="s">
        <v>49</v>
      </c>
      <c r="B77" s="130">
        <f>B69</f>
        <v>9.9662923611111107E-2</v>
      </c>
      <c r="C77" s="131">
        <f>C69</f>
        <v>316.87716321670871</v>
      </c>
      <c r="D77" s="131">
        <f>D69</f>
        <v>262.95111472784379</v>
      </c>
      <c r="E77" s="131">
        <f>E69</f>
        <v>338.70125836200162</v>
      </c>
      <c r="F77" s="132">
        <f>F69</f>
        <v>410.26153957328353</v>
      </c>
    </row>
    <row r="78" spans="1:6" ht="15.75" customHeight="1" x14ac:dyDescent="0.2">
      <c r="A78" s="119" t="s">
        <v>521</v>
      </c>
      <c r="B78" s="130">
        <f>B72</f>
        <v>0</v>
      </c>
      <c r="C78" s="131">
        <f>C72</f>
        <v>0</v>
      </c>
      <c r="D78" s="131">
        <f>D72</f>
        <v>0</v>
      </c>
      <c r="E78" s="131">
        <f>E72</f>
        <v>0</v>
      </c>
      <c r="F78" s="132">
        <f>F72</f>
        <v>0</v>
      </c>
    </row>
    <row r="79" spans="1:6" ht="15.75" customHeight="1" x14ac:dyDescent="0.2">
      <c r="A79" s="119" t="s">
        <v>71</v>
      </c>
      <c r="B79" s="130">
        <f>B74</f>
        <v>6.18624E-3</v>
      </c>
      <c r="C79" s="131">
        <f>C74</f>
        <v>27.681781429555201</v>
      </c>
      <c r="D79" s="131">
        <f>D74</f>
        <v>22.66111398825425</v>
      </c>
      <c r="E79" s="131">
        <f>E74</f>
        <v>29.9829619150848</v>
      </c>
      <c r="F79" s="132">
        <f>F74</f>
        <v>37.835030725171201</v>
      </c>
    </row>
    <row r="80" spans="1:6" ht="15.75" customHeight="1" x14ac:dyDescent="0.2">
      <c r="A80" s="111" t="s">
        <v>481</v>
      </c>
      <c r="B80" s="112"/>
      <c r="C80" s="121">
        <f>SUM(C77:C79)</f>
        <v>344.55894464626391</v>
      </c>
      <c r="D80" s="121">
        <f>SUM(D77:D79)</f>
        <v>285.61222871609806</v>
      </c>
      <c r="E80" s="191">
        <f>SUM(E77:E79)</f>
        <v>368.68422027708641</v>
      </c>
      <c r="F80" s="122">
        <f>SUM(F77:F79)</f>
        <v>448.09657029845471</v>
      </c>
    </row>
    <row r="81" spans="1:6" ht="15.75" customHeight="1" x14ac:dyDescent="0.2">
      <c r="A81" s="113"/>
      <c r="B81" s="114"/>
      <c r="C81" s="114"/>
      <c r="D81" s="114"/>
      <c r="E81" s="192"/>
      <c r="F81" s="115"/>
    </row>
    <row r="82" spans="1:6" ht="15.75" customHeight="1" x14ac:dyDescent="0.2">
      <c r="A82" s="199" t="s">
        <v>524</v>
      </c>
      <c r="B82" s="200"/>
      <c r="C82" s="200"/>
      <c r="D82" s="200"/>
      <c r="E82" s="200"/>
      <c r="F82" s="201"/>
    </row>
    <row r="83" spans="1:6" ht="15.75" customHeight="1" x14ac:dyDescent="0.2">
      <c r="A83" s="101" t="s">
        <v>525</v>
      </c>
      <c r="B83" s="102" t="s">
        <v>497</v>
      </c>
      <c r="C83" s="102" t="s">
        <v>474</v>
      </c>
      <c r="D83" s="102" t="s">
        <v>474</v>
      </c>
      <c r="E83" s="102" t="s">
        <v>474</v>
      </c>
      <c r="F83" s="103" t="s">
        <v>474</v>
      </c>
    </row>
    <row r="84" spans="1:6" ht="15.75" customHeight="1" x14ac:dyDescent="0.2">
      <c r="A84" s="119" t="s">
        <v>526</v>
      </c>
      <c r="B84" s="145">
        <f>Insumos!G117</f>
        <v>27.875416666666666</v>
      </c>
      <c r="C84" s="106">
        <f>B84</f>
        <v>27.875416666666666</v>
      </c>
      <c r="D84" s="106">
        <f>B84</f>
        <v>27.875416666666666</v>
      </c>
      <c r="E84" s="190">
        <f>B84</f>
        <v>27.875416666666666</v>
      </c>
      <c r="F84" s="107">
        <f>Insumos!G118</f>
        <v>34.030416666666667</v>
      </c>
    </row>
    <row r="85" spans="1:6" x14ac:dyDescent="0.2">
      <c r="A85" s="144" t="s">
        <v>527</v>
      </c>
      <c r="B85" s="145">
        <f>Insumos!G59</f>
        <v>461.23111666666665</v>
      </c>
      <c r="C85" s="106">
        <f>B85</f>
        <v>461.23111666666665</v>
      </c>
      <c r="D85" s="106">
        <f>B85</f>
        <v>461.23111666666665</v>
      </c>
      <c r="E85" s="190"/>
      <c r="F85" s="107"/>
    </row>
    <row r="86" spans="1:6" x14ac:dyDescent="0.2">
      <c r="A86" s="144" t="s">
        <v>528</v>
      </c>
      <c r="B86" s="146">
        <f>Insumos!J99</f>
        <v>22.048134259259257</v>
      </c>
      <c r="C86" s="106">
        <f>B86</f>
        <v>22.048134259259257</v>
      </c>
      <c r="D86" s="106">
        <f>B86</f>
        <v>22.048134259259257</v>
      </c>
      <c r="E86" s="190"/>
      <c r="F86" s="107"/>
    </row>
    <row r="87" spans="1:6" ht="15.75" customHeight="1" x14ac:dyDescent="0.2">
      <c r="A87" s="144" t="s">
        <v>529</v>
      </c>
      <c r="B87" s="145"/>
      <c r="C87" s="106">
        <f>Insumos!I129</f>
        <v>36.666666666666671</v>
      </c>
      <c r="D87" s="106">
        <f>Insumos!H129</f>
        <v>25.446666666666665</v>
      </c>
      <c r="E87" s="190"/>
      <c r="F87" s="107"/>
    </row>
    <row r="88" spans="1:6" ht="15.75" customHeight="1" x14ac:dyDescent="0.2">
      <c r="A88" s="144" t="s">
        <v>530</v>
      </c>
      <c r="B88" s="108">
        <v>0.12</v>
      </c>
      <c r="C88" s="106"/>
      <c r="D88" s="106"/>
      <c r="E88" s="190">
        <f>B88*(E127+E128+E84)</f>
        <v>397.64565906666667</v>
      </c>
      <c r="F88" s="107"/>
    </row>
    <row r="89" spans="1:6" ht="15.75" customHeight="1" x14ac:dyDescent="0.2">
      <c r="A89" s="144" t="s">
        <v>531</v>
      </c>
      <c r="B89" s="145">
        <f>Insumos!H145</f>
        <v>50.323333333333331</v>
      </c>
      <c r="C89" s="106"/>
      <c r="D89" s="106"/>
      <c r="E89" s="190"/>
      <c r="F89" s="107">
        <f>B89</f>
        <v>50.323333333333331</v>
      </c>
    </row>
    <row r="90" spans="1:6" ht="15.75" customHeight="1" x14ac:dyDescent="0.2">
      <c r="A90" s="144" t="s">
        <v>532</v>
      </c>
      <c r="B90" s="145"/>
      <c r="C90" s="106"/>
      <c r="D90" s="106"/>
      <c r="E90" s="190"/>
      <c r="F90" s="107">
        <f>B90</f>
        <v>0</v>
      </c>
    </row>
    <row r="91" spans="1:6" ht="15.75" customHeight="1" x14ac:dyDescent="0.2">
      <c r="A91" s="140" t="s">
        <v>481</v>
      </c>
      <c r="B91" s="147"/>
      <c r="C91" s="142">
        <f>SUM(C84:C90)</f>
        <v>547.82133425925929</v>
      </c>
      <c r="D91" s="142">
        <f t="shared" ref="D91:F91" si="11">SUM(D84:D90)</f>
        <v>536.60133425925926</v>
      </c>
      <c r="E91" s="142">
        <f t="shared" si="11"/>
        <v>425.5210757333333</v>
      </c>
      <c r="F91" s="142">
        <f t="shared" si="11"/>
        <v>84.353749999999991</v>
      </c>
    </row>
    <row r="92" spans="1:6" ht="15.75" customHeight="1" x14ac:dyDescent="0.2">
      <c r="A92" s="1037"/>
      <c r="B92" s="1037"/>
      <c r="C92" s="148"/>
      <c r="D92" s="148"/>
      <c r="E92" s="202"/>
      <c r="F92" s="149"/>
    </row>
    <row r="93" spans="1:6" ht="15.75" customHeight="1" x14ac:dyDescent="0.2">
      <c r="A93" s="199" t="s">
        <v>533</v>
      </c>
      <c r="B93" s="200"/>
      <c r="C93" s="200"/>
      <c r="D93" s="200"/>
      <c r="E93" s="200"/>
      <c r="F93" s="201"/>
    </row>
    <row r="94" spans="1:6" ht="15.75" customHeight="1" x14ac:dyDescent="0.2">
      <c r="A94" s="101" t="s">
        <v>534</v>
      </c>
      <c r="B94" s="102" t="s">
        <v>473</v>
      </c>
      <c r="C94" s="102" t="s">
        <v>474</v>
      </c>
      <c r="D94" s="102" t="s">
        <v>474</v>
      </c>
      <c r="E94" s="102" t="s">
        <v>474</v>
      </c>
      <c r="F94" s="103"/>
    </row>
    <row r="95" spans="1:6" ht="15.75" customHeight="1" x14ac:dyDescent="0.2">
      <c r="A95" s="104" t="s">
        <v>77</v>
      </c>
      <c r="B95" s="108">
        <f>MC!C68</f>
        <v>0.03</v>
      </c>
      <c r="C95" s="125">
        <f>($C$19+$C$49+$C$60+$C$80+$C$91)*$B$95</f>
        <v>122.15607652716571</v>
      </c>
      <c r="D95" s="125">
        <f>($D$19+$D$49+$D$60+$D$80+$D$91)*$B$95</f>
        <v>103.81854447471525</v>
      </c>
      <c r="E95" s="194">
        <f>($E$19+$E$49+$E$60+$E$80+$E$91)*$B$95</f>
        <v>125.78019938697925</v>
      </c>
      <c r="F95" s="126">
        <f>($F$19+$F$49+$F$60+$F$80+$F$91)*$B$95</f>
        <v>139.46824306895365</v>
      </c>
    </row>
    <row r="96" spans="1:6" x14ac:dyDescent="0.2">
      <c r="A96" s="104" t="s">
        <v>78</v>
      </c>
      <c r="B96" s="108">
        <f>MC!C69</f>
        <v>6.7900000000000002E-2</v>
      </c>
      <c r="C96" s="125">
        <f>($C$19+$C$49+$C$60+$C$80+$C$91+C95)*B96</f>
        <v>284.77431746934627</v>
      </c>
      <c r="D96" s="125">
        <f>($D$19+$D$49+$D$60+$D$80+$D$91+$D$95)*$B$96</f>
        <v>242.02525149760535</v>
      </c>
      <c r="E96" s="125">
        <f>($E$19+$E$49+$E$60+$E$80+$E$91+$E$95)*$B$96</f>
        <v>293.22299348423888</v>
      </c>
      <c r="F96" s="126">
        <f>($F$19+$F$49+$F$60+$F$80+$F$91+F95)*$B$96</f>
        <v>325.1330171837804</v>
      </c>
    </row>
    <row r="97" spans="1:7" x14ac:dyDescent="0.2">
      <c r="A97" s="203" t="s">
        <v>535</v>
      </c>
      <c r="B97" s="204">
        <f>B98+B99</f>
        <v>0.1125</v>
      </c>
      <c r="C97" s="205">
        <f>((C19+C49+C60+C80+C91+C95+C96)/(1-($B$97)))*$B$97</f>
        <v>567.73516202983558</v>
      </c>
      <c r="D97" s="205">
        <f>((D19+D49+D60+D80+D91+D95+D96)/(1-($B$97)))*$B$97</f>
        <v>482.50926065021775</v>
      </c>
      <c r="E97" s="205">
        <f>((E19+E49+E60+E80+E91+E95+E96)/(1-($B$97)))*$B$97</f>
        <v>584.57871199908084</v>
      </c>
      <c r="F97" s="205">
        <f>((F19+F49+F60+F80+F91+F95+F96)/(1-($B$97)))*$B$97</f>
        <v>648.19555299944659</v>
      </c>
    </row>
    <row r="98" spans="1:7" x14ac:dyDescent="0.2">
      <c r="A98" s="104" t="s">
        <v>536</v>
      </c>
      <c r="B98" s="108">
        <f>0.0165+0.076</f>
        <v>9.2499999999999999E-2</v>
      </c>
      <c r="C98" s="206">
        <f>((C$19+C$49+C$60+C$80+C$91+C$95+C$96)/(1-($B$97)))*$B$98</f>
        <v>466.80446655786477</v>
      </c>
      <c r="D98" s="206">
        <f t="shared" ref="D98:F98" si="12">((D$19+D$49+D$60+D$80+D$91+D$95+D$96)/(1-($B$97)))*$B$98</f>
        <v>396.72983653462347</v>
      </c>
      <c r="E98" s="206">
        <f t="shared" si="12"/>
        <v>480.65360764368864</v>
      </c>
      <c r="F98" s="206">
        <f t="shared" si="12"/>
        <v>532.96078802176714</v>
      </c>
    </row>
    <row r="99" spans="1:7" x14ac:dyDescent="0.2">
      <c r="A99" s="104" t="s">
        <v>537</v>
      </c>
      <c r="B99" s="108">
        <v>0.02</v>
      </c>
      <c r="C99" s="207">
        <f>((C$19+C$49+C$60+C$80+C$91+C$95+C$96)/(1-($B$97)))*$B$99</f>
        <v>100.93069547197076</v>
      </c>
      <c r="D99" s="207">
        <f t="shared" ref="D99:F99" si="13">((D$19+D$49+D$60+D$80+D$91+D$95+D$96)/(1-($B$97)))*$B$99</f>
        <v>85.779424115594267</v>
      </c>
      <c r="E99" s="207">
        <f t="shared" si="13"/>
        <v>103.92510435539214</v>
      </c>
      <c r="F99" s="207">
        <f t="shared" si="13"/>
        <v>115.23476497767939</v>
      </c>
    </row>
    <row r="100" spans="1:7" x14ac:dyDescent="0.2">
      <c r="A100" s="203" t="s">
        <v>538</v>
      </c>
      <c r="B100" s="204">
        <f>B101+B102</f>
        <v>0.11749999999999999</v>
      </c>
      <c r="C100" s="205">
        <f>((C19+C49+C60+C80+C91+C95+C96)/(1-($B$100)))*$B$100</f>
        <v>596.32742703605936</v>
      </c>
      <c r="D100" s="205">
        <f t="shared" ref="D100:F100" si="14">((D19+D49+D60+D80+D91+D95+D96)/(1-($B$100)))*$B$100</f>
        <v>506.80938079627833</v>
      </c>
      <c r="E100" s="205">
        <f t="shared" si="14"/>
        <v>614.01925147652889</v>
      </c>
      <c r="F100" s="205">
        <f t="shared" si="14"/>
        <v>680.8399623415653</v>
      </c>
    </row>
    <row r="101" spans="1:7" x14ac:dyDescent="0.2">
      <c r="A101" s="104" t="s">
        <v>536</v>
      </c>
      <c r="B101" s="108">
        <f>0.0165+0.076</f>
        <v>9.2499999999999999E-2</v>
      </c>
      <c r="C101" s="206">
        <f>((C19+C49+C60+C80+C91+C95+C96)/(1-($B$100)))*$B$101</f>
        <v>469.44925107094036</v>
      </c>
      <c r="D101" s="206">
        <f t="shared" ref="D101:F101" si="15">((D19+D49+D60+D80+D91+D95+D96)/(1-($B$100)))*$B$101</f>
        <v>398.97759764813406</v>
      </c>
      <c r="E101" s="206">
        <f t="shared" si="15"/>
        <v>483.37685754535255</v>
      </c>
      <c r="F101" s="206">
        <f t="shared" si="15"/>
        <v>535.98039588591314</v>
      </c>
    </row>
    <row r="102" spans="1:7" x14ac:dyDescent="0.2">
      <c r="A102" s="104" t="s">
        <v>537</v>
      </c>
      <c r="B102" s="108">
        <v>2.5000000000000001E-2</v>
      </c>
      <c r="C102" s="207">
        <f>((C$19+C$49+C$60+C$80+C$91+C$95+C$96)/(1-($B$100)))*$B$102</f>
        <v>126.87817596511903</v>
      </c>
      <c r="D102" s="207">
        <f t="shared" ref="D102:F102" si="16">((D$19+D$49+D$60+D$80+D$91+D$95+D$96)/(1-($B$100)))*$B$102</f>
        <v>107.83178314814434</v>
      </c>
      <c r="E102" s="207">
        <f t="shared" si="16"/>
        <v>130.64239393117637</v>
      </c>
      <c r="F102" s="207">
        <f t="shared" si="16"/>
        <v>144.85956645565221</v>
      </c>
    </row>
    <row r="103" spans="1:7" x14ac:dyDescent="0.2">
      <c r="A103" s="203" t="s">
        <v>539</v>
      </c>
      <c r="B103" s="204">
        <f>B104+B105</f>
        <v>0.1225</v>
      </c>
      <c r="C103" s="205">
        <f>((C19+C49+C60+C80+C91+C95+C96)/(1-($B$103)))*$B$103</f>
        <v>625.24552982013211</v>
      </c>
      <c r="D103" s="205">
        <f t="shared" ref="D103:F103" si="17">((D19+D49+D60+D80+D91+D95+D96)/(1-($B$103)))*$B$103</f>
        <v>531.38642538844817</v>
      </c>
      <c r="E103" s="205">
        <f t="shared" si="17"/>
        <v>643.79529567736688</v>
      </c>
      <c r="F103" s="205">
        <f t="shared" si="17"/>
        <v>713.85638774456299</v>
      </c>
    </row>
    <row r="104" spans="1:7" x14ac:dyDescent="0.2">
      <c r="A104" s="104" t="s">
        <v>536</v>
      </c>
      <c r="B104" s="108">
        <f>0.0165+0.076</f>
        <v>9.2499999999999999E-2</v>
      </c>
      <c r="C104" s="206">
        <f>((C19+C49+C60+C80+C91+C95+C96)/(1-($B$103)))*$B$104</f>
        <v>472.12417557846715</v>
      </c>
      <c r="D104" s="206">
        <f t="shared" ref="D104:F104" si="18">((D19+D49+D60+D80+D91+D95+D96)/(1-($B$103)))*$B$104</f>
        <v>401.25097427290984</v>
      </c>
      <c r="E104" s="206">
        <f t="shared" si="18"/>
        <v>486.1311416339301</v>
      </c>
      <c r="F104" s="206">
        <f t="shared" si="18"/>
        <v>539.0344152356904</v>
      </c>
    </row>
    <row r="105" spans="1:7" x14ac:dyDescent="0.2">
      <c r="A105" s="104" t="s">
        <v>537</v>
      </c>
      <c r="B105" s="108">
        <v>0.03</v>
      </c>
      <c r="C105" s="207">
        <f>((C19+C49+C60+C80+C91+C95+C96)/(1-($B$103)))*$B$105</f>
        <v>153.12135424166502</v>
      </c>
      <c r="D105" s="207">
        <f t="shared" ref="D105:F105" si="19">((D19+D49+D60+D80+D91+D95+D96)/(1-($B$103)))*$B$105</f>
        <v>130.13545111553833</v>
      </c>
      <c r="E105" s="207">
        <f t="shared" si="19"/>
        <v>157.66415404343678</v>
      </c>
      <c r="F105" s="207">
        <f t="shared" si="19"/>
        <v>174.82197250887256</v>
      </c>
      <c r="G105" s="208"/>
    </row>
    <row r="106" spans="1:7" x14ac:dyDescent="0.2">
      <c r="A106" s="203" t="s">
        <v>618</v>
      </c>
      <c r="B106" s="204">
        <f>B107+B108</f>
        <v>0.1275</v>
      </c>
      <c r="C106" s="205">
        <f>((C19+C49+C60+C80+C91+C95+C96)/(1-($B$106)))*$B$106</f>
        <v>654.49507217766131</v>
      </c>
      <c r="D106" s="205">
        <f t="shared" ref="D106:F106" si="20">((D19+D49+D60+D80+D91+D95+D96)/(1-($B$106)))*$B$106</f>
        <v>556.24515530545636</v>
      </c>
      <c r="E106" s="205">
        <f t="shared" si="20"/>
        <v>673.91261259110831</v>
      </c>
      <c r="F106" s="205">
        <f t="shared" si="20"/>
        <v>747.25122490003048</v>
      </c>
      <c r="G106" s="208"/>
    </row>
    <row r="107" spans="1:7" x14ac:dyDescent="0.2">
      <c r="A107" s="104" t="s">
        <v>536</v>
      </c>
      <c r="B107" s="108">
        <f>0.0165+0.076</f>
        <v>9.2499999999999999E-2</v>
      </c>
      <c r="C107" s="206">
        <f>((C19+C49+C60+C80+C91+C95+C96)/(1-($B$1065)))*$B$107</f>
        <v>414.28896407010495</v>
      </c>
      <c r="D107" s="206">
        <f t="shared" ref="D107:F107" si="21">((D19+D49+D60+D80+D91+D95+D96)/(1-($B$1065)))*$B$107</f>
        <v>352.09772992447836</v>
      </c>
      <c r="E107" s="206">
        <f t="shared" si="21"/>
        <v>426.58007678377368</v>
      </c>
      <c r="F107" s="206">
        <f t="shared" si="21"/>
        <v>473.00269936931835</v>
      </c>
      <c r="G107" s="208"/>
    </row>
    <row r="108" spans="1:7" x14ac:dyDescent="0.2">
      <c r="A108" s="104" t="s">
        <v>537</v>
      </c>
      <c r="B108" s="108">
        <v>3.5000000000000003E-2</v>
      </c>
      <c r="C108" s="207">
        <f>((C19+C49+C60+C80+C91+C95+C96)/(1-($B$106)))*$B$108</f>
        <v>179.66531393112274</v>
      </c>
      <c r="D108" s="207">
        <f t="shared" ref="D108:F108" si="22">((D19+D49+D60+D80+D91+D95+D96)/(1-($B$106)))*$B$108</f>
        <v>152.69474851522332</v>
      </c>
      <c r="E108" s="207">
        <f t="shared" si="22"/>
        <v>184.9956191426572</v>
      </c>
      <c r="F108" s="207">
        <f t="shared" si="22"/>
        <v>205.12778722745938</v>
      </c>
      <c r="G108" s="208"/>
    </row>
    <row r="109" spans="1:7" x14ac:dyDescent="0.2">
      <c r="A109" s="203" t="s">
        <v>540</v>
      </c>
      <c r="B109" s="204">
        <f>B110+B111</f>
        <v>0.13250000000000001</v>
      </c>
      <c r="C109" s="205">
        <f>((C19+C49+C60+C80+C91+C95+C96)/(1-($B$109)))*$B$109</f>
        <v>684.08178505228022</v>
      </c>
      <c r="D109" s="205">
        <f t="shared" ref="D109:F109" si="23">((D19+D49+D60+D80+D91+D95+D96)/(1-($B$109)))*$B$109</f>
        <v>581.39044118692595</v>
      </c>
      <c r="E109" s="205">
        <f t="shared" si="23"/>
        <v>704.37710318685276</v>
      </c>
      <c r="F109" s="205">
        <f t="shared" si="23"/>
        <v>781.03101695066198</v>
      </c>
    </row>
    <row r="110" spans="1:7" x14ac:dyDescent="0.2">
      <c r="A110" s="104" t="s">
        <v>536</v>
      </c>
      <c r="B110" s="108">
        <f>0.0165+0.076</f>
        <v>9.2499999999999999E-2</v>
      </c>
      <c r="C110" s="206">
        <f>((C19+C49+C60+C80+C91+C95+C96)/(1-($B$109)))*$B$110</f>
        <v>477.56652918744089</v>
      </c>
      <c r="D110" s="206">
        <f t="shared" ref="D110:F110" si="24">((D19+D49+D60+D80+D91+D95+D96)/(1-($B$109)))*$B$110</f>
        <v>405.87634573426902</v>
      </c>
      <c r="E110" s="206">
        <f t="shared" si="24"/>
        <v>491.73495882855752</v>
      </c>
      <c r="F110" s="206">
        <f t="shared" si="24"/>
        <v>545.24806843725457</v>
      </c>
    </row>
    <row r="111" spans="1:7" x14ac:dyDescent="0.2">
      <c r="A111" s="104" t="s">
        <v>537</v>
      </c>
      <c r="B111" s="108">
        <v>0.04</v>
      </c>
      <c r="C111" s="207">
        <f>((C19+C49+C60+C80+C91+C95+C96)/(1-($B$109)))*$B$111</f>
        <v>206.5152558648393</v>
      </c>
      <c r="D111" s="207">
        <f t="shared" ref="D111:F111" si="25">((D19+D49+D60+D80+D91+D95+D96)/(1-($B$109)))*$B$111</f>
        <v>175.51409545265687</v>
      </c>
      <c r="E111" s="207">
        <f t="shared" si="25"/>
        <v>212.64214435829516</v>
      </c>
      <c r="F111" s="207">
        <f t="shared" si="25"/>
        <v>235.7829485134074</v>
      </c>
    </row>
    <row r="112" spans="1:7" x14ac:dyDescent="0.2">
      <c r="A112" s="203" t="s">
        <v>541</v>
      </c>
      <c r="B112" s="204">
        <f>B113+B114</f>
        <v>0.14250000000000002</v>
      </c>
      <c r="C112" s="205">
        <f>((C19+C49+C60+C80+C91+C95+C96)/(1-($B$112)))*$B$112</f>
        <v>744.29031445893895</v>
      </c>
      <c r="D112" s="205">
        <f t="shared" ref="D112:F112" si="26">((D19+D49+D60+D80+D91+D95+D96)/(1-($B$112)))*$B$112</f>
        <v>632.56073140635954</v>
      </c>
      <c r="E112" s="205">
        <f t="shared" si="26"/>
        <v>766.37189746040838</v>
      </c>
      <c r="F112" s="205">
        <f t="shared" si="26"/>
        <v>849.7724013569034</v>
      </c>
    </row>
    <row r="113" spans="1:7" x14ac:dyDescent="0.2">
      <c r="A113" s="104" t="s">
        <v>536</v>
      </c>
      <c r="B113" s="108">
        <f>0.0165+0.076</f>
        <v>9.2499999999999999E-2</v>
      </c>
      <c r="C113" s="206">
        <f>((C19+C49+C60+C80+C91+C95+C96)/(1-($B$112)))*$B$113</f>
        <v>483.1358181575568</v>
      </c>
      <c r="D113" s="206">
        <f t="shared" ref="D113:F113" si="27">((D19+D49+D60+D80+D91+D95+D96)/(1-($B$112)))*$B$113</f>
        <v>410.60959757956664</v>
      </c>
      <c r="E113" s="206">
        <f t="shared" si="27"/>
        <v>497.46947729886148</v>
      </c>
      <c r="F113" s="206">
        <f t="shared" si="27"/>
        <v>551.60664649483203</v>
      </c>
    </row>
    <row r="114" spans="1:7" x14ac:dyDescent="0.2">
      <c r="A114" s="104" t="s">
        <v>537</v>
      </c>
      <c r="B114" s="209">
        <v>0.05</v>
      </c>
      <c r="C114" s="207">
        <f>((C19+C49+C60+C80+C91+C95+C96)/(1-($B$112)))*$B$114</f>
        <v>261.15449630138204</v>
      </c>
      <c r="D114" s="207">
        <f t="shared" ref="D114:F114" si="28">((D19+D49+D60+D80+D91+D95+D96)/(1-($B$112)))*$B$114</f>
        <v>221.95113382679278</v>
      </c>
      <c r="E114" s="207">
        <f t="shared" si="28"/>
        <v>268.90242016154679</v>
      </c>
      <c r="F114" s="207">
        <f t="shared" si="28"/>
        <v>298.16575486207137</v>
      </c>
    </row>
    <row r="115" spans="1:7" x14ac:dyDescent="0.2">
      <c r="A115" s="1038" t="s">
        <v>542</v>
      </c>
      <c r="B115" s="210">
        <v>0.02</v>
      </c>
      <c r="C115" s="211">
        <f>C95+C96+C97</f>
        <v>974.66555602634753</v>
      </c>
      <c r="D115" s="211">
        <f>D95+D96+D97</f>
        <v>828.35305662253836</v>
      </c>
      <c r="E115" s="211">
        <f>E95+E96+E97</f>
        <v>1003.581904870299</v>
      </c>
      <c r="F115" s="211">
        <f>F95+F96+F97</f>
        <v>1112.7968132521805</v>
      </c>
    </row>
    <row r="116" spans="1:7" x14ac:dyDescent="0.2">
      <c r="A116" s="1038"/>
      <c r="B116" s="212">
        <v>2.5000000000000001E-2</v>
      </c>
      <c r="C116" s="213">
        <f>C95+C96+C100</f>
        <v>1003.2578210325713</v>
      </c>
      <c r="D116" s="213">
        <f>D95+D96+D100</f>
        <v>852.653176768599</v>
      </c>
      <c r="E116" s="213">
        <f>E95+E96+E100</f>
        <v>1033.0224443477471</v>
      </c>
      <c r="F116" s="213">
        <f>F95+F96+F100</f>
        <v>1145.4412225942992</v>
      </c>
    </row>
    <row r="117" spans="1:7" ht="15.75" customHeight="1" x14ac:dyDescent="0.2">
      <c r="A117" s="1038"/>
      <c r="B117" s="212">
        <v>0.03</v>
      </c>
      <c r="C117" s="213">
        <f>C95+C96+C103</f>
        <v>1032.1759238166442</v>
      </c>
      <c r="D117" s="213">
        <f>D95+D96+D103</f>
        <v>877.23022136076884</v>
      </c>
      <c r="E117" s="213">
        <f>E95+E96+E103</f>
        <v>1062.7984885485851</v>
      </c>
      <c r="F117" s="213">
        <f>F95+F96+F103</f>
        <v>1178.457647997297</v>
      </c>
      <c r="G117" s="208"/>
    </row>
    <row r="118" spans="1:7" ht="15.75" customHeight="1" x14ac:dyDescent="0.2">
      <c r="A118" s="1038"/>
      <c r="B118" s="641">
        <v>3.5000000000000003E-2</v>
      </c>
      <c r="C118" s="213">
        <f>C95+C96+C106</f>
        <v>1061.4254661741734</v>
      </c>
      <c r="D118" s="213">
        <f t="shared" ref="D118:F118" si="29">D95+D96+D106</f>
        <v>902.08895127777691</v>
      </c>
      <c r="E118" s="213">
        <f t="shared" si="29"/>
        <v>1092.9158054623265</v>
      </c>
      <c r="F118" s="213">
        <f t="shared" si="29"/>
        <v>1211.8524851527645</v>
      </c>
      <c r="G118" s="208"/>
    </row>
    <row r="119" spans="1:7" ht="15.75" customHeight="1" x14ac:dyDescent="0.2">
      <c r="A119" s="1038"/>
      <c r="B119" s="212">
        <v>0.04</v>
      </c>
      <c r="C119" s="213">
        <f>C95+C96+C109</f>
        <v>1091.0121790487922</v>
      </c>
      <c r="D119" s="213">
        <f>D95+D96+D109</f>
        <v>927.2342371592465</v>
      </c>
      <c r="E119" s="213">
        <f>E95+E96+E109</f>
        <v>1123.3802960580708</v>
      </c>
      <c r="F119" s="213">
        <f>F95+F96+F109</f>
        <v>1245.6322772033959</v>
      </c>
    </row>
    <row r="120" spans="1:7" ht="15.75" customHeight="1" x14ac:dyDescent="0.2">
      <c r="A120" s="1038"/>
      <c r="B120" s="214">
        <v>0.05</v>
      </c>
      <c r="C120" s="215">
        <f>C95+C96+C112</f>
        <v>1151.2207084554509</v>
      </c>
      <c r="D120" s="215">
        <f>D95+D96+D112</f>
        <v>978.40452737868009</v>
      </c>
      <c r="E120" s="215">
        <f>E95+E96+E112</f>
        <v>1185.3750903316266</v>
      </c>
      <c r="F120" s="215">
        <f>F95+F96+F112</f>
        <v>1314.3736616096376</v>
      </c>
    </row>
    <row r="121" spans="1:7" ht="15.75" customHeight="1" x14ac:dyDescent="0.2">
      <c r="A121" s="104" t="s">
        <v>543</v>
      </c>
      <c r="B121" s="216"/>
      <c r="C121" s="217"/>
      <c r="D121" s="217"/>
      <c r="E121" s="218"/>
      <c r="F121" s="219"/>
    </row>
    <row r="122" spans="1:7" ht="24.75" customHeight="1" x14ac:dyDescent="0.2">
      <c r="A122" s="154"/>
      <c r="B122" s="220"/>
      <c r="C122" s="221"/>
      <c r="D122" s="221"/>
      <c r="E122" s="222"/>
      <c r="F122" s="223"/>
    </row>
    <row r="123" spans="1:7" ht="15.75" customHeight="1" x14ac:dyDescent="0.2">
      <c r="A123" s="1039"/>
      <c r="B123" s="1039"/>
      <c r="C123" s="1039"/>
      <c r="D123" s="1039"/>
      <c r="E123" s="1039"/>
      <c r="F123" s="1039"/>
    </row>
    <row r="124" spans="1:7" ht="15.75" customHeight="1" x14ac:dyDescent="0.2">
      <c r="A124" s="1040"/>
      <c r="B124" s="1040"/>
      <c r="C124" s="1040"/>
      <c r="D124" s="1040"/>
      <c r="E124" s="1040"/>
      <c r="F124" s="1040"/>
    </row>
    <row r="125" spans="1:7" ht="54.75" customHeight="1" x14ac:dyDescent="0.2">
      <c r="A125" s="1041" t="s">
        <v>544</v>
      </c>
      <c r="B125" s="1041"/>
      <c r="C125" s="224" t="str">
        <f>C10</f>
        <v xml:space="preserve">Servente 44h </v>
      </c>
      <c r="D125" s="224" t="str">
        <f>D10</f>
        <v>Servente 30h</v>
      </c>
      <c r="E125" s="225" t="str">
        <f>E10</f>
        <v>Servente 44h limpeza de esquadrias com risco</v>
      </c>
      <c r="F125" s="226" t="str">
        <f>F10</f>
        <v>Encarregada 44h</v>
      </c>
    </row>
    <row r="126" spans="1:7" ht="15.75" customHeight="1" x14ac:dyDescent="0.2">
      <c r="A126" s="1035" t="s">
        <v>545</v>
      </c>
      <c r="B126" s="1035"/>
      <c r="C126" s="227" t="s">
        <v>474</v>
      </c>
      <c r="D126" s="227" t="s">
        <v>474</v>
      </c>
      <c r="E126" s="227" t="s">
        <v>474</v>
      </c>
      <c r="F126" s="228" t="s">
        <v>474</v>
      </c>
    </row>
    <row r="127" spans="1:7" ht="14.25" customHeight="1" x14ac:dyDescent="0.2">
      <c r="A127" s="1036" t="s">
        <v>546</v>
      </c>
      <c r="B127" s="1036"/>
      <c r="C127" s="229">
        <f>C19</f>
        <v>1587.2640000000001</v>
      </c>
      <c r="D127" s="229">
        <f>D19</f>
        <v>1298.6705454545454</v>
      </c>
      <c r="E127" s="229">
        <f>E19</f>
        <v>1719.5360000000001</v>
      </c>
      <c r="F127" s="230">
        <f>F19</f>
        <v>2170.884</v>
      </c>
    </row>
    <row r="128" spans="1:7" ht="14.25" customHeight="1" x14ac:dyDescent="0.2">
      <c r="A128" s="1031" t="s">
        <v>547</v>
      </c>
      <c r="B128" s="1031"/>
      <c r="C128" s="150">
        <f>C49</f>
        <v>1488.2591466666668</v>
      </c>
      <c r="D128" s="150">
        <f>D49</f>
        <v>1254.67112</v>
      </c>
      <c r="E128" s="150">
        <f>E49</f>
        <v>1566.302408888889</v>
      </c>
      <c r="F128" s="151">
        <f>F49</f>
        <v>1803.4142133333335</v>
      </c>
    </row>
    <row r="129" spans="1:6" ht="14.25" customHeight="1" x14ac:dyDescent="0.2">
      <c r="A129" s="1031" t="s">
        <v>548</v>
      </c>
      <c r="B129" s="1031"/>
      <c r="C129" s="150">
        <f>C60</f>
        <v>103.96579199999999</v>
      </c>
      <c r="D129" s="150">
        <f>D60</f>
        <v>85.062920727272711</v>
      </c>
      <c r="E129" s="150">
        <f>E60</f>
        <v>112.62960799999999</v>
      </c>
      <c r="F129" s="151">
        <f>F60</f>
        <v>142.19290199999998</v>
      </c>
    </row>
    <row r="130" spans="1:6" ht="14.25" customHeight="1" x14ac:dyDescent="0.2">
      <c r="A130" s="1031" t="s">
        <v>549</v>
      </c>
      <c r="B130" s="1031"/>
      <c r="C130" s="150">
        <f>C80</f>
        <v>344.55894464626391</v>
      </c>
      <c r="D130" s="150">
        <f>D80</f>
        <v>285.61222871609806</v>
      </c>
      <c r="E130" s="150">
        <f>E80</f>
        <v>368.68422027708641</v>
      </c>
      <c r="F130" s="151">
        <f>F69</f>
        <v>410.26153957328353</v>
      </c>
    </row>
    <row r="131" spans="1:6" ht="15.75" customHeight="1" x14ac:dyDescent="0.2">
      <c r="A131" s="1031" t="s">
        <v>550</v>
      </c>
      <c r="B131" s="1031"/>
      <c r="C131" s="150">
        <f>C91</f>
        <v>547.82133425925929</v>
      </c>
      <c r="D131" s="150">
        <f>D91</f>
        <v>536.60133425925926</v>
      </c>
      <c r="E131" s="150">
        <f>E91</f>
        <v>425.5210757333333</v>
      </c>
      <c r="F131" s="151">
        <f>F91</f>
        <v>84.353749999999991</v>
      </c>
    </row>
    <row r="132" spans="1:6" ht="15.75" customHeight="1" x14ac:dyDescent="0.2">
      <c r="A132" s="1034" t="s">
        <v>551</v>
      </c>
      <c r="B132" s="1034"/>
      <c r="C132" s="152">
        <f>SUM(C127:C131)</f>
        <v>4071.8692175721903</v>
      </c>
      <c r="D132" s="152">
        <f>SUM(D127:D131)</f>
        <v>3460.6181491571751</v>
      </c>
      <c r="E132" s="231">
        <f>SUM(E127:E131)</f>
        <v>4192.6733128993083</v>
      </c>
      <c r="F132" s="153">
        <f>SUM(F127:F131)</f>
        <v>4611.1064049066172</v>
      </c>
    </row>
    <row r="133" spans="1:6" ht="15.75" customHeight="1" x14ac:dyDescent="0.2">
      <c r="A133" s="1032" t="s">
        <v>552</v>
      </c>
      <c r="B133" s="1032"/>
      <c r="C133" s="232">
        <f t="shared" ref="C133:F134" si="30">C115</f>
        <v>974.66555602634753</v>
      </c>
      <c r="D133" s="232">
        <f t="shared" si="30"/>
        <v>828.35305662253836</v>
      </c>
      <c r="E133" s="232">
        <f t="shared" si="30"/>
        <v>1003.581904870299</v>
      </c>
      <c r="F133" s="233">
        <f t="shared" si="30"/>
        <v>1112.7968132521805</v>
      </c>
    </row>
    <row r="134" spans="1:6" ht="15.75" customHeight="1" x14ac:dyDescent="0.2">
      <c r="A134" s="1031" t="s">
        <v>553</v>
      </c>
      <c r="B134" s="1031"/>
      <c r="C134" s="234">
        <f t="shared" si="30"/>
        <v>1003.2578210325713</v>
      </c>
      <c r="D134" s="234">
        <f t="shared" si="30"/>
        <v>852.653176768599</v>
      </c>
      <c r="E134" s="234">
        <f t="shared" si="30"/>
        <v>1033.0224443477471</v>
      </c>
      <c r="F134" s="235">
        <f t="shared" si="30"/>
        <v>1145.4412225942992</v>
      </c>
    </row>
    <row r="135" spans="1:6" ht="15.75" customHeight="1" x14ac:dyDescent="0.2">
      <c r="A135" s="1031" t="s">
        <v>554</v>
      </c>
      <c r="B135" s="1031"/>
      <c r="C135" s="234">
        <f>C117</f>
        <v>1032.1759238166442</v>
      </c>
      <c r="D135" s="234">
        <f t="shared" ref="D135:F135" si="31">D117</f>
        <v>877.23022136076884</v>
      </c>
      <c r="E135" s="234">
        <f t="shared" si="31"/>
        <v>1062.7984885485851</v>
      </c>
      <c r="F135" s="234">
        <f t="shared" si="31"/>
        <v>1178.457647997297</v>
      </c>
    </row>
    <row r="136" spans="1:6" ht="15.75" customHeight="1" x14ac:dyDescent="0.2">
      <c r="A136" s="1031" t="s">
        <v>619</v>
      </c>
      <c r="B136" s="1031"/>
      <c r="C136" s="234">
        <f>C118</f>
        <v>1061.4254661741734</v>
      </c>
      <c r="D136" s="234">
        <f t="shared" ref="D136:F136" si="32">D118</f>
        <v>902.08895127777691</v>
      </c>
      <c r="E136" s="234">
        <f t="shared" si="32"/>
        <v>1092.9158054623265</v>
      </c>
      <c r="F136" s="234">
        <f t="shared" si="32"/>
        <v>1211.8524851527645</v>
      </c>
    </row>
    <row r="137" spans="1:6" ht="15.75" customHeight="1" x14ac:dyDescent="0.2">
      <c r="A137" s="1031" t="s">
        <v>555</v>
      </c>
      <c r="B137" s="1031"/>
      <c r="C137" s="234">
        <f>C119</f>
        <v>1091.0121790487922</v>
      </c>
      <c r="D137" s="234">
        <f t="shared" ref="D137:F138" si="33">D119</f>
        <v>927.2342371592465</v>
      </c>
      <c r="E137" s="234">
        <f t="shared" si="33"/>
        <v>1123.3802960580708</v>
      </c>
      <c r="F137" s="235">
        <f t="shared" si="33"/>
        <v>1245.6322772033959</v>
      </c>
    </row>
    <row r="138" spans="1:6" ht="15.75" customHeight="1" x14ac:dyDescent="0.2">
      <c r="A138" s="1032" t="s">
        <v>556</v>
      </c>
      <c r="B138" s="1032"/>
      <c r="C138" s="234">
        <f>C120</f>
        <v>1151.2207084554509</v>
      </c>
      <c r="D138" s="234">
        <f t="shared" si="33"/>
        <v>978.40452737868009</v>
      </c>
      <c r="E138" s="234">
        <f t="shared" si="33"/>
        <v>1185.3750903316266</v>
      </c>
      <c r="F138" s="235">
        <f t="shared" si="33"/>
        <v>1314.3736616096376</v>
      </c>
    </row>
    <row r="139" spans="1:6" ht="15.75" customHeight="1" x14ac:dyDescent="0.2">
      <c r="A139" s="236" t="s">
        <v>557</v>
      </c>
      <c r="B139" s="237"/>
      <c r="C139" s="238">
        <f>C132+C133</f>
        <v>5046.5347735985379</v>
      </c>
      <c r="D139" s="238">
        <f>D132+D133</f>
        <v>4288.9712057797133</v>
      </c>
      <c r="E139" s="238">
        <f>E132+E133</f>
        <v>5196.255217769607</v>
      </c>
      <c r="F139" s="239">
        <f>F132+F133</f>
        <v>5723.9032181587972</v>
      </c>
    </row>
    <row r="140" spans="1:6" ht="15.75" customHeight="1" x14ac:dyDescent="0.2">
      <c r="A140" s="240" t="s">
        <v>558</v>
      </c>
      <c r="B140" s="241"/>
      <c r="C140" s="242">
        <f>C132+C134</f>
        <v>5075.1270386047618</v>
      </c>
      <c r="D140" s="242">
        <f>D132+D134</f>
        <v>4313.2713259257744</v>
      </c>
      <c r="E140" s="242">
        <f>E132+E134</f>
        <v>5225.6957572470556</v>
      </c>
      <c r="F140" s="243">
        <f>F132+F134</f>
        <v>5756.5476275009169</v>
      </c>
    </row>
    <row r="141" spans="1:6" ht="15.75" customHeight="1" x14ac:dyDescent="0.2">
      <c r="A141" s="240" t="s">
        <v>559</v>
      </c>
      <c r="B141" s="241"/>
      <c r="C141" s="242">
        <f>C132+C135</f>
        <v>5104.045141388835</v>
      </c>
      <c r="D141" s="242">
        <f>D132+D135</f>
        <v>4337.8483705179442</v>
      </c>
      <c r="E141" s="242">
        <f>E132+E135</f>
        <v>5255.4718014478931</v>
      </c>
      <c r="F141" s="243">
        <f>F132+F135</f>
        <v>5789.5640529039138</v>
      </c>
    </row>
    <row r="142" spans="1:6" ht="15.75" customHeight="1" x14ac:dyDescent="0.2">
      <c r="A142" s="240" t="s">
        <v>620</v>
      </c>
      <c r="B142" s="241"/>
      <c r="C142" s="242">
        <f>C132+C136</f>
        <v>5133.2946837463642</v>
      </c>
      <c r="D142" s="242">
        <f t="shared" ref="D142:F142" si="34">D132+D136</f>
        <v>4362.7071004349518</v>
      </c>
      <c r="E142" s="242">
        <f t="shared" si="34"/>
        <v>5285.589118361635</v>
      </c>
      <c r="F142" s="242">
        <f t="shared" si="34"/>
        <v>5822.9588900593817</v>
      </c>
    </row>
    <row r="143" spans="1:6" ht="15.75" customHeight="1" x14ac:dyDescent="0.2">
      <c r="A143" s="240" t="s">
        <v>560</v>
      </c>
      <c r="B143" s="241"/>
      <c r="C143" s="242">
        <f>C132+C137</f>
        <v>5162.8813966209827</v>
      </c>
      <c r="D143" s="242">
        <f>D132+D137</f>
        <v>4387.8523863164219</v>
      </c>
      <c r="E143" s="242">
        <f>E132+E137</f>
        <v>5316.0536089573789</v>
      </c>
      <c r="F143" s="243">
        <f>F132+F137</f>
        <v>5856.7386821100135</v>
      </c>
    </row>
    <row r="144" spans="1:6" ht="15.75" customHeight="1" x14ac:dyDescent="0.2">
      <c r="A144" s="240" t="s">
        <v>561</v>
      </c>
      <c r="B144" s="241"/>
      <c r="C144" s="242">
        <f>C132+C138</f>
        <v>5223.089926027641</v>
      </c>
      <c r="D144" s="242">
        <f>D132+D138</f>
        <v>4439.0226765358548</v>
      </c>
      <c r="E144" s="242">
        <f>E132+E138</f>
        <v>5378.048403230935</v>
      </c>
      <c r="F144" s="243">
        <f>F132+F138</f>
        <v>5925.4800665162547</v>
      </c>
    </row>
    <row r="145" spans="1:17" ht="15.75" customHeight="1" x14ac:dyDescent="0.2">
      <c r="A145" s="736" t="s">
        <v>562</v>
      </c>
      <c r="B145" s="737"/>
      <c r="C145" s="738">
        <f>C139/220</f>
        <v>22.938794425447899</v>
      </c>
      <c r="D145" s="738"/>
      <c r="E145" s="751"/>
      <c r="F145" s="739"/>
    </row>
    <row r="146" spans="1:17" ht="15.75" customHeight="1" x14ac:dyDescent="0.2">
      <c r="A146" s="408" t="s">
        <v>563</v>
      </c>
      <c r="B146" s="246"/>
      <c r="C146" s="247">
        <f t="shared" ref="C146:C150" si="35">C140/220</f>
        <v>23.068759266385282</v>
      </c>
      <c r="D146" s="247"/>
      <c r="E146" s="735"/>
      <c r="F146" s="740"/>
    </row>
    <row r="147" spans="1:17" ht="15.75" customHeight="1" x14ac:dyDescent="0.2">
      <c r="A147" s="408" t="s">
        <v>564</v>
      </c>
      <c r="B147" s="246"/>
      <c r="C147" s="247">
        <f t="shared" si="35"/>
        <v>23.200205188131068</v>
      </c>
      <c r="D147" s="247"/>
      <c r="E147" s="735"/>
      <c r="F147" s="740"/>
    </row>
    <row r="148" spans="1:17" ht="15.75" customHeight="1" x14ac:dyDescent="0.2">
      <c r="A148" s="408" t="s">
        <v>621</v>
      </c>
      <c r="B148" s="246"/>
      <c r="C148" s="247">
        <f t="shared" si="35"/>
        <v>23.333157653392565</v>
      </c>
      <c r="D148" s="247"/>
      <c r="E148" s="735"/>
      <c r="F148" s="740"/>
    </row>
    <row r="149" spans="1:17" ht="15.75" customHeight="1" x14ac:dyDescent="0.2">
      <c r="A149" s="408" t="s">
        <v>565</v>
      </c>
      <c r="B149" s="246"/>
      <c r="C149" s="247">
        <f t="shared" si="35"/>
        <v>23.467642711913559</v>
      </c>
      <c r="D149" s="247"/>
      <c r="E149" s="735"/>
      <c r="F149" s="740"/>
    </row>
    <row r="150" spans="1:17" ht="15.75" customHeight="1" x14ac:dyDescent="0.2">
      <c r="A150" s="410" t="s">
        <v>566</v>
      </c>
      <c r="B150" s="411"/>
      <c r="C150" s="412">
        <f t="shared" si="35"/>
        <v>23.741317845580188</v>
      </c>
      <c r="D150" s="412"/>
      <c r="E150" s="752"/>
      <c r="F150" s="741"/>
    </row>
    <row r="151" spans="1:17" x14ac:dyDescent="0.2">
      <c r="A151" s="248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7" ht="14.25" customHeight="1" x14ac:dyDescent="0.2">
      <c r="A152" s="1033" t="s">
        <v>567</v>
      </c>
      <c r="B152" s="1033"/>
      <c r="C152" s="1033" t="s">
        <v>568</v>
      </c>
      <c r="D152" s="1033"/>
      <c r="E152" s="1029" t="s">
        <v>569</v>
      </c>
      <c r="F152" s="1030"/>
      <c r="G152" s="1028" t="s">
        <v>570</v>
      </c>
      <c r="H152" s="1028"/>
      <c r="I152" s="1028" t="s">
        <v>622</v>
      </c>
      <c r="J152" s="1028"/>
      <c r="K152" s="1028" t="s">
        <v>571</v>
      </c>
      <c r="L152" s="1028"/>
      <c r="M152" s="1028" t="s">
        <v>572</v>
      </c>
      <c r="N152" s="1028"/>
    </row>
    <row r="153" spans="1:17" ht="38.25" x14ac:dyDescent="0.2">
      <c r="A153" s="271" t="s">
        <v>573</v>
      </c>
      <c r="B153" s="272" t="s">
        <v>574</v>
      </c>
      <c r="C153" s="272" t="s">
        <v>575</v>
      </c>
      <c r="D153" s="272" t="s">
        <v>576</v>
      </c>
      <c r="E153" s="272" t="s">
        <v>575</v>
      </c>
      <c r="F153" s="272" t="s">
        <v>576</v>
      </c>
      <c r="G153" s="272" t="s">
        <v>575</v>
      </c>
      <c r="H153" s="272" t="s">
        <v>576</v>
      </c>
      <c r="I153" s="272" t="s">
        <v>575</v>
      </c>
      <c r="J153" s="272" t="s">
        <v>576</v>
      </c>
      <c r="K153" s="272" t="s">
        <v>575</v>
      </c>
      <c r="L153" s="272" t="s">
        <v>576</v>
      </c>
      <c r="M153" s="272" t="s">
        <v>575</v>
      </c>
      <c r="N153" s="272" t="s">
        <v>576</v>
      </c>
    </row>
    <row r="154" spans="1:17" x14ac:dyDescent="0.2">
      <c r="A154" s="273" t="s">
        <v>577</v>
      </c>
      <c r="B154" s="274">
        <f>1/'Prod. GEXBLU'!C17</f>
        <v>1.25E-3</v>
      </c>
      <c r="C154" s="275">
        <f>C139</f>
        <v>5046.5347735985379</v>
      </c>
      <c r="D154" s="275">
        <f>B154*C154</f>
        <v>6.3081684669981728</v>
      </c>
      <c r="E154" s="275">
        <f>C140</f>
        <v>5075.1270386047618</v>
      </c>
      <c r="F154" s="275">
        <f>B154*E154</f>
        <v>6.3439087982559528</v>
      </c>
      <c r="G154" s="275">
        <f>C141</f>
        <v>5104.045141388835</v>
      </c>
      <c r="H154" s="275">
        <f>B154*G154</f>
        <v>6.3800564267360436</v>
      </c>
      <c r="I154" s="275">
        <f>C142</f>
        <v>5133.2946837463642</v>
      </c>
      <c r="J154" s="275">
        <f>B154*I154</f>
        <v>6.4166183546829556</v>
      </c>
      <c r="K154" s="275">
        <f>C143</f>
        <v>5162.8813966209827</v>
      </c>
      <c r="L154" s="275">
        <f>B154*K154</f>
        <v>6.4536017457762282</v>
      </c>
      <c r="M154" s="275">
        <f>C144</f>
        <v>5223.089926027641</v>
      </c>
      <c r="N154" s="275">
        <f>B154*M154</f>
        <v>6.5288624075345512</v>
      </c>
    </row>
    <row r="155" spans="1:17" x14ac:dyDescent="0.2">
      <c r="A155" s="276" t="s">
        <v>578</v>
      </c>
      <c r="B155" s="274">
        <f>B154/'Prod. GEXBLU'!O17</f>
        <v>6.9444444444444444E-5</v>
      </c>
      <c r="C155" s="275">
        <f>F141</f>
        <v>5789.5640529039138</v>
      </c>
      <c r="D155" s="275">
        <f>C155*B155</f>
        <v>0.40205305922943846</v>
      </c>
      <c r="E155" s="275">
        <f>F141</f>
        <v>5789.5640529039138</v>
      </c>
      <c r="F155" s="275">
        <f>B155*E155</f>
        <v>0.40205305922943846</v>
      </c>
      <c r="G155" s="275">
        <f>F141</f>
        <v>5789.5640529039138</v>
      </c>
      <c r="H155" s="275">
        <f>B155*G155</f>
        <v>0.40205305922943846</v>
      </c>
      <c r="I155" s="275">
        <f>F141</f>
        <v>5789.5640529039138</v>
      </c>
      <c r="J155" s="275">
        <f>B155*I155</f>
        <v>0.40205305922943846</v>
      </c>
      <c r="K155" s="275">
        <f>F141</f>
        <v>5789.5640529039138</v>
      </c>
      <c r="L155" s="275">
        <f>B155*K155</f>
        <v>0.40205305922943846</v>
      </c>
      <c r="M155" s="275">
        <f>F141</f>
        <v>5789.5640529039138</v>
      </c>
      <c r="N155" s="275">
        <f>B155*M155</f>
        <v>0.40205305922943846</v>
      </c>
      <c r="O155" s="1018"/>
      <c r="P155" s="1019"/>
      <c r="Q155" s="429"/>
    </row>
    <row r="156" spans="1:17" x14ac:dyDescent="0.2">
      <c r="A156" s="277" t="s">
        <v>579</v>
      </c>
      <c r="B156" s="278"/>
      <c r="C156" s="279"/>
      <c r="D156" s="279">
        <f>SUM(D154:D155)</f>
        <v>6.7102215262276115</v>
      </c>
      <c r="E156" s="279"/>
      <c r="F156" s="279">
        <f>SUM(F154:F155)</f>
        <v>6.7459618574853915</v>
      </c>
      <c r="G156" s="279"/>
      <c r="H156" s="279">
        <f>SUM(H154:H155)</f>
        <v>6.7821094859654822</v>
      </c>
      <c r="I156" s="279"/>
      <c r="J156" s="279">
        <f t="shared" ref="J156" si="36">SUM(J154:J155)</f>
        <v>6.8186714139123943</v>
      </c>
      <c r="K156" s="279"/>
      <c r="L156" s="279">
        <f>SUM(L154:L155)</f>
        <v>6.8556548050056669</v>
      </c>
      <c r="M156" s="279"/>
      <c r="N156" s="279">
        <f>SUM(N154:N155)</f>
        <v>6.9309154667639898</v>
      </c>
      <c r="O156" s="427"/>
      <c r="P156" s="428"/>
    </row>
    <row r="157" spans="1:17" x14ac:dyDescent="0.2">
      <c r="A157" s="249"/>
      <c r="B157" s="250"/>
      <c r="C157" s="250"/>
      <c r="D157" s="251"/>
      <c r="E157" s="251"/>
      <c r="F157"/>
      <c r="G157"/>
      <c r="H157"/>
      <c r="I157"/>
      <c r="J157"/>
      <c r="K157"/>
      <c r="L157"/>
      <c r="M157"/>
      <c r="N157"/>
    </row>
    <row r="158" spans="1:17" ht="14.25" customHeight="1" x14ac:dyDescent="0.2">
      <c r="A158" s="1025" t="s">
        <v>580</v>
      </c>
      <c r="B158" s="1025"/>
      <c r="C158" s="1025" t="s">
        <v>568</v>
      </c>
      <c r="D158" s="1025"/>
      <c r="E158" s="1026" t="s">
        <v>569</v>
      </c>
      <c r="F158" s="1027"/>
      <c r="G158" s="1025" t="s">
        <v>570</v>
      </c>
      <c r="H158" s="1025"/>
      <c r="I158" s="1028" t="s">
        <v>622</v>
      </c>
      <c r="J158" s="1028"/>
      <c r="K158" s="1025" t="s">
        <v>571</v>
      </c>
      <c r="L158" s="1025"/>
      <c r="M158" s="1025" t="s">
        <v>572</v>
      </c>
      <c r="N158" s="1025"/>
    </row>
    <row r="159" spans="1:17" ht="38.25" x14ac:dyDescent="0.2">
      <c r="A159" s="271" t="s">
        <v>573</v>
      </c>
      <c r="B159" s="272" t="s">
        <v>581</v>
      </c>
      <c r="C159" s="272" t="s">
        <v>575</v>
      </c>
      <c r="D159" s="272" t="s">
        <v>576</v>
      </c>
      <c r="E159" s="272" t="s">
        <v>575</v>
      </c>
      <c r="F159" s="272" t="s">
        <v>576</v>
      </c>
      <c r="G159" s="272" t="s">
        <v>575</v>
      </c>
      <c r="H159" s="272" t="s">
        <v>576</v>
      </c>
      <c r="I159" s="272" t="s">
        <v>575</v>
      </c>
      <c r="J159" s="272" t="s">
        <v>576</v>
      </c>
      <c r="K159" s="272" t="s">
        <v>575</v>
      </c>
      <c r="L159" s="272" t="s">
        <v>576</v>
      </c>
      <c r="M159" s="272" t="s">
        <v>575</v>
      </c>
      <c r="N159" s="272" t="s">
        <v>576</v>
      </c>
    </row>
    <row r="160" spans="1:17" x14ac:dyDescent="0.2">
      <c r="A160" s="273" t="s">
        <v>577</v>
      </c>
      <c r="B160" s="280">
        <f>1/'Prod. GEXBLU'!D17</f>
        <v>6.6666666666666664E-4</v>
      </c>
      <c r="C160" s="281">
        <f>C139</f>
        <v>5046.5347735985379</v>
      </c>
      <c r="D160" s="275">
        <f>B160*C160</f>
        <v>3.3643565157323585</v>
      </c>
      <c r="E160" s="275">
        <f>C140</f>
        <v>5075.1270386047618</v>
      </c>
      <c r="F160" s="275">
        <f>B160*E160</f>
        <v>3.3834180257365079</v>
      </c>
      <c r="G160" s="275">
        <f>C141</f>
        <v>5104.045141388835</v>
      </c>
      <c r="H160" s="275">
        <f>B160*G160</f>
        <v>3.40269676092589</v>
      </c>
      <c r="I160" s="275">
        <f>C142</f>
        <v>5133.2946837463642</v>
      </c>
      <c r="J160" s="275">
        <f>B160*I160</f>
        <v>3.4221964558309095</v>
      </c>
      <c r="K160" s="275">
        <f>C143</f>
        <v>5162.8813966209827</v>
      </c>
      <c r="L160" s="275">
        <f>B160*K160</f>
        <v>3.4419209310806549</v>
      </c>
      <c r="M160" s="275">
        <f>C144</f>
        <v>5223.089926027641</v>
      </c>
      <c r="N160" s="275">
        <f>B160*M160</f>
        <v>3.4820599506850938</v>
      </c>
    </row>
    <row r="161" spans="1:14" x14ac:dyDescent="0.2">
      <c r="A161" s="276" t="s">
        <v>578</v>
      </c>
      <c r="B161" s="274">
        <f>B160/'Prod. GEXBLU'!O17</f>
        <v>3.7037037037037037E-5</v>
      </c>
      <c r="C161" s="275">
        <f>F141</f>
        <v>5789.5640529039138</v>
      </c>
      <c r="D161" s="275">
        <f>B161*C161</f>
        <v>0.21442829825570051</v>
      </c>
      <c r="E161" s="275">
        <f>F141</f>
        <v>5789.5640529039138</v>
      </c>
      <c r="F161" s="275">
        <f>B161*E161</f>
        <v>0.21442829825570051</v>
      </c>
      <c r="G161" s="275">
        <f>F141</f>
        <v>5789.5640529039138</v>
      </c>
      <c r="H161" s="275">
        <f>B161*G161</f>
        <v>0.21442829825570051</v>
      </c>
      <c r="I161" s="275">
        <f>F141</f>
        <v>5789.5640529039138</v>
      </c>
      <c r="J161" s="275">
        <f>B161*I161</f>
        <v>0.21442829825570051</v>
      </c>
      <c r="K161" s="275">
        <f>F141</f>
        <v>5789.5640529039138</v>
      </c>
      <c r="L161" s="275">
        <f>B161*K161</f>
        <v>0.21442829825570051</v>
      </c>
      <c r="M161" s="275">
        <f>F141</f>
        <v>5789.5640529039138</v>
      </c>
      <c r="N161" s="275">
        <f>B161*M161</f>
        <v>0.21442829825570051</v>
      </c>
    </row>
    <row r="162" spans="1:14" x14ac:dyDescent="0.2">
      <c r="A162" s="277" t="s">
        <v>582</v>
      </c>
      <c r="B162" s="278"/>
      <c r="C162" s="279"/>
      <c r="D162" s="279">
        <f>SUM(D160:D161)</f>
        <v>3.5787848139880589</v>
      </c>
      <c r="E162" s="279"/>
      <c r="F162" s="279">
        <f>SUM(F160:F161)</f>
        <v>3.5978463239922083</v>
      </c>
      <c r="G162" s="279"/>
      <c r="H162" s="279">
        <f>SUM(H160:H161)</f>
        <v>3.6171250591815904</v>
      </c>
      <c r="I162" s="279"/>
      <c r="J162" s="279">
        <f t="shared" ref="J162" si="37">SUM(J160:J161)</f>
        <v>3.6366247540866099</v>
      </c>
      <c r="K162" s="279"/>
      <c r="L162" s="279">
        <f>SUM(L160:L161)</f>
        <v>3.6563492293363553</v>
      </c>
      <c r="M162" s="279"/>
      <c r="N162" s="279">
        <f>SUM(N160:N161)</f>
        <v>3.6964882489407942</v>
      </c>
    </row>
    <row r="163" spans="1:14" x14ac:dyDescent="0.2">
      <c r="A163" s="249"/>
      <c r="B163" s="252"/>
      <c r="C163" s="252"/>
      <c r="D163" s="252"/>
      <c r="E163" s="252"/>
      <c r="F163"/>
      <c r="G163"/>
      <c r="H163"/>
      <c r="I163"/>
      <c r="J163"/>
      <c r="K163"/>
      <c r="L163"/>
      <c r="M163"/>
      <c r="N163"/>
    </row>
    <row r="164" spans="1:14" ht="14.25" customHeight="1" x14ac:dyDescent="0.2">
      <c r="A164" s="1025" t="s">
        <v>583</v>
      </c>
      <c r="B164" s="1025"/>
      <c r="C164" s="1025" t="s">
        <v>568</v>
      </c>
      <c r="D164" s="1025"/>
      <c r="E164" s="1026" t="s">
        <v>569</v>
      </c>
      <c r="F164" s="1027"/>
      <c r="G164" s="1025" t="s">
        <v>570</v>
      </c>
      <c r="H164" s="1025"/>
      <c r="I164" s="1028" t="s">
        <v>622</v>
      </c>
      <c r="J164" s="1028"/>
      <c r="K164" s="1025" t="s">
        <v>571</v>
      </c>
      <c r="L164" s="1025"/>
      <c r="M164" s="1025" t="s">
        <v>572</v>
      </c>
      <c r="N164" s="1025"/>
    </row>
    <row r="165" spans="1:14" ht="38.25" x14ac:dyDescent="0.2">
      <c r="A165" s="271" t="s">
        <v>573</v>
      </c>
      <c r="B165" s="272" t="s">
        <v>581</v>
      </c>
      <c r="C165" s="272" t="s">
        <v>575</v>
      </c>
      <c r="D165" s="272" t="s">
        <v>576</v>
      </c>
      <c r="E165" s="272" t="s">
        <v>575</v>
      </c>
      <c r="F165" s="272" t="s">
        <v>576</v>
      </c>
      <c r="G165" s="272" t="s">
        <v>575</v>
      </c>
      <c r="H165" s="272" t="s">
        <v>576</v>
      </c>
      <c r="I165" s="272" t="s">
        <v>575</v>
      </c>
      <c r="J165" s="272" t="s">
        <v>576</v>
      </c>
      <c r="K165" s="272" t="s">
        <v>575</v>
      </c>
      <c r="L165" s="272" t="s">
        <v>576</v>
      </c>
      <c r="M165" s="272" t="s">
        <v>575</v>
      </c>
      <c r="N165" s="272" t="s">
        <v>576</v>
      </c>
    </row>
    <row r="166" spans="1:14" x14ac:dyDescent="0.2">
      <c r="A166" s="273" t="s">
        <v>577</v>
      </c>
      <c r="B166" s="280">
        <f>1/'Prod. GEXBLU'!E17</f>
        <v>1E-3</v>
      </c>
      <c r="C166" s="281">
        <f>C139</f>
        <v>5046.5347735985379</v>
      </c>
      <c r="D166" s="275">
        <f>B166*C166</f>
        <v>5.0465347735985384</v>
      </c>
      <c r="E166" s="275">
        <f>C140</f>
        <v>5075.1270386047618</v>
      </c>
      <c r="F166" s="275">
        <f>B166*E166</f>
        <v>5.0751270386047622</v>
      </c>
      <c r="G166" s="275">
        <f>C141</f>
        <v>5104.045141388835</v>
      </c>
      <c r="H166" s="275">
        <f>B166*G166</f>
        <v>5.104045141388835</v>
      </c>
      <c r="I166" s="275">
        <f>C142</f>
        <v>5133.2946837463642</v>
      </c>
      <c r="J166" s="275">
        <f>B166*I166</f>
        <v>5.1332946837463647</v>
      </c>
      <c r="K166" s="275">
        <f>C143</f>
        <v>5162.8813966209827</v>
      </c>
      <c r="L166" s="275">
        <f>B166*K166</f>
        <v>5.1628813966209828</v>
      </c>
      <c r="M166" s="275">
        <f>C144</f>
        <v>5223.089926027641</v>
      </c>
      <c r="N166" s="275">
        <f>B166*M166</f>
        <v>5.2230899260276411</v>
      </c>
    </row>
    <row r="167" spans="1:14" x14ac:dyDescent="0.2">
      <c r="A167" s="276" t="s">
        <v>578</v>
      </c>
      <c r="B167" s="274">
        <f>B166/'Prod. GEXBLU'!O17</f>
        <v>5.5555555555555558E-5</v>
      </c>
      <c r="C167" s="275">
        <f>F141</f>
        <v>5789.5640529039138</v>
      </c>
      <c r="D167" s="275">
        <f>B167*C167</f>
        <v>0.3216424473835508</v>
      </c>
      <c r="E167" s="275">
        <f>F140</f>
        <v>5756.5476275009169</v>
      </c>
      <c r="F167" s="275">
        <f>B167*E167</f>
        <v>0.31980820152782874</v>
      </c>
      <c r="G167" s="275">
        <f>F141</f>
        <v>5789.5640529039138</v>
      </c>
      <c r="H167" s="275">
        <f>B167*G167</f>
        <v>0.3216424473835508</v>
      </c>
      <c r="I167" s="275">
        <f>F141</f>
        <v>5789.5640529039138</v>
      </c>
      <c r="J167" s="275">
        <f>B167*I167</f>
        <v>0.3216424473835508</v>
      </c>
      <c r="K167" s="275">
        <f>F143</f>
        <v>5856.7386821100135</v>
      </c>
      <c r="L167" s="275">
        <f>B167*K167</f>
        <v>0.32537437122833412</v>
      </c>
      <c r="M167" s="275">
        <f>F144</f>
        <v>5925.4800665162547</v>
      </c>
      <c r="N167" s="275">
        <f>B167*M167</f>
        <v>0.32919333702868081</v>
      </c>
    </row>
    <row r="168" spans="1:14" x14ac:dyDescent="0.2">
      <c r="A168" s="277" t="s">
        <v>582</v>
      </c>
      <c r="B168" s="278"/>
      <c r="C168" s="279"/>
      <c r="D168" s="279">
        <f>SUM(D166:D167)</f>
        <v>5.3681772209820888</v>
      </c>
      <c r="E168" s="279"/>
      <c r="F168" s="279">
        <f>SUM(F166:F167)</f>
        <v>5.3949352401325914</v>
      </c>
      <c r="G168" s="279"/>
      <c r="H168" s="279">
        <f>SUM(H166:H167)</f>
        <v>5.4256875887723854</v>
      </c>
      <c r="I168" s="279"/>
      <c r="J168" s="279">
        <f t="shared" ref="J168" si="38">SUM(J166:J167)</f>
        <v>5.4549371311299151</v>
      </c>
      <c r="K168" s="279"/>
      <c r="L168" s="279">
        <f>SUM(L166:L167)</f>
        <v>5.4882557678493171</v>
      </c>
      <c r="M168" s="279"/>
      <c r="N168" s="279">
        <f>SUM(N166:N167)</f>
        <v>5.5522832630563217</v>
      </c>
    </row>
    <row r="169" spans="1:14" x14ac:dyDescent="0.2">
      <c r="A169" s="249"/>
      <c r="B169" s="252"/>
      <c r="C169" s="252"/>
      <c r="D169" s="252"/>
      <c r="E169" s="252"/>
      <c r="F169"/>
      <c r="G169"/>
      <c r="H169"/>
      <c r="I169"/>
      <c r="J169"/>
      <c r="K169"/>
      <c r="L169"/>
      <c r="M169"/>
      <c r="N169"/>
    </row>
    <row r="170" spans="1:14" ht="14.25" customHeight="1" x14ac:dyDescent="0.2">
      <c r="A170" s="1025" t="s">
        <v>584</v>
      </c>
      <c r="B170" s="1025"/>
      <c r="C170" s="1025" t="s">
        <v>568</v>
      </c>
      <c r="D170" s="1025"/>
      <c r="E170" s="1026" t="s">
        <v>569</v>
      </c>
      <c r="F170" s="1027"/>
      <c r="G170" s="1025" t="s">
        <v>570</v>
      </c>
      <c r="H170" s="1025"/>
      <c r="I170" s="1028" t="s">
        <v>622</v>
      </c>
      <c r="J170" s="1028"/>
      <c r="K170" s="1025" t="s">
        <v>571</v>
      </c>
      <c r="L170" s="1025"/>
      <c r="M170" s="1025" t="s">
        <v>572</v>
      </c>
      <c r="N170" s="1025"/>
    </row>
    <row r="171" spans="1:14" ht="38.25" x14ac:dyDescent="0.2">
      <c r="A171" s="271" t="s">
        <v>573</v>
      </c>
      <c r="B171" s="272" t="s">
        <v>581</v>
      </c>
      <c r="C171" s="272" t="s">
        <v>575</v>
      </c>
      <c r="D171" s="272" t="s">
        <v>576</v>
      </c>
      <c r="E171" s="272" t="s">
        <v>575</v>
      </c>
      <c r="F171" s="272" t="s">
        <v>576</v>
      </c>
      <c r="G171" s="272" t="s">
        <v>575</v>
      </c>
      <c r="H171" s="272" t="s">
        <v>576</v>
      </c>
      <c r="I171" s="272" t="s">
        <v>575</v>
      </c>
      <c r="J171" s="272" t="s">
        <v>576</v>
      </c>
      <c r="K171" s="272" t="s">
        <v>575</v>
      </c>
      <c r="L171" s="272" t="s">
        <v>576</v>
      </c>
      <c r="M171" s="272" t="s">
        <v>575</v>
      </c>
      <c r="N171" s="272" t="s">
        <v>576</v>
      </c>
    </row>
    <row r="172" spans="1:14" x14ac:dyDescent="0.2">
      <c r="A172" s="273" t="s">
        <v>577</v>
      </c>
      <c r="B172" s="280">
        <f>1/'Prod. GEXBLU'!F17</f>
        <v>5.0000000000000001E-3</v>
      </c>
      <c r="C172" s="275">
        <f>C139</f>
        <v>5046.5347735985379</v>
      </c>
      <c r="D172" s="275">
        <f>B172*C172</f>
        <v>25.232673867992691</v>
      </c>
      <c r="E172" s="275">
        <f>C140</f>
        <v>5075.1270386047618</v>
      </c>
      <c r="F172" s="275">
        <f>B172*E172</f>
        <v>25.375635193023811</v>
      </c>
      <c r="G172" s="275">
        <f>C141</f>
        <v>5104.045141388835</v>
      </c>
      <c r="H172" s="275">
        <f>B172*G172</f>
        <v>25.520225706944174</v>
      </c>
      <c r="I172" s="275">
        <f>C142</f>
        <v>5133.2946837463642</v>
      </c>
      <c r="J172" s="275">
        <f>B172*I172</f>
        <v>25.666473418731822</v>
      </c>
      <c r="K172" s="275">
        <f>C143</f>
        <v>5162.8813966209827</v>
      </c>
      <c r="L172" s="275">
        <f>B172*K172</f>
        <v>25.814406983104913</v>
      </c>
      <c r="M172" s="275">
        <f>C144</f>
        <v>5223.089926027641</v>
      </c>
      <c r="N172" s="275">
        <f>B172*M172</f>
        <v>26.115449630138205</v>
      </c>
    </row>
    <row r="173" spans="1:14" x14ac:dyDescent="0.2">
      <c r="A173" s="276" t="s">
        <v>578</v>
      </c>
      <c r="B173" s="274">
        <f>B172/'Prod. GEXBLU'!O17</f>
        <v>2.7777777777777778E-4</v>
      </c>
      <c r="C173" s="275">
        <f>F141</f>
        <v>5789.5640529039138</v>
      </c>
      <c r="D173" s="275">
        <f>C173*B173</f>
        <v>1.6082122369177538</v>
      </c>
      <c r="E173" s="275">
        <f>F141</f>
        <v>5789.5640529039138</v>
      </c>
      <c r="F173" s="275">
        <f>B173*E173</f>
        <v>1.6082122369177538</v>
      </c>
      <c r="G173" s="275">
        <f>F141</f>
        <v>5789.5640529039138</v>
      </c>
      <c r="H173" s="275">
        <f>B173*G173</f>
        <v>1.6082122369177538</v>
      </c>
      <c r="I173" s="275">
        <f>F141</f>
        <v>5789.5640529039138</v>
      </c>
      <c r="J173" s="275">
        <f>B173*I173</f>
        <v>1.6082122369177538</v>
      </c>
      <c r="K173" s="275">
        <f>F141</f>
        <v>5789.5640529039138</v>
      </c>
      <c r="L173" s="275">
        <f>B173*K173</f>
        <v>1.6082122369177538</v>
      </c>
      <c r="M173" s="275">
        <f>F141</f>
        <v>5789.5640529039138</v>
      </c>
      <c r="N173" s="275">
        <f>B173*M173</f>
        <v>1.6082122369177538</v>
      </c>
    </row>
    <row r="174" spans="1:14" x14ac:dyDescent="0.2">
      <c r="A174" s="277" t="s">
        <v>582</v>
      </c>
      <c r="B174" s="278"/>
      <c r="C174" s="279"/>
      <c r="D174" s="279">
        <f>SUM(D172:D173)</f>
        <v>26.840886104910446</v>
      </c>
      <c r="E174" s="279"/>
      <c r="F174" s="279">
        <f>SUM(F172:F173)</f>
        <v>26.983847429941566</v>
      </c>
      <c r="G174" s="279"/>
      <c r="H174" s="279">
        <f>SUM(H172:H173)</f>
        <v>27.128437943861929</v>
      </c>
      <c r="I174" s="279"/>
      <c r="J174" s="279">
        <f t="shared" ref="J174" si="39">SUM(J172:J173)</f>
        <v>27.274685655649577</v>
      </c>
      <c r="K174" s="279"/>
      <c r="L174" s="279">
        <f>SUM(L172:L173)</f>
        <v>27.422619220022668</v>
      </c>
      <c r="M174" s="279"/>
      <c r="N174" s="279">
        <f>SUM(N172:N173)</f>
        <v>27.723661867055959</v>
      </c>
    </row>
    <row r="175" spans="1:14" x14ac:dyDescent="0.2">
      <c r="A175" s="249"/>
      <c r="B175" s="253"/>
      <c r="C175" s="253"/>
      <c r="D175" s="253"/>
      <c r="E175" s="253"/>
    </row>
    <row r="176" spans="1:14" ht="14.25" customHeight="1" x14ac:dyDescent="0.2">
      <c r="A176" s="1020" t="s">
        <v>585</v>
      </c>
      <c r="B176" s="1020"/>
      <c r="C176" s="1020" t="s">
        <v>568</v>
      </c>
      <c r="D176" s="1020"/>
      <c r="E176" s="1023" t="s">
        <v>569</v>
      </c>
      <c r="F176" s="1024"/>
      <c r="G176" s="1020" t="s">
        <v>570</v>
      </c>
      <c r="H176" s="1020"/>
      <c r="I176" s="1020" t="s">
        <v>622</v>
      </c>
      <c r="J176" s="1020"/>
      <c r="K176" s="1020" t="s">
        <v>571</v>
      </c>
      <c r="L176" s="1020"/>
      <c r="M176" s="1020" t="s">
        <v>572</v>
      </c>
      <c r="N176" s="1020"/>
    </row>
    <row r="177" spans="1:16" ht="38.25" x14ac:dyDescent="0.2">
      <c r="A177" s="271" t="s">
        <v>573</v>
      </c>
      <c r="B177" s="272" t="s">
        <v>581</v>
      </c>
      <c r="C177" s="272" t="s">
        <v>575</v>
      </c>
      <c r="D177" s="272" t="s">
        <v>576</v>
      </c>
      <c r="E177" s="272" t="s">
        <v>575</v>
      </c>
      <c r="F177" s="272" t="s">
        <v>576</v>
      </c>
      <c r="G177" s="272" t="s">
        <v>575</v>
      </c>
      <c r="H177" s="272" t="s">
        <v>576</v>
      </c>
      <c r="I177" s="272" t="s">
        <v>575</v>
      </c>
      <c r="J177" s="272" t="s">
        <v>576</v>
      </c>
      <c r="K177" s="272" t="s">
        <v>575</v>
      </c>
      <c r="L177" s="272" t="s">
        <v>576</v>
      </c>
      <c r="M177" s="272" t="s">
        <v>575</v>
      </c>
      <c r="N177" s="272" t="s">
        <v>576</v>
      </c>
    </row>
    <row r="178" spans="1:16" x14ac:dyDescent="0.2">
      <c r="A178" s="273" t="s">
        <v>586</v>
      </c>
      <c r="B178" s="280">
        <f>1/'Prod. GEXBLU'!G17</f>
        <v>5.5555555555555556E-4</v>
      </c>
      <c r="C178" s="275">
        <f>C139</f>
        <v>5046.5347735985379</v>
      </c>
      <c r="D178" s="275">
        <f>B178*C178</f>
        <v>2.8036304297769656</v>
      </c>
      <c r="E178" s="275">
        <f>C140</f>
        <v>5075.1270386047618</v>
      </c>
      <c r="F178" s="275">
        <f>B178*E178</f>
        <v>2.8195150214470899</v>
      </c>
      <c r="G178" s="275">
        <f>C141</f>
        <v>5104.045141388835</v>
      </c>
      <c r="H178" s="275">
        <f>B178*G178</f>
        <v>2.8355806341049083</v>
      </c>
      <c r="I178" s="275">
        <f>C142</f>
        <v>5133.2946837463642</v>
      </c>
      <c r="J178" s="275">
        <f>B178*I178</f>
        <v>2.8518303798590914</v>
      </c>
      <c r="K178" s="275">
        <f>C143</f>
        <v>5162.8813966209827</v>
      </c>
      <c r="L178" s="275">
        <f>B178*K178</f>
        <v>2.8682674425672126</v>
      </c>
      <c r="M178" s="275">
        <f>C144</f>
        <v>5223.089926027641</v>
      </c>
      <c r="N178" s="275">
        <f>B178*M178</f>
        <v>2.9017166255709115</v>
      </c>
    </row>
    <row r="179" spans="1:16" x14ac:dyDescent="0.2">
      <c r="A179" s="276" t="s">
        <v>578</v>
      </c>
      <c r="B179" s="274">
        <f>B178/'Prod. GEXBLU'!O17</f>
        <v>3.0864197530864198E-5</v>
      </c>
      <c r="C179" s="275">
        <f>F141</f>
        <v>5789.5640529039138</v>
      </c>
      <c r="D179" s="275">
        <f>B179*C179</f>
        <v>0.1786902485464171</v>
      </c>
      <c r="E179" s="275">
        <f>F141</f>
        <v>5789.5640529039138</v>
      </c>
      <c r="F179" s="275">
        <f>B179*E179</f>
        <v>0.1786902485464171</v>
      </c>
      <c r="G179" s="275">
        <f>F141</f>
        <v>5789.5640529039138</v>
      </c>
      <c r="H179" s="275">
        <f>B179*G179</f>
        <v>0.1786902485464171</v>
      </c>
      <c r="I179" s="275">
        <f>F141</f>
        <v>5789.5640529039138</v>
      </c>
      <c r="J179" s="275">
        <f>B179*I179</f>
        <v>0.1786902485464171</v>
      </c>
      <c r="K179" s="275">
        <f>F141</f>
        <v>5789.5640529039138</v>
      </c>
      <c r="L179" s="275">
        <f>B179*K179</f>
        <v>0.1786902485464171</v>
      </c>
      <c r="M179" s="275">
        <f>F141</f>
        <v>5789.5640529039138</v>
      </c>
      <c r="N179" s="275">
        <f>B179*M179</f>
        <v>0.1786902485464171</v>
      </c>
      <c r="O179" s="1018"/>
      <c r="P179" s="1019"/>
    </row>
    <row r="180" spans="1:16" x14ac:dyDescent="0.2">
      <c r="A180" s="282" t="s">
        <v>587</v>
      </c>
      <c r="B180" s="283"/>
      <c r="C180" s="284"/>
      <c r="D180" s="285">
        <f>SUM(D178:D179)</f>
        <v>2.9823206783233829</v>
      </c>
      <c r="E180" s="284"/>
      <c r="F180" s="285">
        <f>SUM(F178:F179)</f>
        <v>2.9982052699935071</v>
      </c>
      <c r="G180" s="284"/>
      <c r="H180" s="285">
        <f>SUM(H178:H179)</f>
        <v>3.0142708826513256</v>
      </c>
      <c r="I180" s="285"/>
      <c r="J180" s="285">
        <f>J178+J179</f>
        <v>3.0305206284055086</v>
      </c>
      <c r="K180" s="284"/>
      <c r="L180" s="285">
        <f>SUM(L178:L179)</f>
        <v>3.0469576911136298</v>
      </c>
      <c r="M180" s="284"/>
      <c r="N180" s="285">
        <f>SUM(N178:N179)</f>
        <v>3.0804068741173287</v>
      </c>
      <c r="O180" s="427"/>
      <c r="P180" s="428"/>
    </row>
    <row r="181" spans="1:16" x14ac:dyDescent="0.2">
      <c r="A181" s="273" t="s">
        <v>588</v>
      </c>
      <c r="B181" s="280">
        <f>1/'Prod. GEXBLU'!H17</f>
        <v>1.0000000000000001E-5</v>
      </c>
      <c r="C181" s="275">
        <f>C139</f>
        <v>5046.5347735985379</v>
      </c>
      <c r="D181" s="275">
        <f>B181*C181</f>
        <v>5.0465347735985384E-2</v>
      </c>
      <c r="E181" s="275">
        <f>C140</f>
        <v>5075.1270386047618</v>
      </c>
      <c r="F181" s="275">
        <f>B181*E181</f>
        <v>5.0751270386047619E-2</v>
      </c>
      <c r="G181" s="275">
        <f>C141</f>
        <v>5104.045141388835</v>
      </c>
      <c r="H181" s="275">
        <f>B181*G181</f>
        <v>5.1040451413888355E-2</v>
      </c>
      <c r="I181" s="275">
        <f>C142</f>
        <v>5133.2946837463642</v>
      </c>
      <c r="J181" s="275">
        <f>B181*I181</f>
        <v>5.1332946837463644E-2</v>
      </c>
      <c r="K181" s="275">
        <f>C143</f>
        <v>5162.8813966209827</v>
      </c>
      <c r="L181" s="275">
        <f>B181*K181</f>
        <v>5.162881396620983E-2</v>
      </c>
      <c r="M181" s="275">
        <f>C144</f>
        <v>5223.089926027641</v>
      </c>
      <c r="N181" s="275">
        <f>B181*M181</f>
        <v>5.2230899260276416E-2</v>
      </c>
    </row>
    <row r="182" spans="1:16" x14ac:dyDescent="0.2">
      <c r="A182" s="276" t="s">
        <v>578</v>
      </c>
      <c r="B182" s="274">
        <f>B181/'Prod. GEXBLU'!O17</f>
        <v>5.5555555555555562E-7</v>
      </c>
      <c r="C182" s="275">
        <f>F141</f>
        <v>5789.5640529039138</v>
      </c>
      <c r="D182" s="275">
        <f>B182*C182</f>
        <v>3.216424473835508E-3</v>
      </c>
      <c r="E182" s="275">
        <f>F141</f>
        <v>5789.5640529039138</v>
      </c>
      <c r="F182" s="275">
        <f>B182*E182</f>
        <v>3.216424473835508E-3</v>
      </c>
      <c r="G182" s="275">
        <f>F141</f>
        <v>5789.5640529039138</v>
      </c>
      <c r="H182" s="275">
        <f>B182*G182</f>
        <v>3.216424473835508E-3</v>
      </c>
      <c r="I182" s="275">
        <f>F141</f>
        <v>5789.5640529039138</v>
      </c>
      <c r="J182" s="275">
        <f>B182*I182</f>
        <v>3.216424473835508E-3</v>
      </c>
      <c r="K182" s="275">
        <f>F141</f>
        <v>5789.5640529039138</v>
      </c>
      <c r="L182" s="275">
        <f>B182*K182</f>
        <v>3.216424473835508E-3</v>
      </c>
      <c r="M182" s="275">
        <f>F141</f>
        <v>5789.5640529039138</v>
      </c>
      <c r="N182" s="275">
        <f>B182*M182</f>
        <v>3.216424473835508E-3</v>
      </c>
    </row>
    <row r="183" spans="1:16" x14ac:dyDescent="0.2">
      <c r="A183" s="282" t="s">
        <v>589</v>
      </c>
      <c r="B183" s="286"/>
      <c r="C183" s="284"/>
      <c r="D183" s="285">
        <f>SUM(D181:D182)</f>
        <v>5.3681772209820892E-2</v>
      </c>
      <c r="E183" s="284"/>
      <c r="F183" s="285">
        <f>SUM(F181:F182)</f>
        <v>5.3967694859883127E-2</v>
      </c>
      <c r="G183" s="284"/>
      <c r="H183" s="285">
        <f>SUM(H181:H182)</f>
        <v>5.4256875887723863E-2</v>
      </c>
      <c r="I183" s="285"/>
      <c r="J183" s="285">
        <f>J181+J182</f>
        <v>5.4549371311299152E-2</v>
      </c>
      <c r="K183" s="284"/>
      <c r="L183" s="285">
        <f>SUM(L181:L182)</f>
        <v>5.4845238440045338E-2</v>
      </c>
      <c r="M183" s="284"/>
      <c r="N183" s="285">
        <f>SUM(N181:N182)</f>
        <v>5.5447323734111924E-2</v>
      </c>
    </row>
    <row r="184" spans="1:16" x14ac:dyDescent="0.2">
      <c r="A184" s="273" t="s">
        <v>590</v>
      </c>
      <c r="B184" s="280">
        <f>1/'Prod. GEXBLU'!I17</f>
        <v>1.6666666666666666E-4</v>
      </c>
      <c r="C184" s="275">
        <f>C139</f>
        <v>5046.5347735985379</v>
      </c>
      <c r="D184" s="275">
        <f>B184*C184</f>
        <v>0.84108912893308962</v>
      </c>
      <c r="E184" s="275">
        <f>C140</f>
        <v>5075.1270386047618</v>
      </c>
      <c r="F184" s="275">
        <f>B184*E184</f>
        <v>0.84585450643412696</v>
      </c>
      <c r="G184" s="275">
        <f>C141</f>
        <v>5104.045141388835</v>
      </c>
      <c r="H184" s="275">
        <f>B184*G184</f>
        <v>0.8506741902314725</v>
      </c>
      <c r="I184" s="275">
        <f>C142</f>
        <v>5133.2946837463642</v>
      </c>
      <c r="J184" s="275">
        <f>B184*I184</f>
        <v>0.85554911395772737</v>
      </c>
      <c r="K184" s="275">
        <f>C143</f>
        <v>5162.8813966209827</v>
      </c>
      <c r="L184" s="275">
        <f>B184*K184</f>
        <v>0.86048023277016372</v>
      </c>
      <c r="M184" s="275">
        <f>C144</f>
        <v>5223.089926027641</v>
      </c>
      <c r="N184" s="275">
        <f>B184*M184</f>
        <v>0.87051498767127344</v>
      </c>
    </row>
    <row r="185" spans="1:16" x14ac:dyDescent="0.2">
      <c r="A185" s="276" t="s">
        <v>578</v>
      </c>
      <c r="B185" s="274">
        <f>B184/'Prod. GEXBLU'!O17</f>
        <v>9.2592592592592591E-6</v>
      </c>
      <c r="C185" s="275">
        <f>F141</f>
        <v>5789.5640529039138</v>
      </c>
      <c r="D185" s="275">
        <f>B185*C185</f>
        <v>5.3607074563925126E-2</v>
      </c>
      <c r="E185" s="275">
        <f>F141</f>
        <v>5789.5640529039138</v>
      </c>
      <c r="F185" s="275">
        <f>B185*E185</f>
        <v>5.3607074563925126E-2</v>
      </c>
      <c r="G185" s="275">
        <f>F141</f>
        <v>5789.5640529039138</v>
      </c>
      <c r="H185" s="275">
        <f>B185*G185</f>
        <v>5.3607074563925126E-2</v>
      </c>
      <c r="I185" s="275">
        <f>F141</f>
        <v>5789.5640529039138</v>
      </c>
      <c r="J185" s="275">
        <f>B185*I185</f>
        <v>5.3607074563925126E-2</v>
      </c>
      <c r="K185" s="275">
        <f>F141</f>
        <v>5789.5640529039138</v>
      </c>
      <c r="L185" s="275">
        <f>B185*K185</f>
        <v>5.3607074563925126E-2</v>
      </c>
      <c r="M185" s="275">
        <f>F141</f>
        <v>5789.5640529039138</v>
      </c>
      <c r="N185" s="275">
        <f>B185*M185</f>
        <v>5.3607074563925126E-2</v>
      </c>
    </row>
    <row r="186" spans="1:16" x14ac:dyDescent="0.2">
      <c r="A186" s="282" t="s">
        <v>591</v>
      </c>
      <c r="B186" s="286"/>
      <c r="C186" s="284"/>
      <c r="D186" s="285">
        <f>SUM(D184:D185)</f>
        <v>0.89469620349701473</v>
      </c>
      <c r="E186" s="284"/>
      <c r="F186" s="285">
        <f>SUM(F184:F185)</f>
        <v>0.89946158099805207</v>
      </c>
      <c r="G186" s="284"/>
      <c r="H186" s="285">
        <f>SUM(H184:H185)</f>
        <v>0.90428126479539761</v>
      </c>
      <c r="I186" s="285"/>
      <c r="J186" s="285">
        <f>J184+J185</f>
        <v>0.90915618852165248</v>
      </c>
      <c r="K186" s="284"/>
      <c r="L186" s="285">
        <f>SUM(L184:L185)</f>
        <v>0.91408730733408883</v>
      </c>
      <c r="M186" s="284"/>
      <c r="N186" s="285">
        <f>SUM(N184:N185)</f>
        <v>0.92412206223519855</v>
      </c>
    </row>
    <row r="187" spans="1:16" x14ac:dyDescent="0.2">
      <c r="A187" s="249"/>
      <c r="B187" s="252"/>
      <c r="C187" s="252"/>
      <c r="D187" s="252"/>
      <c r="E187" s="252"/>
    </row>
    <row r="188" spans="1:16" ht="14.25" customHeight="1" x14ac:dyDescent="0.2">
      <c r="A188" s="1012" t="s">
        <v>592</v>
      </c>
      <c r="B188" s="1012"/>
      <c r="C188" s="1012" t="s">
        <v>568</v>
      </c>
      <c r="D188" s="1012"/>
      <c r="E188" s="1021" t="s">
        <v>569</v>
      </c>
      <c r="F188" s="1022"/>
      <c r="G188" s="1012" t="s">
        <v>570</v>
      </c>
      <c r="H188" s="1012"/>
      <c r="I188" s="1012" t="s">
        <v>622</v>
      </c>
      <c r="J188" s="1012"/>
      <c r="K188" s="1012" t="s">
        <v>571</v>
      </c>
      <c r="L188" s="1012"/>
      <c r="M188" s="1012" t="s">
        <v>572</v>
      </c>
      <c r="N188" s="1012"/>
    </row>
    <row r="189" spans="1:16" ht="38.25" x14ac:dyDescent="0.2">
      <c r="A189" s="271" t="s">
        <v>573</v>
      </c>
      <c r="B189" s="272" t="s">
        <v>581</v>
      </c>
      <c r="C189" s="272" t="s">
        <v>575</v>
      </c>
      <c r="D189" s="272" t="s">
        <v>576</v>
      </c>
      <c r="E189" s="272" t="s">
        <v>575</v>
      </c>
      <c r="F189" s="272" t="s">
        <v>576</v>
      </c>
      <c r="G189" s="272" t="s">
        <v>575</v>
      </c>
      <c r="H189" s="272" t="s">
        <v>576</v>
      </c>
      <c r="I189" s="272" t="s">
        <v>575</v>
      </c>
      <c r="J189" s="272" t="s">
        <v>576</v>
      </c>
      <c r="K189" s="272" t="s">
        <v>575</v>
      </c>
      <c r="L189" s="272" t="s">
        <v>576</v>
      </c>
      <c r="M189" s="272" t="s">
        <v>575</v>
      </c>
      <c r="N189" s="272" t="s">
        <v>576</v>
      </c>
    </row>
    <row r="190" spans="1:16" x14ac:dyDescent="0.2">
      <c r="A190" s="287" t="s">
        <v>593</v>
      </c>
      <c r="B190" s="280">
        <f>(1/'Prod. GEXBLU'!J17)*(1/(30/7*44*6))*8</f>
        <v>4.4191919191919199E-5</v>
      </c>
      <c r="C190" s="275">
        <f>E139</f>
        <v>5196.255217769607</v>
      </c>
      <c r="D190" s="275">
        <f>B190*C190</f>
        <v>0.22963249068426297</v>
      </c>
      <c r="E190" s="275">
        <f>E140</f>
        <v>5225.6957572470556</v>
      </c>
      <c r="F190" s="275">
        <f>B190*E190</f>
        <v>0.23093352462581687</v>
      </c>
      <c r="G190" s="275">
        <f>E141</f>
        <v>5255.4718014478931</v>
      </c>
      <c r="H190" s="275">
        <f>B190*G190</f>
        <v>0.2322493851649953</v>
      </c>
      <c r="I190" s="275">
        <f>E142</f>
        <v>5285.589118361635</v>
      </c>
      <c r="J190" s="275">
        <f>B190*I190</f>
        <v>0.23358032720032482</v>
      </c>
      <c r="K190" s="275">
        <f>E143</f>
        <v>5316.0536089573789</v>
      </c>
      <c r="L190" s="275">
        <f>B190*K190</f>
        <v>0.2349266115069549</v>
      </c>
      <c r="M190" s="275">
        <f>E144</f>
        <v>5378.048403230935</v>
      </c>
      <c r="N190" s="275">
        <f>B190*M190</f>
        <v>0.23766628044581156</v>
      </c>
    </row>
    <row r="191" spans="1:16" x14ac:dyDescent="0.2">
      <c r="A191" s="276" t="s">
        <v>578</v>
      </c>
      <c r="B191" s="280">
        <f>B190/4</f>
        <v>1.10479797979798E-5</v>
      </c>
      <c r="C191" s="275">
        <f>F141</f>
        <v>5789.5640529039138</v>
      </c>
      <c r="D191" s="275">
        <f>B191*C191</f>
        <v>6.3962986695592486E-2</v>
      </c>
      <c r="E191" s="275">
        <f>F141</f>
        <v>5789.5640529039138</v>
      </c>
      <c r="F191" s="275">
        <f>B191*E191</f>
        <v>6.3962986695592486E-2</v>
      </c>
      <c r="G191" s="275">
        <f>F141</f>
        <v>5789.5640529039138</v>
      </c>
      <c r="H191" s="275">
        <f>B191*G191</f>
        <v>6.3962986695592486E-2</v>
      </c>
      <c r="I191" s="275">
        <f>F141</f>
        <v>5789.5640529039138</v>
      </c>
      <c r="J191" s="275">
        <f>B191*I191</f>
        <v>6.3962986695592486E-2</v>
      </c>
      <c r="K191" s="275">
        <f>F141</f>
        <v>5789.5640529039138</v>
      </c>
      <c r="L191" s="275">
        <f>B191*K191</f>
        <v>6.3962986695592486E-2</v>
      </c>
      <c r="M191" s="275">
        <f>F141</f>
        <v>5789.5640529039138</v>
      </c>
      <c r="N191" s="275">
        <f>B191*M191</f>
        <v>6.3962986695592486E-2</v>
      </c>
      <c r="O191" s="1018"/>
      <c r="P191" s="1019"/>
    </row>
    <row r="192" spans="1:16" x14ac:dyDescent="0.2">
      <c r="A192" s="288" t="s">
        <v>594</v>
      </c>
      <c r="B192" s="289"/>
      <c r="C192" s="290"/>
      <c r="D192" s="291">
        <f>SUM(D190:D191)</f>
        <v>0.29359547737985547</v>
      </c>
      <c r="E192" s="290"/>
      <c r="F192" s="291">
        <f>SUM(F190:F191)</f>
        <v>0.29489651132140937</v>
      </c>
      <c r="G192" s="290"/>
      <c r="H192" s="291">
        <f>SUM(H190:H191)</f>
        <v>0.2962123718605878</v>
      </c>
      <c r="I192" s="291"/>
      <c r="J192" s="291">
        <f>J190+J191</f>
        <v>0.29754331389591732</v>
      </c>
      <c r="K192" s="290"/>
      <c r="L192" s="291">
        <f>SUM(L190:L191)</f>
        <v>0.2988895982025474</v>
      </c>
      <c r="M192" s="290"/>
      <c r="N192" s="291">
        <f>SUM(N190:N191)</f>
        <v>0.30162926714140403</v>
      </c>
      <c r="O192" s="427"/>
      <c r="P192" s="428"/>
    </row>
    <row r="193" spans="1:16" x14ac:dyDescent="0.2">
      <c r="A193" s="287" t="s">
        <v>595</v>
      </c>
      <c r="B193" s="280">
        <f>1/'Prod. GEXBLU'!K17*16*(1/188.76)</f>
        <v>2.2306242401936183E-4</v>
      </c>
      <c r="C193" s="275">
        <f>C139</f>
        <v>5046.5347735985379</v>
      </c>
      <c r="D193" s="275">
        <f>B193*C193</f>
        <v>1.1256922794968913</v>
      </c>
      <c r="E193" s="275">
        <f>C140</f>
        <v>5075.1270386047618</v>
      </c>
      <c r="F193" s="275">
        <f>B193*E193</f>
        <v>1.1320701394373835</v>
      </c>
      <c r="G193" s="275">
        <f>C141</f>
        <v>5104.045141388835</v>
      </c>
      <c r="H193" s="275">
        <f>B193*G193</f>
        <v>1.13852068154244</v>
      </c>
      <c r="I193" s="275">
        <f>C142</f>
        <v>5133.2946837463642</v>
      </c>
      <c r="J193" s="275">
        <f>B193*I193</f>
        <v>1.1450451553621674</v>
      </c>
      <c r="K193" s="275">
        <f>C143</f>
        <v>5162.8813966209827</v>
      </c>
      <c r="L193" s="275">
        <f>B193*K193</f>
        <v>1.1516448392547447</v>
      </c>
      <c r="M193" s="275">
        <f>C144</f>
        <v>5223.089926027641</v>
      </c>
      <c r="N193" s="275">
        <f>B193*M193</f>
        <v>1.1650750997708348</v>
      </c>
    </row>
    <row r="194" spans="1:16" x14ac:dyDescent="0.2">
      <c r="A194" s="276" t="s">
        <v>578</v>
      </c>
      <c r="B194" s="280">
        <f>1/('Prod. GEXBLU'!O17*'Prod. GEXBLU'!L17)*16*(1/188.76)</f>
        <v>1.2392356889964548E-5</v>
      </c>
      <c r="C194" s="275">
        <f>F141</f>
        <v>5789.5640529039138</v>
      </c>
      <c r="D194" s="275">
        <f>B194*C194</f>
        <v>7.1746343980894883E-2</v>
      </c>
      <c r="E194" s="275">
        <f>F141</f>
        <v>5789.5640529039138</v>
      </c>
      <c r="F194" s="275">
        <f>B194*E194</f>
        <v>7.1746343980894883E-2</v>
      </c>
      <c r="G194" s="275">
        <f>F141</f>
        <v>5789.5640529039138</v>
      </c>
      <c r="H194" s="275">
        <f>B194*G194</f>
        <v>7.1746343980894883E-2</v>
      </c>
      <c r="I194" s="275">
        <f>F141</f>
        <v>5789.5640529039138</v>
      </c>
      <c r="J194" s="275">
        <f>B194*I194</f>
        <v>7.1746343980894883E-2</v>
      </c>
      <c r="K194" s="275">
        <f>F141</f>
        <v>5789.5640529039138</v>
      </c>
      <c r="L194" s="275">
        <f>B194*K194</f>
        <v>7.1746343980894883E-2</v>
      </c>
      <c r="M194" s="275">
        <f>F141</f>
        <v>5789.5640529039138</v>
      </c>
      <c r="N194" s="275">
        <f>B194*M194</f>
        <v>7.1746343980894883E-2</v>
      </c>
      <c r="O194" s="1018"/>
      <c r="P194" s="1019"/>
    </row>
    <row r="195" spans="1:16" x14ac:dyDescent="0.2">
      <c r="A195" s="288" t="s">
        <v>596</v>
      </c>
      <c r="B195" s="289"/>
      <c r="C195" s="290"/>
      <c r="D195" s="291">
        <f>SUM(D193:D194)</f>
        <v>1.1974386234777863</v>
      </c>
      <c r="E195" s="290"/>
      <c r="F195" s="291">
        <f>SUM(F193:F194)</f>
        <v>1.2038164834182785</v>
      </c>
      <c r="G195" s="290"/>
      <c r="H195" s="291">
        <f>SUM(H193:H194)</f>
        <v>1.210267025523335</v>
      </c>
      <c r="I195" s="291"/>
      <c r="J195" s="291">
        <f>J193+J194</f>
        <v>1.2167914993430624</v>
      </c>
      <c r="K195" s="290"/>
      <c r="L195" s="291">
        <f>SUM(L193:L194)</f>
        <v>1.2233911832356397</v>
      </c>
      <c r="M195" s="290"/>
      <c r="N195" s="291">
        <f>SUM(N193:N194)</f>
        <v>1.2368214437517298</v>
      </c>
      <c r="O195" s="427"/>
      <c r="P195" s="428"/>
    </row>
    <row r="196" spans="1:16" x14ac:dyDescent="0.2">
      <c r="A196" s="273" t="s">
        <v>597</v>
      </c>
      <c r="B196" s="280">
        <f>1/'Prod. GEXBLU'!L17*16*(1/188.76)</f>
        <v>2.2306242401936183E-4</v>
      </c>
      <c r="C196" s="275">
        <f>C139</f>
        <v>5046.5347735985379</v>
      </c>
      <c r="D196" s="275">
        <f>B196*C196</f>
        <v>1.1256922794968913</v>
      </c>
      <c r="E196" s="275">
        <f>C140</f>
        <v>5075.1270386047618</v>
      </c>
      <c r="F196" s="275">
        <f>B196*E196</f>
        <v>1.1320701394373835</v>
      </c>
      <c r="G196" s="275">
        <f>C141</f>
        <v>5104.045141388835</v>
      </c>
      <c r="H196" s="275">
        <f>B196*G196</f>
        <v>1.13852068154244</v>
      </c>
      <c r="I196" s="275">
        <f>C142</f>
        <v>5133.2946837463642</v>
      </c>
      <c r="J196" s="275">
        <f>B196*I196</f>
        <v>1.1450451553621674</v>
      </c>
      <c r="K196" s="275">
        <f>C143</f>
        <v>5162.8813966209827</v>
      </c>
      <c r="L196" s="275">
        <f>B196*K196</f>
        <v>1.1516448392547447</v>
      </c>
      <c r="M196" s="275">
        <f>C144</f>
        <v>5223.089926027641</v>
      </c>
      <c r="N196" s="275">
        <f>B196*M196</f>
        <v>1.1650750997708348</v>
      </c>
    </row>
    <row r="197" spans="1:16" x14ac:dyDescent="0.2">
      <c r="A197" s="276" t="s">
        <v>578</v>
      </c>
      <c r="B197" s="280">
        <f>1/('Prod. GEXBLU'!O17*'Prod. GEXBLU'!L17)*16*(1/188.76)</f>
        <v>1.2392356889964548E-5</v>
      </c>
      <c r="C197" s="275">
        <f>F141</f>
        <v>5789.5640529039138</v>
      </c>
      <c r="D197" s="275">
        <f>B197*C197</f>
        <v>7.1746343980894883E-2</v>
      </c>
      <c r="E197" s="275">
        <f>F141</f>
        <v>5789.5640529039138</v>
      </c>
      <c r="F197" s="275">
        <f>B197*E197</f>
        <v>7.1746343980894883E-2</v>
      </c>
      <c r="G197" s="275">
        <f>F141</f>
        <v>5789.5640529039138</v>
      </c>
      <c r="H197" s="275">
        <f>B197*G197</f>
        <v>7.1746343980894883E-2</v>
      </c>
      <c r="I197" s="275">
        <f>F141</f>
        <v>5789.5640529039138</v>
      </c>
      <c r="J197" s="275">
        <f>B197*I197</f>
        <v>7.1746343980894883E-2</v>
      </c>
      <c r="K197" s="275">
        <f>F141</f>
        <v>5789.5640529039138</v>
      </c>
      <c r="L197" s="275">
        <f>B197*K197</f>
        <v>7.1746343980894883E-2</v>
      </c>
      <c r="M197" s="275">
        <f>F141</f>
        <v>5789.5640529039138</v>
      </c>
      <c r="N197" s="275">
        <f>B197*M197</f>
        <v>7.1746343980894883E-2</v>
      </c>
      <c r="O197" s="1018"/>
      <c r="P197" s="1019"/>
    </row>
    <row r="198" spans="1:16" x14ac:dyDescent="0.2">
      <c r="A198" s="288" t="s">
        <v>598</v>
      </c>
      <c r="B198" s="289"/>
      <c r="C198" s="290"/>
      <c r="D198" s="291">
        <f>SUM(D196:D197)</f>
        <v>1.1974386234777863</v>
      </c>
      <c r="E198" s="290"/>
      <c r="F198" s="291">
        <f>SUM(F196:F197)</f>
        <v>1.2038164834182785</v>
      </c>
      <c r="G198" s="290"/>
      <c r="H198" s="291">
        <f>SUM(H196:H197)</f>
        <v>1.210267025523335</v>
      </c>
      <c r="I198" s="291"/>
      <c r="J198" s="291">
        <f>J196+J197</f>
        <v>1.2167914993430624</v>
      </c>
      <c r="K198" s="290"/>
      <c r="L198" s="291">
        <f>SUM(L196:L197)</f>
        <v>1.2233911832356397</v>
      </c>
      <c r="M198" s="290"/>
      <c r="N198" s="291">
        <f>SUM(N196:N197)</f>
        <v>1.2368214437517298</v>
      </c>
      <c r="O198" s="427"/>
      <c r="P198" s="428"/>
    </row>
    <row r="199" spans="1:16" x14ac:dyDescent="0.2">
      <c r="A199" s="248"/>
    </row>
  </sheetData>
  <mergeCells count="75">
    <mergeCell ref="O191:P191"/>
    <mergeCell ref="O194:P194"/>
    <mergeCell ref="O197:P197"/>
    <mergeCell ref="I152:J152"/>
    <mergeCell ref="A136:B136"/>
    <mergeCell ref="O179:P179"/>
    <mergeCell ref="A188:B188"/>
    <mergeCell ref="C188:D188"/>
    <mergeCell ref="E188:F188"/>
    <mergeCell ref="G188:H188"/>
    <mergeCell ref="K188:L188"/>
    <mergeCell ref="M188:N188"/>
    <mergeCell ref="A176:B176"/>
    <mergeCell ref="C176:D176"/>
    <mergeCell ref="E176:F176"/>
    <mergeCell ref="G176:H176"/>
    <mergeCell ref="K176:L176"/>
    <mergeCell ref="M176:N176"/>
    <mergeCell ref="A170:B170"/>
    <mergeCell ref="C170:D170"/>
    <mergeCell ref="E170:F170"/>
    <mergeCell ref="G170:H170"/>
    <mergeCell ref="K170:L170"/>
    <mergeCell ref="M170:N170"/>
    <mergeCell ref="A164:B164"/>
    <mergeCell ref="C164:D164"/>
    <mergeCell ref="E164:F164"/>
    <mergeCell ref="G164:H164"/>
    <mergeCell ref="K164:L164"/>
    <mergeCell ref="M164:N164"/>
    <mergeCell ref="G152:H152"/>
    <mergeCell ref="K152:L152"/>
    <mergeCell ref="M152:N152"/>
    <mergeCell ref="O155:P155"/>
    <mergeCell ref="M158:N158"/>
    <mergeCell ref="A158:B158"/>
    <mergeCell ref="C158:D158"/>
    <mergeCell ref="E158:F158"/>
    <mergeCell ref="G158:H158"/>
    <mergeCell ref="K158:L158"/>
    <mergeCell ref="A126:B126"/>
    <mergeCell ref="A127:B127"/>
    <mergeCell ref="E152:F152"/>
    <mergeCell ref="A129:B129"/>
    <mergeCell ref="A130:B130"/>
    <mergeCell ref="A131:B131"/>
    <mergeCell ref="A132:B132"/>
    <mergeCell ref="A133:B133"/>
    <mergeCell ref="A134:B134"/>
    <mergeCell ref="A135:B135"/>
    <mergeCell ref="A137:B137"/>
    <mergeCell ref="A138:B138"/>
    <mergeCell ref="A152:B152"/>
    <mergeCell ref="C152:D152"/>
    <mergeCell ref="A1:F1"/>
    <mergeCell ref="A2:F2"/>
    <mergeCell ref="A3:F3"/>
    <mergeCell ref="A9:F9"/>
    <mergeCell ref="A20:B20"/>
    <mergeCell ref="I188:J188"/>
    <mergeCell ref="A21:F21"/>
    <mergeCell ref="I158:J158"/>
    <mergeCell ref="I164:J164"/>
    <mergeCell ref="I170:J170"/>
    <mergeCell ref="I176:J176"/>
    <mergeCell ref="A128:B128"/>
    <mergeCell ref="A50:B50"/>
    <mergeCell ref="A51:F51"/>
    <mergeCell ref="A61:B61"/>
    <mergeCell ref="A62:F62"/>
    <mergeCell ref="A92:B92"/>
    <mergeCell ref="A115:A120"/>
    <mergeCell ref="A123:F123"/>
    <mergeCell ref="A124:F124"/>
    <mergeCell ref="A125:B12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C8DA"/>
  </sheetPr>
  <dimension ref="A1:AME151"/>
  <sheetViews>
    <sheetView topLeftCell="A121" zoomScale="80" zoomScaleNormal="80" workbookViewId="0">
      <selection activeCell="C141" sqref="C141"/>
    </sheetView>
  </sheetViews>
  <sheetFormatPr defaultRowHeight="14.25" x14ac:dyDescent="0.2"/>
  <cols>
    <col min="1" max="1" width="55.5" style="92" customWidth="1"/>
    <col min="2" max="2" width="17" style="92" customWidth="1"/>
    <col min="3" max="3" width="15.25" style="92" customWidth="1"/>
    <col min="4" max="4" width="16.25" style="92" customWidth="1"/>
    <col min="5" max="1019" width="9" style="92"/>
  </cols>
  <sheetData>
    <row r="1" spans="1:4" ht="15.75" x14ac:dyDescent="0.2">
      <c r="A1" s="1060" t="s">
        <v>456</v>
      </c>
      <c r="B1" s="1061"/>
      <c r="C1" s="1061"/>
      <c r="D1" s="1062"/>
    </row>
    <row r="2" spans="1:4" ht="15.75" x14ac:dyDescent="0.2">
      <c r="A2" s="1063" t="s">
        <v>457</v>
      </c>
      <c r="B2" s="1044"/>
      <c r="C2" s="1044"/>
      <c r="D2" s="1064"/>
    </row>
    <row r="3" spans="1:4" ht="15.75" customHeight="1" x14ac:dyDescent="0.2">
      <c r="A3" s="1063" t="s">
        <v>458</v>
      </c>
      <c r="B3" s="1044"/>
      <c r="C3" s="1044"/>
      <c r="D3" s="1064"/>
    </row>
    <row r="4" spans="1:4" ht="15.75" x14ac:dyDescent="0.2">
      <c r="A4" s="351"/>
      <c r="B4" s="94"/>
      <c r="C4" s="95" t="s">
        <v>459</v>
      </c>
      <c r="D4" s="352" t="s">
        <v>460</v>
      </c>
    </row>
    <row r="5" spans="1:4" x14ac:dyDescent="0.2">
      <c r="A5" s="353"/>
      <c r="B5" s="97" t="s">
        <v>463</v>
      </c>
      <c r="C5" s="98">
        <f>MC!C11</f>
        <v>1322.72</v>
      </c>
      <c r="D5" s="354">
        <f>MC!E11</f>
        <v>1082.2254545454546</v>
      </c>
    </row>
    <row r="6" spans="1:4" x14ac:dyDescent="0.2">
      <c r="A6" s="353"/>
      <c r="B6" s="97" t="s">
        <v>464</v>
      </c>
      <c r="C6" s="99">
        <f>MC!D8</f>
        <v>44593</v>
      </c>
      <c r="D6" s="355">
        <f>MC!D8</f>
        <v>44593</v>
      </c>
    </row>
    <row r="7" spans="1:4" x14ac:dyDescent="0.2">
      <c r="A7" s="353"/>
      <c r="B7" s="97" t="s">
        <v>465</v>
      </c>
      <c r="C7" s="99" t="str">
        <f>MC!C8</f>
        <v>SC000316/2022</v>
      </c>
      <c r="D7" s="355" t="str">
        <f>MC!C8</f>
        <v>SC000316/2022</v>
      </c>
    </row>
    <row r="8" spans="1:4" x14ac:dyDescent="0.2">
      <c r="A8" s="353"/>
      <c r="B8" s="97" t="s">
        <v>466</v>
      </c>
      <c r="C8" s="100" t="str">
        <f>MC!E8</f>
        <v>5143-20</v>
      </c>
      <c r="D8" s="356" t="str">
        <f>MC!E8</f>
        <v>5143-20</v>
      </c>
    </row>
    <row r="9" spans="1:4" x14ac:dyDescent="0.2">
      <c r="A9" s="1065"/>
      <c r="B9" s="1045"/>
      <c r="C9" s="1045"/>
      <c r="D9" s="1066"/>
    </row>
    <row r="10" spans="1:4" ht="66.75" customHeight="1" x14ac:dyDescent="0.2">
      <c r="A10" s="357" t="s">
        <v>467</v>
      </c>
      <c r="B10" s="188" t="s">
        <v>468</v>
      </c>
      <c r="C10" s="188" t="s">
        <v>599</v>
      </c>
      <c r="D10" s="358" t="s">
        <v>600</v>
      </c>
    </row>
    <row r="11" spans="1:4" ht="14.25" customHeight="1" x14ac:dyDescent="0.2">
      <c r="A11" s="359" t="s">
        <v>471</v>
      </c>
      <c r="B11" s="321"/>
      <c r="C11" s="321"/>
      <c r="D11" s="360"/>
    </row>
    <row r="12" spans="1:4" ht="14.25" customHeight="1" x14ac:dyDescent="0.2">
      <c r="A12" s="361" t="s">
        <v>472</v>
      </c>
      <c r="B12" s="102" t="s">
        <v>473</v>
      </c>
      <c r="C12" s="102" t="s">
        <v>474</v>
      </c>
      <c r="D12" s="362" t="s">
        <v>474</v>
      </c>
    </row>
    <row r="13" spans="1:4" ht="14.25" customHeight="1" x14ac:dyDescent="0.2">
      <c r="A13" s="363" t="s">
        <v>475</v>
      </c>
      <c r="B13" s="105"/>
      <c r="C13" s="106">
        <f>C5</f>
        <v>1322.72</v>
      </c>
      <c r="D13" s="364">
        <f>D5</f>
        <v>1082.2254545454546</v>
      </c>
    </row>
    <row r="14" spans="1:4" ht="14.25" customHeight="1" x14ac:dyDescent="0.2">
      <c r="A14" s="363" t="s">
        <v>476</v>
      </c>
      <c r="B14" s="417">
        <v>0.2</v>
      </c>
      <c r="C14" s="106">
        <f>C13*$B$14</f>
        <v>264.54400000000004</v>
      </c>
      <c r="D14" s="364">
        <f>D13*$B$14</f>
        <v>216.44509090909094</v>
      </c>
    </row>
    <row r="15" spans="1:4" ht="14.25" customHeight="1" x14ac:dyDescent="0.2">
      <c r="A15" s="363" t="s">
        <v>477</v>
      </c>
      <c r="B15" s="109"/>
      <c r="C15" s="106"/>
      <c r="D15" s="364"/>
    </row>
    <row r="16" spans="1:4" ht="14.25" customHeight="1" x14ac:dyDescent="0.2">
      <c r="A16" s="363" t="s">
        <v>478</v>
      </c>
      <c r="B16" s="109"/>
      <c r="C16" s="106"/>
      <c r="D16" s="364"/>
    </row>
    <row r="17" spans="1:4" ht="14.25" customHeight="1" x14ac:dyDescent="0.2">
      <c r="A17" s="363" t="s">
        <v>479</v>
      </c>
      <c r="B17" s="109"/>
      <c r="C17" s="106"/>
      <c r="D17" s="364"/>
    </row>
    <row r="18" spans="1:4" ht="14.25" customHeight="1" x14ac:dyDescent="0.2">
      <c r="A18" s="363" t="s">
        <v>601</v>
      </c>
      <c r="B18" s="110"/>
      <c r="C18" s="106"/>
      <c r="D18" s="364"/>
    </row>
    <row r="19" spans="1:4" ht="14.25" customHeight="1" x14ac:dyDescent="0.2">
      <c r="A19" s="365" t="s">
        <v>481</v>
      </c>
      <c r="B19" s="112"/>
      <c r="C19" s="121">
        <f>SUM(C13:C18)</f>
        <v>1587.2640000000001</v>
      </c>
      <c r="D19" s="366">
        <f>SUM(D13:D18)</f>
        <v>1298.6705454545454</v>
      </c>
    </row>
    <row r="20" spans="1:4" ht="14.25" customHeight="1" x14ac:dyDescent="0.2">
      <c r="A20" s="1049"/>
      <c r="B20" s="1037"/>
      <c r="C20" s="114"/>
      <c r="D20" s="368"/>
    </row>
    <row r="21" spans="1:4" ht="14.25" customHeight="1" x14ac:dyDescent="0.2">
      <c r="A21" s="1050" t="s">
        <v>482</v>
      </c>
      <c r="B21" s="1042"/>
      <c r="C21" s="1042"/>
      <c r="D21" s="1051"/>
    </row>
    <row r="22" spans="1:4" ht="14.25" customHeight="1" x14ac:dyDescent="0.2">
      <c r="A22" s="369" t="s">
        <v>483</v>
      </c>
      <c r="B22" s="117" t="s">
        <v>473</v>
      </c>
      <c r="C22" s="117" t="s">
        <v>474</v>
      </c>
      <c r="D22" s="370" t="s">
        <v>474</v>
      </c>
    </row>
    <row r="23" spans="1:4" ht="14.25" customHeight="1" x14ac:dyDescent="0.2">
      <c r="A23" s="371" t="s">
        <v>484</v>
      </c>
      <c r="B23" s="108">
        <f>1/12</f>
        <v>8.3333333333333329E-2</v>
      </c>
      <c r="C23" s="106">
        <f>ROUND($B23*C$19,2)</f>
        <v>132.27000000000001</v>
      </c>
      <c r="D23" s="364">
        <f>ROUND($B23*D$19,2)</f>
        <v>108.22</v>
      </c>
    </row>
    <row r="24" spans="1:4" ht="14.25" customHeight="1" x14ac:dyDescent="0.2">
      <c r="A24" s="371" t="s">
        <v>485</v>
      </c>
      <c r="B24" s="108">
        <f>1/3*1/12</f>
        <v>2.7777777777777776E-2</v>
      </c>
      <c r="C24" s="106">
        <f>C$19*$B$24</f>
        <v>44.090666666666671</v>
      </c>
      <c r="D24" s="364">
        <f>D$19*$B$24</f>
        <v>36.074181818181813</v>
      </c>
    </row>
    <row r="25" spans="1:4" ht="14.25" customHeight="1" x14ac:dyDescent="0.2">
      <c r="A25" s="365" t="s">
        <v>481</v>
      </c>
      <c r="B25" s="120">
        <f>SUM(B23:B24)</f>
        <v>0.1111111111111111</v>
      </c>
      <c r="C25" s="121">
        <f>SUM(C23:C24)</f>
        <v>176.36066666666667</v>
      </c>
      <c r="D25" s="366">
        <f>SUM(D23:D24)</f>
        <v>144.29418181818181</v>
      </c>
    </row>
    <row r="26" spans="1:4" ht="14.25" customHeight="1" x14ac:dyDescent="0.2">
      <c r="A26" s="369" t="s">
        <v>486</v>
      </c>
      <c r="B26" s="117" t="s">
        <v>473</v>
      </c>
      <c r="C26" s="117" t="s">
        <v>474</v>
      </c>
      <c r="D26" s="370" t="s">
        <v>474</v>
      </c>
    </row>
    <row r="27" spans="1:4" ht="14.25" customHeight="1" x14ac:dyDescent="0.2">
      <c r="A27" s="369" t="s">
        <v>487</v>
      </c>
      <c r="B27" s="123"/>
      <c r="C27" s="123"/>
      <c r="D27" s="372"/>
    </row>
    <row r="28" spans="1:4" ht="14.25" customHeight="1" x14ac:dyDescent="0.2">
      <c r="A28" s="371" t="s">
        <v>488</v>
      </c>
      <c r="B28" s="108">
        <v>0.2</v>
      </c>
      <c r="C28" s="125">
        <f t="shared" ref="C28:C35" si="0">ROUND(($C$19+$C$25)*B28,2)</f>
        <v>352.72</v>
      </c>
      <c r="D28" s="373">
        <f t="shared" ref="D28:D35" si="1">ROUND(($D$19+$D$25)*B28,2)</f>
        <v>288.58999999999997</v>
      </c>
    </row>
    <row r="29" spans="1:4" ht="14.25" customHeight="1" x14ac:dyDescent="0.2">
      <c r="A29" s="371" t="s">
        <v>489</v>
      </c>
      <c r="B29" s="108">
        <v>2.5000000000000001E-2</v>
      </c>
      <c r="C29" s="125">
        <f t="shared" si="0"/>
        <v>44.09</v>
      </c>
      <c r="D29" s="373">
        <f t="shared" si="1"/>
        <v>36.07</v>
      </c>
    </row>
    <row r="30" spans="1:4" ht="14.25" customHeight="1" x14ac:dyDescent="0.2">
      <c r="A30" s="371" t="s">
        <v>490</v>
      </c>
      <c r="B30" s="108">
        <v>0.03</v>
      </c>
      <c r="C30" s="125">
        <f t="shared" si="0"/>
        <v>52.91</v>
      </c>
      <c r="D30" s="373">
        <f t="shared" si="1"/>
        <v>43.29</v>
      </c>
    </row>
    <row r="31" spans="1:4" ht="14.25" customHeight="1" x14ac:dyDescent="0.2">
      <c r="A31" s="371" t="s">
        <v>491</v>
      </c>
      <c r="B31" s="108">
        <v>1.4999999999999999E-2</v>
      </c>
      <c r="C31" s="125">
        <f t="shared" si="0"/>
        <v>26.45</v>
      </c>
      <c r="D31" s="373">
        <f t="shared" si="1"/>
        <v>21.64</v>
      </c>
    </row>
    <row r="32" spans="1:4" ht="14.25" customHeight="1" x14ac:dyDescent="0.2">
      <c r="A32" s="371" t="s">
        <v>492</v>
      </c>
      <c r="B32" s="108">
        <v>0.01</v>
      </c>
      <c r="C32" s="125">
        <f t="shared" si="0"/>
        <v>17.64</v>
      </c>
      <c r="D32" s="373">
        <f t="shared" si="1"/>
        <v>14.43</v>
      </c>
    </row>
    <row r="33" spans="1:4" ht="14.25" customHeight="1" x14ac:dyDescent="0.2">
      <c r="A33" s="371" t="s">
        <v>493</v>
      </c>
      <c r="B33" s="108">
        <v>6.0000000000000001E-3</v>
      </c>
      <c r="C33" s="125">
        <f t="shared" si="0"/>
        <v>10.58</v>
      </c>
      <c r="D33" s="373">
        <f t="shared" si="1"/>
        <v>8.66</v>
      </c>
    </row>
    <row r="34" spans="1:4" ht="14.25" customHeight="1" x14ac:dyDescent="0.2">
      <c r="A34" s="371" t="s">
        <v>494</v>
      </c>
      <c r="B34" s="108">
        <v>2E-3</v>
      </c>
      <c r="C34" s="125">
        <f t="shared" si="0"/>
        <v>3.53</v>
      </c>
      <c r="D34" s="373">
        <f t="shared" si="1"/>
        <v>2.89</v>
      </c>
    </row>
    <row r="35" spans="1:4" ht="14.25" customHeight="1" x14ac:dyDescent="0.2">
      <c r="A35" s="371" t="s">
        <v>495</v>
      </c>
      <c r="B35" s="108">
        <v>0.08</v>
      </c>
      <c r="C35" s="125">
        <f t="shared" si="0"/>
        <v>141.09</v>
      </c>
      <c r="D35" s="373">
        <f t="shared" si="1"/>
        <v>115.44</v>
      </c>
    </row>
    <row r="36" spans="1:4" ht="14.25" customHeight="1" x14ac:dyDescent="0.2">
      <c r="A36" s="365" t="s">
        <v>481</v>
      </c>
      <c r="B36" s="120">
        <f>SUM(B28:B35)</f>
        <v>0.36800000000000005</v>
      </c>
      <c r="C36" s="121">
        <f>SUM(C27:C35)</f>
        <v>649.01</v>
      </c>
      <c r="D36" s="366">
        <f>SUM(D27:D35)</f>
        <v>531.01</v>
      </c>
    </row>
    <row r="37" spans="1:4" ht="14.25" customHeight="1" x14ac:dyDescent="0.2">
      <c r="A37" s="369" t="s">
        <v>496</v>
      </c>
      <c r="B37" s="117" t="s">
        <v>497</v>
      </c>
      <c r="C37" s="117" t="s">
        <v>474</v>
      </c>
      <c r="D37" s="370" t="s">
        <v>474</v>
      </c>
    </row>
    <row r="38" spans="1:4" ht="14.25" customHeight="1" x14ac:dyDescent="0.2">
      <c r="A38" s="119" t="s">
        <v>498</v>
      </c>
      <c r="B38" s="127">
        <f>MC!J86</f>
        <v>4.154642857142858</v>
      </c>
      <c r="C38" s="106">
        <f>ROUND(((2*22*$B$38)-0.06*C$13),2)</f>
        <v>103.44</v>
      </c>
      <c r="D38" s="364">
        <f>ROUND(((2*22*$B$38)-0.06*D$13),2)</f>
        <v>117.87</v>
      </c>
    </row>
    <row r="39" spans="1:4" ht="14.25" customHeight="1" x14ac:dyDescent="0.2">
      <c r="A39" s="478" t="s">
        <v>499</v>
      </c>
      <c r="B39" s="128"/>
      <c r="C39" s="125">
        <f>MC!E21</f>
        <v>437.34</v>
      </c>
      <c r="D39" s="373">
        <f>MC!E22</f>
        <v>359.59</v>
      </c>
    </row>
    <row r="40" spans="1:4" ht="14.25" customHeight="1" x14ac:dyDescent="0.2">
      <c r="A40" s="119" t="s">
        <v>500</v>
      </c>
      <c r="B40" s="108">
        <f>MC!C26</f>
        <v>0</v>
      </c>
      <c r="C40" s="125"/>
      <c r="D40" s="373"/>
    </row>
    <row r="41" spans="1:4" ht="14.25" customHeight="1" x14ac:dyDescent="0.2">
      <c r="A41" s="119" t="s">
        <v>501</v>
      </c>
      <c r="B41" s="129">
        <f>MC!E25</f>
        <v>11</v>
      </c>
      <c r="C41" s="125">
        <f>B41</f>
        <v>11</v>
      </c>
      <c r="D41" s="373">
        <f>B41</f>
        <v>11</v>
      </c>
    </row>
    <row r="42" spans="1:4" ht="14.25" customHeight="1" x14ac:dyDescent="0.2">
      <c r="A42" s="119" t="s">
        <v>502</v>
      </c>
      <c r="B42" s="567">
        <f>MC!C24</f>
        <v>7.0000000000000007E-2</v>
      </c>
      <c r="C42" s="125">
        <f>$B$42*C19</f>
        <v>111.10848000000001</v>
      </c>
      <c r="D42" s="125">
        <f>$B$42*D19</f>
        <v>90.906938181818191</v>
      </c>
    </row>
    <row r="43" spans="1:4" ht="14.25" customHeight="1" x14ac:dyDescent="0.2">
      <c r="A43" s="119" t="s">
        <v>503</v>
      </c>
      <c r="B43" s="108"/>
      <c r="C43" s="125"/>
      <c r="D43" s="373"/>
    </row>
    <row r="44" spans="1:4" ht="14.25" customHeight="1" x14ac:dyDescent="0.2">
      <c r="A44" s="365" t="s">
        <v>481</v>
      </c>
      <c r="B44" s="112"/>
      <c r="C44" s="121">
        <f>SUM(C38:C43)</f>
        <v>662.88847999999996</v>
      </c>
      <c r="D44" s="366">
        <f>SUM(D38:D43)</f>
        <v>579.36693818181811</v>
      </c>
    </row>
    <row r="45" spans="1:4" ht="14.25" customHeight="1" x14ac:dyDescent="0.2">
      <c r="A45" s="361" t="s">
        <v>504</v>
      </c>
      <c r="B45" s="102" t="s">
        <v>473</v>
      </c>
      <c r="C45" s="102" t="s">
        <v>474</v>
      </c>
      <c r="D45" s="362" t="s">
        <v>474</v>
      </c>
    </row>
    <row r="46" spans="1:4" ht="14.25" customHeight="1" x14ac:dyDescent="0.2">
      <c r="A46" s="371" t="s">
        <v>483</v>
      </c>
      <c r="B46" s="130">
        <f>B25</f>
        <v>0.1111111111111111</v>
      </c>
      <c r="C46" s="131">
        <f>C25</f>
        <v>176.36066666666667</v>
      </c>
      <c r="D46" s="374">
        <f>D25</f>
        <v>144.29418181818181</v>
      </c>
    </row>
    <row r="47" spans="1:4" ht="14.25" customHeight="1" x14ac:dyDescent="0.2">
      <c r="A47" s="371" t="s">
        <v>505</v>
      </c>
      <c r="B47" s="130">
        <f>B36</f>
        <v>0.36800000000000005</v>
      </c>
      <c r="C47" s="131">
        <f>C36</f>
        <v>649.01</v>
      </c>
      <c r="D47" s="374">
        <f>D36</f>
        <v>531.01</v>
      </c>
    </row>
    <row r="48" spans="1:4" ht="14.25" customHeight="1" x14ac:dyDescent="0.2">
      <c r="A48" s="371" t="s">
        <v>496</v>
      </c>
      <c r="B48" s="130"/>
      <c r="C48" s="131">
        <f>C44</f>
        <v>662.88847999999996</v>
      </c>
      <c r="D48" s="374">
        <f>D44</f>
        <v>579.36693818181811</v>
      </c>
    </row>
    <row r="49" spans="1:4" ht="14.25" customHeight="1" x14ac:dyDescent="0.2">
      <c r="A49" s="365" t="s">
        <v>481</v>
      </c>
      <c r="B49" s="112"/>
      <c r="C49" s="121">
        <f>SUM(C46:C48)</f>
        <v>1488.2591466666668</v>
      </c>
      <c r="D49" s="366">
        <f>SUM(D46:D48)</f>
        <v>1254.67112</v>
      </c>
    </row>
    <row r="50" spans="1:4" ht="14.25" customHeight="1" x14ac:dyDescent="0.2">
      <c r="A50" s="1049"/>
      <c r="B50" s="1037"/>
      <c r="C50" s="114"/>
      <c r="D50" s="368"/>
    </row>
    <row r="51" spans="1:4" s="133" customFormat="1" ht="14.25" customHeight="1" x14ac:dyDescent="0.2">
      <c r="A51" s="1050" t="s">
        <v>506</v>
      </c>
      <c r="B51" s="1042"/>
      <c r="C51" s="1042"/>
      <c r="D51" s="1051"/>
    </row>
    <row r="52" spans="1:4" ht="14.25" customHeight="1" x14ac:dyDescent="0.2">
      <c r="A52" s="361" t="s">
        <v>507</v>
      </c>
      <c r="B52" s="102" t="s">
        <v>473</v>
      </c>
      <c r="C52" s="102" t="s">
        <v>474</v>
      </c>
      <c r="D52" s="362" t="s">
        <v>474</v>
      </c>
    </row>
    <row r="53" spans="1:4" ht="14.25" customHeight="1" x14ac:dyDescent="0.2">
      <c r="A53" s="369" t="s">
        <v>508</v>
      </c>
      <c r="B53" s="134"/>
      <c r="C53" s="134"/>
      <c r="D53" s="375"/>
    </row>
    <row r="54" spans="1:4" ht="14.25" customHeight="1" x14ac:dyDescent="0.2">
      <c r="A54" s="371" t="s">
        <v>509</v>
      </c>
      <c r="B54" s="130">
        <f>1/12*0.05</f>
        <v>4.1666666666666666E-3</v>
      </c>
      <c r="C54" s="136">
        <f>C19*$B54</f>
        <v>6.6136000000000008</v>
      </c>
      <c r="D54" s="376">
        <f t="shared" ref="D54" si="2">D19*$B54</f>
        <v>5.4111272727272723</v>
      </c>
    </row>
    <row r="55" spans="1:4" ht="14.25" customHeight="1" x14ac:dyDescent="0.2">
      <c r="A55" s="371" t="s">
        <v>510</v>
      </c>
      <c r="B55" s="130">
        <f>B35*B54</f>
        <v>3.3333333333333332E-4</v>
      </c>
      <c r="C55" s="136">
        <f>$B$55*C19</f>
        <v>0.529088</v>
      </c>
      <c r="D55" s="376">
        <f t="shared" ref="D55" si="3">$B$55*D19</f>
        <v>0.43289018181818179</v>
      </c>
    </row>
    <row r="56" spans="1:4" ht="14.25" customHeight="1" x14ac:dyDescent="0.2">
      <c r="A56" s="371" t="s">
        <v>511</v>
      </c>
      <c r="B56" s="130">
        <v>0</v>
      </c>
      <c r="C56" s="136">
        <f>C35*$B56</f>
        <v>0</v>
      </c>
      <c r="D56" s="376">
        <f t="shared" ref="D56" si="4">D35*$B56</f>
        <v>0</v>
      </c>
    </row>
    <row r="57" spans="1:4" ht="14.25" customHeight="1" x14ac:dyDescent="0.2">
      <c r="A57" s="371" t="s">
        <v>512</v>
      </c>
      <c r="B57" s="130">
        <f>1/12*1/30*7</f>
        <v>1.9444444444444441E-2</v>
      </c>
      <c r="C57" s="131">
        <f>C19*$B57</f>
        <v>30.863466666666664</v>
      </c>
      <c r="D57" s="374">
        <f t="shared" ref="D57" si="5">D19*$B57</f>
        <v>25.251927272727269</v>
      </c>
    </row>
    <row r="58" spans="1:4" ht="14.25" customHeight="1" x14ac:dyDescent="0.2">
      <c r="A58" s="371" t="s">
        <v>513</v>
      </c>
      <c r="B58" s="130">
        <f>B36*B57</f>
        <v>7.1555555555555556E-3</v>
      </c>
      <c r="C58" s="131">
        <f>$B58*C19</f>
        <v>11.357755733333335</v>
      </c>
      <c r="D58" s="374">
        <f t="shared" ref="D58" si="6">$B58*D19</f>
        <v>9.2927092363636365</v>
      </c>
    </row>
    <row r="59" spans="1:4" ht="14.25" customHeight="1" x14ac:dyDescent="0.2">
      <c r="A59" s="371" t="s">
        <v>514</v>
      </c>
      <c r="B59" s="130">
        <f>B35*40/100*90/100*(1+1/12+1/12+1/3*1/12)</f>
        <v>3.4399999999999993E-2</v>
      </c>
      <c r="C59" s="131">
        <f>C19*$B59</f>
        <v>54.601881599999992</v>
      </c>
      <c r="D59" s="374">
        <f t="shared" ref="D59" si="7">D19*$B59</f>
        <v>44.674266763636354</v>
      </c>
    </row>
    <row r="60" spans="1:4" ht="14.25" customHeight="1" x14ac:dyDescent="0.2">
      <c r="A60" s="365" t="s">
        <v>481</v>
      </c>
      <c r="B60" s="120">
        <f>SUM(B54:B59)</f>
        <v>6.5499999999999989E-2</v>
      </c>
      <c r="C60" s="137">
        <f>SUM(C54:C59)</f>
        <v>103.96579199999999</v>
      </c>
      <c r="D60" s="377">
        <f>SUM(D54:D59)</f>
        <v>85.062920727272711</v>
      </c>
    </row>
    <row r="61" spans="1:4" ht="14.25" customHeight="1" x14ac:dyDescent="0.2">
      <c r="A61" s="1049"/>
      <c r="B61" s="1037"/>
      <c r="C61" s="322"/>
      <c r="D61" s="378"/>
    </row>
    <row r="62" spans="1:4" ht="14.25" customHeight="1" x14ac:dyDescent="0.2">
      <c r="A62" s="1050" t="s">
        <v>515</v>
      </c>
      <c r="B62" s="1042"/>
      <c r="C62" s="1042"/>
      <c r="D62" s="1051"/>
    </row>
    <row r="63" spans="1:4" ht="14.25" customHeight="1" x14ac:dyDescent="0.2">
      <c r="A63" s="369" t="s">
        <v>49</v>
      </c>
      <c r="B63" s="117"/>
      <c r="C63" s="117"/>
      <c r="D63" s="370"/>
    </row>
    <row r="64" spans="1:4" ht="14.25" customHeight="1" x14ac:dyDescent="0.2">
      <c r="A64" s="371" t="s">
        <v>50</v>
      </c>
      <c r="B64" s="108">
        <f>1/12</f>
        <v>8.3333333333333329E-2</v>
      </c>
      <c r="C64" s="125">
        <f>B64*($C$19+$C$49+$C$60)</f>
        <v>264.95741155555555</v>
      </c>
      <c r="D64" s="373">
        <f>B64*($D$19+$D$49+$D$60)</f>
        <v>219.86704884848484</v>
      </c>
    </row>
    <row r="65" spans="1:4" ht="14.25" customHeight="1" x14ac:dyDescent="0.2">
      <c r="A65" s="371" t="s">
        <v>516</v>
      </c>
      <c r="B65" s="108">
        <f>MC!E56/30/12</f>
        <v>1.3538888888888885E-2</v>
      </c>
      <c r="C65" s="125">
        <f>B65*($C$19+$C$49+$C$60)</f>
        <v>43.046747464059251</v>
      </c>
      <c r="D65" s="373">
        <f>B65*($D$19+$D$49+$D$60)</f>
        <v>35.721066536250497</v>
      </c>
    </row>
    <row r="66" spans="1:4" ht="14.25" customHeight="1" x14ac:dyDescent="0.2">
      <c r="A66" s="371" t="s">
        <v>517</v>
      </c>
      <c r="B66" s="139">
        <f>(5/30)/12*MC!F58*MC!C59</f>
        <v>1.0764583333333333E-4</v>
      </c>
      <c r="C66" s="125">
        <f>B66*($C$19+$C$49+$C$60)</f>
        <v>0.34225873637688892</v>
      </c>
      <c r="D66" s="373">
        <f>B66*($D$19+$D$49+$D$60)</f>
        <v>0.28401326035003027</v>
      </c>
    </row>
    <row r="67" spans="1:4" ht="14.25" customHeight="1" x14ac:dyDescent="0.2">
      <c r="A67" s="371" t="s">
        <v>518</v>
      </c>
      <c r="B67" s="139">
        <f>MC!C61/30/12</f>
        <v>2.6830555555555553E-3</v>
      </c>
      <c r="C67" s="125">
        <f>B67*($C$19+$C$49+$C$60)</f>
        <v>8.5307454607170374</v>
      </c>
      <c r="D67" s="373">
        <f>B67*($D$19+$D$49+$D$60)</f>
        <v>7.0789860827583828</v>
      </c>
    </row>
    <row r="68" spans="1:4" ht="14.25" customHeight="1" x14ac:dyDescent="0.2">
      <c r="A68" s="371" t="s">
        <v>519</v>
      </c>
      <c r="B68" s="108"/>
      <c r="C68" s="125"/>
      <c r="D68" s="373"/>
    </row>
    <row r="69" spans="1:4" ht="14.25" customHeight="1" x14ac:dyDescent="0.2">
      <c r="A69" s="379" t="s">
        <v>520</v>
      </c>
      <c r="B69" s="141">
        <f>SUM(B64:B68)</f>
        <v>9.9662923611111107E-2</v>
      </c>
      <c r="C69" s="142">
        <f>SUM(C64:C68)</f>
        <v>316.87716321670871</v>
      </c>
      <c r="D69" s="380">
        <f>SUM(D64:D68)</f>
        <v>262.95111472784379</v>
      </c>
    </row>
    <row r="70" spans="1:4" ht="14.25" customHeight="1" x14ac:dyDescent="0.2">
      <c r="A70" s="369" t="s">
        <v>521</v>
      </c>
      <c r="B70" s="117"/>
      <c r="C70" s="117"/>
      <c r="D70" s="370"/>
    </row>
    <row r="71" spans="1:4" ht="14.25" customHeight="1" x14ac:dyDescent="0.2">
      <c r="A71" s="371" t="s">
        <v>522</v>
      </c>
      <c r="B71" s="108"/>
      <c r="C71" s="125"/>
      <c r="D71" s="373"/>
    </row>
    <row r="72" spans="1:4" ht="14.25" customHeight="1" x14ac:dyDescent="0.2">
      <c r="A72" s="379" t="s">
        <v>520</v>
      </c>
      <c r="B72" s="141"/>
      <c r="C72" s="142">
        <f>C71</f>
        <v>0</v>
      </c>
      <c r="D72" s="380"/>
    </row>
    <row r="73" spans="1:4" ht="14.25" customHeight="1" x14ac:dyDescent="0.2">
      <c r="A73" s="369" t="s">
        <v>71</v>
      </c>
      <c r="B73" s="117"/>
      <c r="C73" s="117"/>
      <c r="D73" s="370"/>
    </row>
    <row r="74" spans="1:4" ht="14.25" customHeight="1" x14ac:dyDescent="0.2">
      <c r="A74" s="371" t="s">
        <v>72</v>
      </c>
      <c r="B74" s="108">
        <f>120/30*MC!C64*MC!C65</f>
        <v>6.18624E-3</v>
      </c>
      <c r="C74" s="125">
        <f>(((C19*2)+ (C19*1/3))+(C36)+(C44-C38-C39))*$B$74</f>
        <v>27.681781429555201</v>
      </c>
      <c r="D74" s="373">
        <f>(((D19*2)+ (D19*1/3))+(D36)+(D44-D38-D39))*$B$74</f>
        <v>22.66111398825425</v>
      </c>
    </row>
    <row r="75" spans="1:4" ht="14.25" customHeight="1" x14ac:dyDescent="0.2">
      <c r="A75" s="379" t="s">
        <v>481</v>
      </c>
      <c r="B75" s="141"/>
      <c r="C75" s="142"/>
      <c r="D75" s="380"/>
    </row>
    <row r="76" spans="1:4" ht="14.25" customHeight="1" x14ac:dyDescent="0.2">
      <c r="A76" s="361" t="s">
        <v>523</v>
      </c>
      <c r="B76" s="102"/>
      <c r="C76" s="102"/>
      <c r="D76" s="362"/>
    </row>
    <row r="77" spans="1:4" ht="14.25" customHeight="1" x14ac:dyDescent="0.2">
      <c r="A77" s="371" t="s">
        <v>49</v>
      </c>
      <c r="B77" s="130">
        <f>B69</f>
        <v>9.9662923611111107E-2</v>
      </c>
      <c r="C77" s="131">
        <f>C69</f>
        <v>316.87716321670871</v>
      </c>
      <c r="D77" s="374">
        <f>D69</f>
        <v>262.95111472784379</v>
      </c>
    </row>
    <row r="78" spans="1:4" ht="14.25" customHeight="1" x14ac:dyDescent="0.2">
      <c r="A78" s="371" t="s">
        <v>521</v>
      </c>
      <c r="B78" s="130">
        <f>B72</f>
        <v>0</v>
      </c>
      <c r="C78" s="131">
        <f>C72</f>
        <v>0</v>
      </c>
      <c r="D78" s="374">
        <f>D72</f>
        <v>0</v>
      </c>
    </row>
    <row r="79" spans="1:4" ht="14.25" customHeight="1" x14ac:dyDescent="0.2">
      <c r="A79" s="371" t="s">
        <v>71</v>
      </c>
      <c r="B79" s="130">
        <f>B74</f>
        <v>6.18624E-3</v>
      </c>
      <c r="C79" s="131">
        <f>C74</f>
        <v>27.681781429555201</v>
      </c>
      <c r="D79" s="374">
        <f>D74</f>
        <v>22.66111398825425</v>
      </c>
    </row>
    <row r="80" spans="1:4" ht="14.25" customHeight="1" x14ac:dyDescent="0.2">
      <c r="A80" s="365" t="s">
        <v>481</v>
      </c>
      <c r="B80" s="112"/>
      <c r="C80" s="121">
        <f>SUM(C77:C79)</f>
        <v>344.55894464626391</v>
      </c>
      <c r="D80" s="366">
        <f>SUM(D77:D79)</f>
        <v>285.61222871609806</v>
      </c>
    </row>
    <row r="81" spans="1:4" ht="14.25" customHeight="1" x14ac:dyDescent="0.2">
      <c r="A81" s="367"/>
      <c r="B81" s="114"/>
      <c r="C81" s="114"/>
      <c r="D81" s="368"/>
    </row>
    <row r="82" spans="1:4" ht="14.25" customHeight="1" x14ac:dyDescent="0.2">
      <c r="A82" s="381" t="s">
        <v>524</v>
      </c>
      <c r="B82" s="200"/>
      <c r="C82" s="200"/>
      <c r="D82" s="382"/>
    </row>
    <row r="83" spans="1:4" ht="14.25" customHeight="1" x14ac:dyDescent="0.2">
      <c r="A83" s="361" t="s">
        <v>525</v>
      </c>
      <c r="B83" s="102" t="s">
        <v>497</v>
      </c>
      <c r="C83" s="102" t="s">
        <v>474</v>
      </c>
      <c r="D83" s="362" t="s">
        <v>474</v>
      </c>
    </row>
    <row r="84" spans="1:4" ht="14.25" customHeight="1" x14ac:dyDescent="0.2">
      <c r="A84" s="371" t="s">
        <v>526</v>
      </c>
      <c r="B84" s="414">
        <f>Insumos!G117</f>
        <v>27.875416666666666</v>
      </c>
      <c r="C84" s="106">
        <f>B84</f>
        <v>27.875416666666666</v>
      </c>
      <c r="D84" s="364">
        <f>B84</f>
        <v>27.875416666666666</v>
      </c>
    </row>
    <row r="85" spans="1:4" ht="14.25" customHeight="1" x14ac:dyDescent="0.2">
      <c r="A85" s="383" t="s">
        <v>527</v>
      </c>
      <c r="B85" s="414">
        <f>Insumos!G69</f>
        <v>247.1166666666667</v>
      </c>
      <c r="C85" s="106">
        <f>B85</f>
        <v>247.1166666666667</v>
      </c>
      <c r="D85" s="364">
        <f>B85</f>
        <v>247.1166666666667</v>
      </c>
    </row>
    <row r="86" spans="1:4" ht="14.25" customHeight="1" x14ac:dyDescent="0.2">
      <c r="A86" s="383" t="s">
        <v>528</v>
      </c>
      <c r="B86" s="415">
        <v>0</v>
      </c>
      <c r="C86" s="106"/>
      <c r="D86" s="364"/>
    </row>
    <row r="87" spans="1:4" ht="14.25" customHeight="1" x14ac:dyDescent="0.2">
      <c r="A87" s="383" t="s">
        <v>529</v>
      </c>
      <c r="B87" s="416"/>
      <c r="C87" s="106">
        <f>Insumos!I122</f>
        <v>142.21333333333334</v>
      </c>
      <c r="D87" s="364">
        <f>Insumos!H122</f>
        <v>122.52333333333333</v>
      </c>
    </row>
    <row r="88" spans="1:4" ht="14.25" customHeight="1" x14ac:dyDescent="0.2">
      <c r="A88" s="383" t="s">
        <v>530</v>
      </c>
      <c r="B88" s="417">
        <v>0</v>
      </c>
      <c r="C88" s="106"/>
      <c r="D88" s="364"/>
    </row>
    <row r="89" spans="1:4" ht="14.25" customHeight="1" x14ac:dyDescent="0.2">
      <c r="A89" s="383" t="s">
        <v>602</v>
      </c>
      <c r="B89" s="414">
        <v>0</v>
      </c>
      <c r="C89" s="106"/>
      <c r="D89" s="364"/>
    </row>
    <row r="90" spans="1:4" ht="14.25" customHeight="1" x14ac:dyDescent="0.2">
      <c r="A90" s="383" t="s">
        <v>603</v>
      </c>
      <c r="B90" s="414">
        <v>0</v>
      </c>
      <c r="C90" s="106"/>
      <c r="D90" s="364"/>
    </row>
    <row r="91" spans="1:4" ht="14.25" customHeight="1" x14ac:dyDescent="0.2">
      <c r="A91" s="379" t="s">
        <v>481</v>
      </c>
      <c r="B91" s="147"/>
      <c r="C91" s="142">
        <f>SUM(C84:C90)</f>
        <v>417.20541666666668</v>
      </c>
      <c r="D91" s="380">
        <f t="shared" ref="D91" si="8">SUM(D84:D90)</f>
        <v>397.51541666666668</v>
      </c>
    </row>
    <row r="92" spans="1:4" ht="14.25" customHeight="1" x14ac:dyDescent="0.2">
      <c r="A92" s="1049"/>
      <c r="B92" s="1037"/>
      <c r="C92" s="148"/>
      <c r="D92" s="384"/>
    </row>
    <row r="93" spans="1:4" ht="14.25" customHeight="1" x14ac:dyDescent="0.2">
      <c r="A93" s="381" t="s">
        <v>533</v>
      </c>
      <c r="B93" s="200"/>
      <c r="C93" s="200"/>
      <c r="D93" s="382"/>
    </row>
    <row r="94" spans="1:4" ht="14.25" customHeight="1" x14ac:dyDescent="0.2">
      <c r="A94" s="361" t="s">
        <v>534</v>
      </c>
      <c r="B94" s="102" t="s">
        <v>473</v>
      </c>
      <c r="C94" s="102" t="s">
        <v>474</v>
      </c>
      <c r="D94" s="362" t="s">
        <v>474</v>
      </c>
    </row>
    <row r="95" spans="1:4" ht="14.25" customHeight="1" x14ac:dyDescent="0.2">
      <c r="A95" s="363" t="s">
        <v>77</v>
      </c>
      <c r="B95" s="108">
        <v>0.03</v>
      </c>
      <c r="C95" s="125">
        <f>($C$19+$C$49+$C$60+$C$80+$C$91)*$B$95</f>
        <v>118.23759899938793</v>
      </c>
      <c r="D95" s="373">
        <f>($D$19+$D$49+$D$60+$D$80+$D$91)*$B$95</f>
        <v>99.645966946937477</v>
      </c>
    </row>
    <row r="96" spans="1:4" ht="14.25" customHeight="1" x14ac:dyDescent="0.2">
      <c r="A96" s="363" t="s">
        <v>78</v>
      </c>
      <c r="B96" s="108">
        <v>6.7900000000000002E-2</v>
      </c>
      <c r="C96" s="125">
        <f>($C$19+$C$49+$C$60+$C$80+$C$91+C95)*B96</f>
        <v>275.63943204067311</v>
      </c>
      <c r="D96" s="373">
        <f>($D$19+$D$49+$D$60+$D$80+$D$91+$D$95)*$B$96</f>
        <v>232.2979996789322</v>
      </c>
    </row>
    <row r="97" spans="1:5" ht="14.25" customHeight="1" x14ac:dyDescent="0.2">
      <c r="A97" s="385" t="s">
        <v>535</v>
      </c>
      <c r="B97" s="204">
        <f>B98+B99</f>
        <v>0.1125</v>
      </c>
      <c r="C97" s="205">
        <f>((C19+C49+C60+C80+C91+C95+C96)/(1-($B$97)))*$B$97</f>
        <v>549.52356308699905</v>
      </c>
      <c r="D97" s="386">
        <f>((D19+D49+D60+D80+D91+D95+D96)/(1-($B$97)))*$B$97</f>
        <v>463.11670117907141</v>
      </c>
    </row>
    <row r="98" spans="1:5" ht="14.25" customHeight="1" x14ac:dyDescent="0.2">
      <c r="A98" s="363" t="s">
        <v>536</v>
      </c>
      <c r="B98" s="108">
        <f>0.0165+0.076</f>
        <v>9.2499999999999999E-2</v>
      </c>
      <c r="C98" s="206">
        <f>((C$19+C$49+C$60+C$80+C$91+C$95+C$96)/(1-($B$97)))*$B$98</f>
        <v>451.83048520486591</v>
      </c>
      <c r="D98" s="387">
        <f t="shared" ref="D98" si="9">((D$19+D$49+D$60+D$80+D$91+D$95+D$96)/(1-($B$97)))*$B$98</f>
        <v>380.78484319168092</v>
      </c>
    </row>
    <row r="99" spans="1:5" ht="14.25" customHeight="1" x14ac:dyDescent="0.2">
      <c r="A99" s="363" t="s">
        <v>537</v>
      </c>
      <c r="B99" s="108">
        <v>0.02</v>
      </c>
      <c r="C99" s="207">
        <f>((C$19+C$49+C$60+C$80+C$91+C$95+C$96)/(1-($B$97)))*$B$99</f>
        <v>97.693077882133167</v>
      </c>
      <c r="D99" s="388">
        <f t="shared" ref="D99" si="10">((D$19+D$49+D$60+D$80+D$91+D$95+D$96)/(1-($B$97)))*$B$99</f>
        <v>82.331857987390464</v>
      </c>
    </row>
    <row r="100" spans="1:5" ht="14.25" customHeight="1" x14ac:dyDescent="0.2">
      <c r="A100" s="385" t="s">
        <v>538</v>
      </c>
      <c r="B100" s="204">
        <f>B101+B102</f>
        <v>0.11749999999999999</v>
      </c>
      <c r="C100" s="205">
        <f>((C19+C49+C60+C80+C91+C95+C96)/(1-($B$100)))*$B$100</f>
        <v>577.19865597145599</v>
      </c>
      <c r="D100" s="386">
        <f t="shared" ref="D100" si="11">((D19+D49+D60+D80+D91+D95+D96)/(1-($B$100)))*$B$100</f>
        <v>486.44017369674572</v>
      </c>
    </row>
    <row r="101" spans="1:5" ht="14.25" customHeight="1" x14ac:dyDescent="0.2">
      <c r="A101" s="363" t="s">
        <v>536</v>
      </c>
      <c r="B101" s="108">
        <f>0.0165+0.076</f>
        <v>9.2499999999999999E-2</v>
      </c>
      <c r="C101" s="206">
        <f>((C19+C49+C60+C80+C91+C95+C96)/(1-($B$100)))*$B$101</f>
        <v>454.39043129667812</v>
      </c>
      <c r="D101" s="387">
        <f t="shared" ref="D101" si="12">((D19+D49+D60+D80+D91+D95+D96)/(1-($B$100)))*$B$101</f>
        <v>382.94226439956577</v>
      </c>
    </row>
    <row r="102" spans="1:5" ht="14.25" customHeight="1" x14ac:dyDescent="0.2">
      <c r="A102" s="363" t="s">
        <v>537</v>
      </c>
      <c r="B102" s="108">
        <v>2.5000000000000001E-2</v>
      </c>
      <c r="C102" s="207">
        <f>((C$19+C$49+C$60+C$80+C$91+C$95+C$96)/(1-($B$100)))*$B$102</f>
        <v>122.80822467477788</v>
      </c>
      <c r="D102" s="388">
        <f t="shared" ref="D102" si="13">((D$19+D$49+D$60+D$80+D$91+D$95+D$96)/(1-($B$100)))*$B$102</f>
        <v>103.49790929717994</v>
      </c>
    </row>
    <row r="103" spans="1:5" ht="14.25" customHeight="1" x14ac:dyDescent="0.2">
      <c r="A103" s="385" t="s">
        <v>539</v>
      </c>
      <c r="B103" s="204">
        <f>B104+B105</f>
        <v>0.1225</v>
      </c>
      <c r="C103" s="205">
        <f>((C19+C49+C60+C80+C91+C95+C96)/(1-($B$103)))*$B$103</f>
        <v>605.18913452980996</v>
      </c>
      <c r="D103" s="386">
        <f t="shared" ref="D103" si="14">((D19+D49+D60+D80+D91+D95+D96)/(1-($B$103)))*$B$103</f>
        <v>510.02944077302607</v>
      </c>
    </row>
    <row r="104" spans="1:5" ht="14.25" customHeight="1" x14ac:dyDescent="0.2">
      <c r="A104" s="363" t="s">
        <v>536</v>
      </c>
      <c r="B104" s="108">
        <f>0.0165+0.076</f>
        <v>9.2499999999999999E-2</v>
      </c>
      <c r="C104" s="206">
        <f>((C19+C49+C60+C80+C91+C95+C96)/(1-($B$103)))*$B$104</f>
        <v>456.97955056332586</v>
      </c>
      <c r="D104" s="387">
        <f t="shared" ref="D104" si="15">((D19+D49+D60+D80+D91+D95+D96)/(1-($B$103)))*$B$104</f>
        <v>385.12427160412176</v>
      </c>
    </row>
    <row r="105" spans="1:5" ht="14.25" customHeight="1" x14ac:dyDescent="0.2">
      <c r="A105" s="363" t="s">
        <v>537</v>
      </c>
      <c r="B105" s="108">
        <v>0.03</v>
      </c>
      <c r="C105" s="207">
        <f>((C19+C49+C60+C80+C91+C95+C96)/(1-($B$103)))*$B$105</f>
        <v>148.20958396648408</v>
      </c>
      <c r="D105" s="388">
        <f t="shared" ref="D105" si="16">((D19+D49+D60+D80+D91+D95+D96)/(1-($B$103)))*$B$105</f>
        <v>124.90516916890435</v>
      </c>
      <c r="E105" s="208"/>
    </row>
    <row r="106" spans="1:5" ht="14.25" customHeight="1" x14ac:dyDescent="0.2">
      <c r="A106" s="385" t="s">
        <v>618</v>
      </c>
      <c r="B106" s="204">
        <f>B107+B108</f>
        <v>0.1275</v>
      </c>
      <c r="C106" s="205">
        <f>((C19+C49+C60+C80+C91+C95+C96)/(1-($B$106)))*$B$106</f>
        <v>633.50042086533688</v>
      </c>
      <c r="D106" s="205">
        <f>((D19+D49+D60+D80+D91+D95+D96)/(1-($B$106)))*$B$106</f>
        <v>533.88907194187129</v>
      </c>
      <c r="E106" s="208"/>
    </row>
    <row r="107" spans="1:5" ht="14.25" customHeight="1" x14ac:dyDescent="0.2">
      <c r="A107" s="363" t="s">
        <v>536</v>
      </c>
      <c r="B107" s="108">
        <f>0.0165+0.076</f>
        <v>9.2499999999999999E-2</v>
      </c>
      <c r="C107" s="206">
        <f>((C19+C49+C60+C80+C91+C95+C96)/(1-($B$106)))*$B$107</f>
        <v>459.59834454936208</v>
      </c>
      <c r="D107" s="206">
        <f>((D19+D49+D60+D80+D91+D95+D96)/(1-($B$106)))*$B$107</f>
        <v>387.33128748723993</v>
      </c>
      <c r="E107" s="208"/>
    </row>
    <row r="108" spans="1:5" ht="14.25" customHeight="1" x14ac:dyDescent="0.2">
      <c r="A108" s="363" t="s">
        <v>537</v>
      </c>
      <c r="B108" s="108">
        <v>3.5000000000000003E-2</v>
      </c>
      <c r="C108" s="207">
        <f>((C19+C49+C60+C80+C91+C95+C96)/(1-($B$106)))*$B$108</f>
        <v>173.90207631597485</v>
      </c>
      <c r="D108" s="207">
        <f>((D19+D49+D60+D80+D91+D95+D96)/(1-($B$106)))*$B$108</f>
        <v>146.55778445463133</v>
      </c>
      <c r="E108" s="208"/>
    </row>
    <row r="109" spans="1:5" ht="14.25" customHeight="1" x14ac:dyDescent="0.2">
      <c r="A109" s="385" t="s">
        <v>540</v>
      </c>
      <c r="B109" s="204">
        <f>B110+B111</f>
        <v>0.13250000000000001</v>
      </c>
      <c r="C109" s="205">
        <f>((C19+C49+C60+C80+C91+C95+C96)/(1-($B$109)))*$B$109</f>
        <v>662.13806208657627</v>
      </c>
      <c r="D109" s="386">
        <f t="shared" ref="D109" si="17">((D19+D49+D60+D80+D91+D95+D96)/(1-($B$109)))*$B$109</f>
        <v>558.02374208672609</v>
      </c>
    </row>
    <row r="110" spans="1:5" ht="14.25" customHeight="1" x14ac:dyDescent="0.2">
      <c r="A110" s="363" t="s">
        <v>536</v>
      </c>
      <c r="B110" s="108">
        <f>0.0165+0.076</f>
        <v>9.2499999999999999E-2</v>
      </c>
      <c r="C110" s="206">
        <f>((C19+C49+C60+C80+C91+C95+C96)/(1-($B$109)))*$B$110</f>
        <v>462.24732636232682</v>
      </c>
      <c r="D110" s="387">
        <f t="shared" ref="D110" si="18">((D19+D49+D60+D80+D91+D95+D96)/(1-($B$109)))*$B$110</f>
        <v>389.563744475639</v>
      </c>
    </row>
    <row r="111" spans="1:5" ht="14.25" customHeight="1" x14ac:dyDescent="0.2">
      <c r="A111" s="363" t="s">
        <v>537</v>
      </c>
      <c r="B111" s="108">
        <v>0.04</v>
      </c>
      <c r="C111" s="207">
        <f>((C19+C49+C60+C80+C91+C95+C96)/(1-($B$109)))*$B$111</f>
        <v>199.89073572424942</v>
      </c>
      <c r="D111" s="388">
        <f t="shared" ref="D111" si="19">((D19+D49+D60+D80+D91+D95+D96)/(1-($B$109)))*$B$111</f>
        <v>168.45999761108712</v>
      </c>
    </row>
    <row r="112" spans="1:5" ht="14.25" customHeight="1" x14ac:dyDescent="0.2">
      <c r="A112" s="385" t="s">
        <v>541</v>
      </c>
      <c r="B112" s="204">
        <f>B113+B114</f>
        <v>0.14250000000000002</v>
      </c>
      <c r="C112" s="205">
        <f>((C19+C49+C60+C80+C91+C95+C96)/(1-($B$112)))*$B$112</f>
        <v>720.41524451347118</v>
      </c>
      <c r="D112" s="386">
        <f t="shared" ref="D112" si="20">((D19+D49+D60+D80+D91+D95+D96)/(1-($B$112)))*$B$112</f>
        <v>607.13744401415693</v>
      </c>
    </row>
    <row r="113" spans="1:5" ht="14.25" customHeight="1" x14ac:dyDescent="0.2">
      <c r="A113" s="363" t="s">
        <v>536</v>
      </c>
      <c r="B113" s="108">
        <f>0.0165+0.076</f>
        <v>9.2499999999999999E-2</v>
      </c>
      <c r="C113" s="206">
        <f>((C19+C49+C60+C80+C91+C95+C96)/(1-($B$112)))*$B$113</f>
        <v>467.63796573681458</v>
      </c>
      <c r="D113" s="387">
        <f t="shared" ref="D113" si="21">((D19+D49+D60+D80+D91+D95+D96)/(1-($B$112)))*$B$113</f>
        <v>394.10676190392633</v>
      </c>
    </row>
    <row r="114" spans="1:5" ht="14.25" customHeight="1" x14ac:dyDescent="0.2">
      <c r="A114" s="363" t="s">
        <v>537</v>
      </c>
      <c r="B114" s="209">
        <v>0.05</v>
      </c>
      <c r="C114" s="207">
        <f>((C19+C49+C60+C80+C91+C95+C96)/(1-($B$112)))*$B$114</f>
        <v>252.77727877665654</v>
      </c>
      <c r="D114" s="388">
        <f t="shared" ref="D114" si="22">((D19+D49+D60+D80+D91+D95+D96)/(1-($B$112)))*$B$114</f>
        <v>213.03068211023049</v>
      </c>
    </row>
    <row r="115" spans="1:5" ht="14.25" customHeight="1" x14ac:dyDescent="0.2">
      <c r="A115" s="1052" t="s">
        <v>542</v>
      </c>
      <c r="B115" s="210">
        <v>0.02</v>
      </c>
      <c r="C115" s="211">
        <f>C95+C96+C97</f>
        <v>943.40059412706012</v>
      </c>
      <c r="D115" s="389">
        <f>D95+D96+D97</f>
        <v>795.06066780494109</v>
      </c>
    </row>
    <row r="116" spans="1:5" ht="14.25" customHeight="1" x14ac:dyDescent="0.2">
      <c r="A116" s="1052"/>
      <c r="B116" s="212">
        <v>2.5000000000000001E-2</v>
      </c>
      <c r="C116" s="213">
        <f>C95+C96+C100</f>
        <v>971.07568701151706</v>
      </c>
      <c r="D116" s="390">
        <f>D95+D96+D100</f>
        <v>818.38414032261539</v>
      </c>
    </row>
    <row r="117" spans="1:5" ht="14.25" customHeight="1" x14ac:dyDescent="0.2">
      <c r="A117" s="1052"/>
      <c r="B117" s="212">
        <v>0.03</v>
      </c>
      <c r="C117" s="213">
        <f>C95+C96+C103</f>
        <v>999.06616556987103</v>
      </c>
      <c r="D117" s="390">
        <f>D95+D96+D103</f>
        <v>841.97340739889569</v>
      </c>
      <c r="E117" s="208"/>
    </row>
    <row r="118" spans="1:5" ht="14.25" customHeight="1" x14ac:dyDescent="0.2">
      <c r="A118" s="1052"/>
      <c r="B118" s="212">
        <v>3.5000000000000003E-2</v>
      </c>
      <c r="C118" s="213">
        <f>C95+C96+C106</f>
        <v>1027.3774519053979</v>
      </c>
      <c r="D118" s="213">
        <f>D95+D96+D106</f>
        <v>865.83303856774091</v>
      </c>
      <c r="E118" s="208"/>
    </row>
    <row r="119" spans="1:5" ht="14.25" customHeight="1" x14ac:dyDescent="0.2">
      <c r="A119" s="1052"/>
      <c r="B119" s="212">
        <v>0.04</v>
      </c>
      <c r="C119" s="213">
        <f>C95+C96+C109</f>
        <v>1056.0150931266373</v>
      </c>
      <c r="D119" s="390">
        <f>D95+D96+D109</f>
        <v>889.96770871259582</v>
      </c>
    </row>
    <row r="120" spans="1:5" ht="14.25" customHeight="1" x14ac:dyDescent="0.2">
      <c r="A120" s="1052"/>
      <c r="B120" s="214">
        <v>0.05</v>
      </c>
      <c r="C120" s="215">
        <f>C95+C96+C112</f>
        <v>1114.2922755535324</v>
      </c>
      <c r="D120" s="391">
        <f>D95+D96+D112</f>
        <v>939.08141064002666</v>
      </c>
    </row>
    <row r="121" spans="1:5" ht="14.25" customHeight="1" x14ac:dyDescent="0.2">
      <c r="A121" s="363" t="s">
        <v>543</v>
      </c>
      <c r="B121" s="216"/>
      <c r="C121" s="217"/>
      <c r="D121" s="392"/>
    </row>
    <row r="122" spans="1:5" ht="14.25" customHeight="1" x14ac:dyDescent="0.2">
      <c r="A122" s="393"/>
      <c r="B122" s="220"/>
      <c r="C122" s="221"/>
      <c r="D122" s="394"/>
    </row>
    <row r="123" spans="1:5" ht="7.5" customHeight="1" x14ac:dyDescent="0.2">
      <c r="A123" s="1053"/>
      <c r="B123" s="1039"/>
      <c r="C123" s="1039"/>
      <c r="D123" s="1054"/>
    </row>
    <row r="124" spans="1:5" ht="7.5" customHeight="1" x14ac:dyDescent="0.2">
      <c r="A124" s="1055"/>
      <c r="B124" s="1040"/>
      <c r="C124" s="1040"/>
      <c r="D124" s="1056"/>
    </row>
    <row r="125" spans="1:5" ht="54.75" customHeight="1" x14ac:dyDescent="0.2">
      <c r="A125" s="1057" t="s">
        <v>544</v>
      </c>
      <c r="B125" s="1041"/>
      <c r="C125" s="224" t="str">
        <f>C10</f>
        <v>Servente 44h COVID</v>
      </c>
      <c r="D125" s="395" t="str">
        <f>D10</f>
        <v>Servente 30h COVID</v>
      </c>
    </row>
    <row r="126" spans="1:5" ht="15.75" customHeight="1" x14ac:dyDescent="0.2">
      <c r="A126" s="1058" t="s">
        <v>545</v>
      </c>
      <c r="B126" s="1035"/>
      <c r="C126" s="227" t="s">
        <v>474</v>
      </c>
      <c r="D126" s="396" t="s">
        <v>474</v>
      </c>
    </row>
    <row r="127" spans="1:5" ht="14.25" customHeight="1" x14ac:dyDescent="0.2">
      <c r="A127" s="1059" t="s">
        <v>546</v>
      </c>
      <c r="B127" s="1036"/>
      <c r="C127" s="229">
        <f>C19</f>
        <v>1587.2640000000001</v>
      </c>
      <c r="D127" s="397">
        <f>D19</f>
        <v>1298.6705454545454</v>
      </c>
    </row>
    <row r="128" spans="1:5" ht="14.25" customHeight="1" x14ac:dyDescent="0.2">
      <c r="A128" s="1046" t="s">
        <v>547</v>
      </c>
      <c r="B128" s="1031"/>
      <c r="C128" s="150">
        <f>C49</f>
        <v>1488.2591466666668</v>
      </c>
      <c r="D128" s="398">
        <f>D49</f>
        <v>1254.67112</v>
      </c>
    </row>
    <row r="129" spans="1:4" ht="14.25" customHeight="1" x14ac:dyDescent="0.2">
      <c r="A129" s="1046" t="s">
        <v>548</v>
      </c>
      <c r="B129" s="1031"/>
      <c r="C129" s="150">
        <f>C60</f>
        <v>103.96579199999999</v>
      </c>
      <c r="D129" s="398">
        <f>D60</f>
        <v>85.062920727272711</v>
      </c>
    </row>
    <row r="130" spans="1:4" ht="14.25" customHeight="1" x14ac:dyDescent="0.2">
      <c r="A130" s="1046" t="s">
        <v>549</v>
      </c>
      <c r="B130" s="1031"/>
      <c r="C130" s="150">
        <f>C80</f>
        <v>344.55894464626391</v>
      </c>
      <c r="D130" s="398">
        <f>D80</f>
        <v>285.61222871609806</v>
      </c>
    </row>
    <row r="131" spans="1:4" ht="15.75" customHeight="1" x14ac:dyDescent="0.2">
      <c r="A131" s="1046" t="s">
        <v>550</v>
      </c>
      <c r="B131" s="1031"/>
      <c r="C131" s="150">
        <f>C91</f>
        <v>417.20541666666668</v>
      </c>
      <c r="D131" s="398">
        <f>D91</f>
        <v>397.51541666666668</v>
      </c>
    </row>
    <row r="132" spans="1:4" ht="15.75" customHeight="1" x14ac:dyDescent="0.2">
      <c r="A132" s="1048" t="s">
        <v>551</v>
      </c>
      <c r="B132" s="1034"/>
      <c r="C132" s="152">
        <f>SUM(C127:C131)</f>
        <v>3941.2532999795976</v>
      </c>
      <c r="D132" s="399">
        <f>SUM(D127:D131)</f>
        <v>3321.5322315645826</v>
      </c>
    </row>
    <row r="133" spans="1:4" ht="15.75" customHeight="1" x14ac:dyDescent="0.2">
      <c r="A133" s="1047" t="s">
        <v>552</v>
      </c>
      <c r="B133" s="1032"/>
      <c r="C133" s="232">
        <f t="shared" ref="C133:D138" si="23">C115</f>
        <v>943.40059412706012</v>
      </c>
      <c r="D133" s="400">
        <f t="shared" si="23"/>
        <v>795.06066780494109</v>
      </c>
    </row>
    <row r="134" spans="1:4" ht="15.75" customHeight="1" x14ac:dyDescent="0.2">
      <c r="A134" s="1046" t="s">
        <v>553</v>
      </c>
      <c r="B134" s="1031"/>
      <c r="C134" s="234">
        <f t="shared" si="23"/>
        <v>971.07568701151706</v>
      </c>
      <c r="D134" s="401">
        <f t="shared" si="23"/>
        <v>818.38414032261539</v>
      </c>
    </row>
    <row r="135" spans="1:4" ht="15.75" customHeight="1" x14ac:dyDescent="0.2">
      <c r="A135" s="1046" t="s">
        <v>554</v>
      </c>
      <c r="B135" s="1031"/>
      <c r="C135" s="234">
        <f t="shared" si="23"/>
        <v>999.06616556987103</v>
      </c>
      <c r="D135" s="644">
        <f t="shared" si="23"/>
        <v>841.97340739889569</v>
      </c>
    </row>
    <row r="136" spans="1:4" ht="15.75" customHeight="1" x14ac:dyDescent="0.2">
      <c r="A136" s="1101" t="s">
        <v>619</v>
      </c>
      <c r="B136" s="1102"/>
      <c r="C136" s="234">
        <f t="shared" si="23"/>
        <v>1027.3774519053979</v>
      </c>
      <c r="D136" s="644">
        <f t="shared" si="23"/>
        <v>865.83303856774091</v>
      </c>
    </row>
    <row r="137" spans="1:4" ht="15.75" customHeight="1" x14ac:dyDescent="0.2">
      <c r="A137" s="1046" t="s">
        <v>555</v>
      </c>
      <c r="B137" s="1031"/>
      <c r="C137" s="234">
        <f t="shared" si="23"/>
        <v>1056.0150931266373</v>
      </c>
      <c r="D137" s="401">
        <f t="shared" si="23"/>
        <v>889.96770871259582</v>
      </c>
    </row>
    <row r="138" spans="1:4" ht="15.75" customHeight="1" x14ac:dyDescent="0.2">
      <c r="A138" s="1047" t="s">
        <v>556</v>
      </c>
      <c r="B138" s="1032"/>
      <c r="C138" s="234">
        <f t="shared" si="23"/>
        <v>1114.2922755535324</v>
      </c>
      <c r="D138" s="401">
        <f t="shared" si="23"/>
        <v>939.08141064002666</v>
      </c>
    </row>
    <row r="139" spans="1:4" ht="15.75" customHeight="1" x14ac:dyDescent="0.2">
      <c r="A139" s="402" t="s">
        <v>557</v>
      </c>
      <c r="B139" s="237"/>
      <c r="C139" s="238">
        <f>C132+C133</f>
        <v>4884.6538941066574</v>
      </c>
      <c r="D139" s="403">
        <f>D132+D133</f>
        <v>4116.5928993695234</v>
      </c>
    </row>
    <row r="140" spans="1:4" ht="15.75" customHeight="1" x14ac:dyDescent="0.2">
      <c r="A140" s="404" t="s">
        <v>558</v>
      </c>
      <c r="B140" s="241"/>
      <c r="C140" s="242">
        <f>C132+C134</f>
        <v>4912.328986991115</v>
      </c>
      <c r="D140" s="405">
        <f>D132+D134</f>
        <v>4139.9163718871978</v>
      </c>
    </row>
    <row r="141" spans="1:4" ht="15.75" customHeight="1" x14ac:dyDescent="0.2">
      <c r="A141" s="404" t="s">
        <v>559</v>
      </c>
      <c r="B141" s="241"/>
      <c r="C141" s="242">
        <f>C132+C135</f>
        <v>4940.319465549469</v>
      </c>
      <c r="D141" s="405">
        <f>D132+D135</f>
        <v>4163.5056389634783</v>
      </c>
    </row>
    <row r="142" spans="1:4" ht="15.75" customHeight="1" x14ac:dyDescent="0.2">
      <c r="A142" s="404" t="s">
        <v>620</v>
      </c>
      <c r="B142" s="241"/>
      <c r="C142" s="242">
        <f>C132+C136</f>
        <v>4968.6307518849953</v>
      </c>
      <c r="D142" s="242">
        <f>D132+D136</f>
        <v>4187.3652701323235</v>
      </c>
    </row>
    <row r="143" spans="1:4" ht="15.75" customHeight="1" x14ac:dyDescent="0.2">
      <c r="A143" s="404" t="s">
        <v>560</v>
      </c>
      <c r="B143" s="241"/>
      <c r="C143" s="242">
        <f>C132+C137</f>
        <v>4997.2683931062347</v>
      </c>
      <c r="D143" s="405">
        <f>D132+D137</f>
        <v>4211.4999402771782</v>
      </c>
    </row>
    <row r="144" spans="1:4" ht="15.75" customHeight="1" x14ac:dyDescent="0.2">
      <c r="A144" s="404" t="s">
        <v>561</v>
      </c>
      <c r="B144" s="241"/>
      <c r="C144" s="242">
        <f>C132+C138</f>
        <v>5055.5455755331295</v>
      </c>
      <c r="D144" s="405">
        <f>D132+D138</f>
        <v>4260.6136422046093</v>
      </c>
    </row>
    <row r="145" spans="1:4" ht="15.75" customHeight="1" x14ac:dyDescent="0.2">
      <c r="A145" s="406" t="s">
        <v>562</v>
      </c>
      <c r="B145" s="244"/>
      <c r="C145" s="245">
        <f t="shared" ref="C145:C150" si="24">C139/200</f>
        <v>24.423269470533288</v>
      </c>
      <c r="D145" s="407"/>
    </row>
    <row r="146" spans="1:4" ht="15.75" customHeight="1" x14ac:dyDescent="0.2">
      <c r="A146" s="408" t="s">
        <v>563</v>
      </c>
      <c r="B146" s="246"/>
      <c r="C146" s="247">
        <f t="shared" si="24"/>
        <v>24.561644934955574</v>
      </c>
      <c r="D146" s="409"/>
    </row>
    <row r="147" spans="1:4" ht="15.75" customHeight="1" x14ac:dyDescent="0.2">
      <c r="A147" s="408" t="s">
        <v>564</v>
      </c>
      <c r="B147" s="246"/>
      <c r="C147" s="247">
        <f t="shared" si="24"/>
        <v>24.701597327747344</v>
      </c>
      <c r="D147" s="409"/>
    </row>
    <row r="148" spans="1:4" ht="15.75" customHeight="1" x14ac:dyDescent="0.2">
      <c r="A148" s="408" t="s">
        <v>621</v>
      </c>
      <c r="B148" s="246"/>
      <c r="C148" s="247">
        <f t="shared" si="24"/>
        <v>24.843153759424975</v>
      </c>
      <c r="D148" s="409"/>
    </row>
    <row r="149" spans="1:4" ht="15.75" customHeight="1" x14ac:dyDescent="0.2">
      <c r="A149" s="408" t="s">
        <v>565</v>
      </c>
      <c r="B149" s="246"/>
      <c r="C149" s="247">
        <f t="shared" si="24"/>
        <v>24.986341965531174</v>
      </c>
      <c r="D149" s="409"/>
    </row>
    <row r="150" spans="1:4" ht="15.75" customHeight="1" x14ac:dyDescent="0.2">
      <c r="A150" s="410" t="s">
        <v>566</v>
      </c>
      <c r="B150" s="411"/>
      <c r="C150" s="412">
        <f t="shared" si="24"/>
        <v>25.277727877665647</v>
      </c>
      <c r="D150" s="413"/>
    </row>
    <row r="151" spans="1:4" x14ac:dyDescent="0.2">
      <c r="A151" s="248"/>
    </row>
  </sheetData>
  <mergeCells count="28">
    <mergeCell ref="A135:B135"/>
    <mergeCell ref="A137:B137"/>
    <mergeCell ref="A138:B138"/>
    <mergeCell ref="A129:B129"/>
    <mergeCell ref="A130:B130"/>
    <mergeCell ref="A131:B131"/>
    <mergeCell ref="A132:B132"/>
    <mergeCell ref="A133:B133"/>
    <mergeCell ref="A134:B134"/>
    <mergeCell ref="A136:B136"/>
    <mergeCell ref="A128:B128"/>
    <mergeCell ref="A50:B50"/>
    <mergeCell ref="A51:D51"/>
    <mergeCell ref="A61:B61"/>
    <mergeCell ref="A62:D62"/>
    <mergeCell ref="A92:B92"/>
    <mergeCell ref="A115:A120"/>
    <mergeCell ref="A123:D123"/>
    <mergeCell ref="A124:D124"/>
    <mergeCell ref="A125:B125"/>
    <mergeCell ref="A126:B126"/>
    <mergeCell ref="A127:B127"/>
    <mergeCell ref="A21:D21"/>
    <mergeCell ref="A1:D1"/>
    <mergeCell ref="A2:D2"/>
    <mergeCell ref="A3:D3"/>
    <mergeCell ref="A9:D9"/>
    <mergeCell ref="A20:B2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4" ma:contentTypeDescription="Crie um novo documento." ma:contentTypeScope="" ma:versionID="0befc87c81429b8c0833552f2f2d2d5a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72e0f711d003ad403bb959cc4c81b406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D858B-AF11-493D-80EE-03BC8AF89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C9F62-CCDF-46E7-9726-75185F356D3A}">
  <ds:schemaRefs>
    <ds:schemaRef ds:uri="c3daeb68-ee4a-4fef-ab94-779009af24c2"/>
    <ds:schemaRef ds:uri="http://schemas.microsoft.com/office/2006/documentManagement/types"/>
    <ds:schemaRef ds:uri="http://schemas.microsoft.com/office/infopath/2007/PartnerControls"/>
    <ds:schemaRef ds:uri="a1fdbba4-714c-4189-ada0-32d20d17b81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59729C-E2F2-4C06-8D7A-9C5C8AE4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aeb68-ee4a-4fef-ab94-779009af24c2"/>
    <ds:schemaRef ds:uri="a1fdbba4-714c-4189-ada0-32d20d17b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10</vt:i4>
      </vt:variant>
    </vt:vector>
  </HeadingPairs>
  <TitlesOfParts>
    <vt:vector size="23" baseType="lpstr">
      <vt:lpstr>MC</vt:lpstr>
      <vt:lpstr>Insumos</vt:lpstr>
      <vt:lpstr>Resumo Proposta</vt:lpstr>
      <vt:lpstr>Prod. GEXFLO</vt:lpstr>
      <vt:lpstr>GEXFLO Limp.Ord.</vt:lpstr>
      <vt:lpstr>GEXFLO Covid</vt:lpstr>
      <vt:lpstr>Prod. GEXBLU</vt:lpstr>
      <vt:lpstr>GEXBLU Limp.Ord. </vt:lpstr>
      <vt:lpstr>GEXBLU Covid</vt:lpstr>
      <vt:lpstr>Prod. GEXJVL</vt:lpstr>
      <vt:lpstr>GEXJVL Limp.Ord.</vt:lpstr>
      <vt:lpstr>GEXJVL Covid</vt:lpstr>
      <vt:lpstr>GEXJVL L.Ord e Covid - APS PR</vt:lpstr>
      <vt:lpstr>'Prod. GEXBLU'!_FiltrarBancodeDados</vt:lpstr>
      <vt:lpstr>'Prod. GEXJVL'!_FiltrarBancodeDados</vt:lpstr>
      <vt:lpstr>'GEXBLU Covid'!Print_Area</vt:lpstr>
      <vt:lpstr>'GEXBLU Limp.Ord. '!Print_Area</vt:lpstr>
      <vt:lpstr>'GEXFLO Covid'!Print_Area</vt:lpstr>
      <vt:lpstr>'GEXFLO Limp.Ord.'!Print_Area</vt:lpstr>
      <vt:lpstr>'GEXJVL Covid'!Print_Area</vt:lpstr>
      <vt:lpstr>'GEXJVL L.Ord e Covid - APS PR'!Print_Area</vt:lpstr>
      <vt:lpstr>'GEXJVL Limp.Ord.'!Print_Area</vt:lpstr>
      <vt:lpstr>MC!Print_Area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Alves Miranda</dc:creator>
  <cp:lastModifiedBy>quelc</cp:lastModifiedBy>
  <cp:revision>89</cp:revision>
  <dcterms:created xsi:type="dcterms:W3CDTF">2020-03-17T09:48:25Z</dcterms:created>
  <dcterms:modified xsi:type="dcterms:W3CDTF">2022-06-30T13:06:11Z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