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 activeTab="2"/>
  </bookViews>
  <sheets>
    <sheet name="MC" sheetId="1" r:id="rId1"/>
    <sheet name="Insumos" sheetId="2" r:id="rId2"/>
    <sheet name="Resumo Proposta" sheetId="3" r:id="rId3"/>
    <sheet name="Prod. GEXCAX" sheetId="4" r:id="rId4"/>
    <sheet name="GEXCAX Limp.Ord." sheetId="5" r:id="rId5"/>
    <sheet name="GEXCAX Covid" sheetId="6" r:id="rId6"/>
    <sheet name="Prod. GEXIJU" sheetId="7" r:id="rId7"/>
    <sheet name="GEXIJU Limp.Ord. " sheetId="8" r:id="rId8"/>
    <sheet name="GEXIJU Covid " sheetId="9" r:id="rId9"/>
    <sheet name="Prod. GEXPSF" sheetId="10" r:id="rId10"/>
    <sheet name="GEXPSF Limp. Ord." sheetId="11" r:id="rId11"/>
    <sheet name="GEX PSF Covid" sheetId="12" r:id="rId12"/>
  </sheets>
  <definedNames>
    <definedName name="_xlnm._FilterDatabase" localSheetId="6">'Prod. GEXPSF'!$A$2:$Y$2</definedName>
    <definedName name="Print_Area" localSheetId="5">MC!$A$1:$D$144</definedName>
    <definedName name="Print_Area" localSheetId="4">'GEXCAX Limp.Ord.'!$A$1:$E$198</definedName>
    <definedName name="Print_Area" localSheetId="8">'GEX PSF Covid'!$A$1:$D$139</definedName>
    <definedName name="Print_Area" localSheetId="7">'GEXPSF Limp. Ord.'!$A$1:$D$198</definedName>
    <definedName name="Print_Area" localSheetId="0">MC!$A$3:$W$22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52" i="3" l="1"/>
  <c r="AD52" i="3"/>
  <c r="AC52" i="3"/>
  <c r="AB52" i="3"/>
  <c r="AA52" i="3"/>
  <c r="E14" i="10" l="1"/>
  <c r="E13" i="10"/>
  <c r="E11" i="10"/>
  <c r="E15" i="4" l="1"/>
  <c r="AE50" i="3" l="1"/>
  <c r="AD50" i="3"/>
  <c r="AC50" i="3"/>
  <c r="AB50" i="3"/>
  <c r="AE36" i="3"/>
  <c r="AD36" i="3"/>
  <c r="AC36" i="3"/>
  <c r="AB36" i="3"/>
  <c r="AE18" i="3"/>
  <c r="AA36" i="3"/>
  <c r="E116" i="12"/>
  <c r="D116" i="12"/>
  <c r="C116" i="12"/>
  <c r="B107" i="12"/>
  <c r="B106" i="12"/>
  <c r="B104" i="12"/>
  <c r="B103" i="12" s="1"/>
  <c r="B101" i="12"/>
  <c r="B100" i="12"/>
  <c r="B98" i="12"/>
  <c r="B97" i="12"/>
  <c r="B95" i="12"/>
  <c r="B94" i="12"/>
  <c r="E86" i="12"/>
  <c r="D86" i="12"/>
  <c r="C86" i="12"/>
  <c r="E78" i="12"/>
  <c r="D78" i="12"/>
  <c r="C78" i="12"/>
  <c r="B78" i="12"/>
  <c r="B74" i="12"/>
  <c r="B79" i="12" s="1"/>
  <c r="C72" i="12"/>
  <c r="B67" i="12"/>
  <c r="B66" i="12"/>
  <c r="B64" i="12"/>
  <c r="B59" i="12"/>
  <c r="B57" i="12"/>
  <c r="B54" i="12"/>
  <c r="B55" i="12" s="1"/>
  <c r="C41" i="12"/>
  <c r="B41" i="12"/>
  <c r="D41" i="12" s="1"/>
  <c r="B40" i="12"/>
  <c r="B36" i="12"/>
  <c r="B58" i="12" s="1"/>
  <c r="B24" i="12"/>
  <c r="B23" i="12"/>
  <c r="B25" i="12" s="1"/>
  <c r="B46" i="12" s="1"/>
  <c r="E8" i="12"/>
  <c r="D8" i="12"/>
  <c r="C8" i="12"/>
  <c r="E7" i="12"/>
  <c r="D7" i="12"/>
  <c r="C7" i="12"/>
  <c r="E6" i="12"/>
  <c r="D6" i="12"/>
  <c r="C6" i="12"/>
  <c r="B195" i="11"/>
  <c r="B192" i="11"/>
  <c r="B189" i="11"/>
  <c r="B183" i="11"/>
  <c r="B180" i="11"/>
  <c r="B177" i="11"/>
  <c r="B171" i="11"/>
  <c r="B165" i="11"/>
  <c r="B166" i="11" s="1"/>
  <c r="B159" i="11"/>
  <c r="B153" i="11"/>
  <c r="B147" i="11"/>
  <c r="I121" i="11"/>
  <c r="H121" i="11"/>
  <c r="G121" i="11"/>
  <c r="F121" i="11"/>
  <c r="E121" i="11"/>
  <c r="D121" i="11"/>
  <c r="C121" i="11"/>
  <c r="B110" i="11"/>
  <c r="B109" i="11"/>
  <c r="B107" i="11"/>
  <c r="B106" i="11" s="1"/>
  <c r="B104" i="11"/>
  <c r="B103" i="11"/>
  <c r="B101" i="11"/>
  <c r="B100" i="11"/>
  <c r="B98" i="11"/>
  <c r="B97" i="11"/>
  <c r="B96" i="11"/>
  <c r="B95" i="11"/>
  <c r="B79" i="11"/>
  <c r="I78" i="11"/>
  <c r="F78" i="11"/>
  <c r="B78" i="11"/>
  <c r="B74" i="11"/>
  <c r="I72" i="11"/>
  <c r="H72" i="11"/>
  <c r="H78" i="11" s="1"/>
  <c r="G72" i="11"/>
  <c r="G78" i="11" s="1"/>
  <c r="F72" i="11"/>
  <c r="E72" i="11"/>
  <c r="E78" i="11" s="1"/>
  <c r="D72" i="11"/>
  <c r="D78" i="11" s="1"/>
  <c r="C72" i="11"/>
  <c r="C78" i="11" s="1"/>
  <c r="B67" i="11"/>
  <c r="B66" i="11"/>
  <c r="B64" i="11"/>
  <c r="B59" i="11"/>
  <c r="B57" i="11"/>
  <c r="B54" i="11"/>
  <c r="B55" i="11" s="1"/>
  <c r="B36" i="11"/>
  <c r="B47" i="11" s="1"/>
  <c r="B24" i="11"/>
  <c r="G23" i="11"/>
  <c r="B23" i="11"/>
  <c r="B25" i="11" s="1"/>
  <c r="B46" i="11" s="1"/>
  <c r="H19" i="11"/>
  <c r="H13" i="11"/>
  <c r="G13" i="11"/>
  <c r="G19" i="11" s="1"/>
  <c r="I8" i="11"/>
  <c r="H8" i="11"/>
  <c r="G8" i="11"/>
  <c r="E8" i="11"/>
  <c r="C8" i="11"/>
  <c r="I7" i="11"/>
  <c r="H7" i="11"/>
  <c r="G7" i="11"/>
  <c r="E7" i="11"/>
  <c r="C7" i="11"/>
  <c r="I6" i="11"/>
  <c r="H6" i="11"/>
  <c r="G6" i="11"/>
  <c r="E6" i="11"/>
  <c r="C6" i="11"/>
  <c r="H5" i="11"/>
  <c r="G5" i="11"/>
  <c r="G14" i="11" s="1"/>
  <c r="L25" i="10"/>
  <c r="N25" i="10" s="1"/>
  <c r="D22" i="10"/>
  <c r="K21" i="10"/>
  <c r="K22" i="10" s="1"/>
  <c r="J21" i="10"/>
  <c r="J22" i="10" s="1"/>
  <c r="I21" i="10"/>
  <c r="I22" i="10" s="1"/>
  <c r="H21" i="10"/>
  <c r="G21" i="10"/>
  <c r="G22" i="10" s="1"/>
  <c r="F21" i="10"/>
  <c r="F22" i="10" s="1"/>
  <c r="D21" i="10"/>
  <c r="J19" i="10"/>
  <c r="I19" i="10"/>
  <c r="G19" i="10"/>
  <c r="U18" i="10"/>
  <c r="Y17" i="10"/>
  <c r="H22" i="10" s="1"/>
  <c r="X17" i="10"/>
  <c r="W17" i="10"/>
  <c r="V17" i="10"/>
  <c r="U17" i="10"/>
  <c r="T17" i="10"/>
  <c r="S17" i="10"/>
  <c r="R17" i="10"/>
  <c r="Q18" i="10" s="1"/>
  <c r="Q17" i="10"/>
  <c r="P17" i="10"/>
  <c r="N17" i="10"/>
  <c r="N19" i="10" s="1"/>
  <c r="K17" i="10"/>
  <c r="J17" i="10"/>
  <c r="I17" i="10"/>
  <c r="O16" i="10"/>
  <c r="E16" i="10"/>
  <c r="B16" i="10"/>
  <c r="E15" i="10"/>
  <c r="O15" i="10" s="1"/>
  <c r="B15" i="10"/>
  <c r="O14" i="10"/>
  <c r="B14" i="10"/>
  <c r="O13" i="10"/>
  <c r="E12" i="10"/>
  <c r="O12" i="10" s="1"/>
  <c r="O11" i="10"/>
  <c r="B11" i="10"/>
  <c r="L10" i="10"/>
  <c r="E10" i="10"/>
  <c r="D10" i="10" s="1"/>
  <c r="B10" i="10"/>
  <c r="N9" i="10"/>
  <c r="M9" i="10"/>
  <c r="M17" i="10" s="1"/>
  <c r="M19" i="10" s="1"/>
  <c r="L9" i="10"/>
  <c r="I9" i="10"/>
  <c r="H9" i="10"/>
  <c r="G9" i="10"/>
  <c r="G17" i="10" s="1"/>
  <c r="F9" i="10"/>
  <c r="F17" i="10" s="1"/>
  <c r="L8" i="10"/>
  <c r="E8" i="10"/>
  <c r="D8" i="10" s="1"/>
  <c r="E7" i="10"/>
  <c r="O7" i="10" s="1"/>
  <c r="L6" i="10"/>
  <c r="E6" i="10"/>
  <c r="D6" i="10" s="1"/>
  <c r="B6" i="10"/>
  <c r="L5" i="10"/>
  <c r="E5" i="10"/>
  <c r="D5" i="10" s="1"/>
  <c r="E38" i="3" s="1"/>
  <c r="E4" i="10"/>
  <c r="O4" i="10" s="1"/>
  <c r="E116" i="9"/>
  <c r="D116" i="9"/>
  <c r="C116" i="9"/>
  <c r="B107" i="9"/>
  <c r="B106" i="9"/>
  <c r="B104" i="9"/>
  <c r="B103" i="9"/>
  <c r="B101" i="9"/>
  <c r="B100" i="9"/>
  <c r="B98" i="9"/>
  <c r="B97" i="9" s="1"/>
  <c r="B95" i="9"/>
  <c r="B94" i="9"/>
  <c r="B87" i="9"/>
  <c r="B85" i="9"/>
  <c r="B84" i="9"/>
  <c r="B79" i="9"/>
  <c r="E78" i="9"/>
  <c r="D78" i="9"/>
  <c r="B78" i="9"/>
  <c r="B74" i="9"/>
  <c r="C72" i="9"/>
  <c r="C78" i="9" s="1"/>
  <c r="B67" i="9"/>
  <c r="B66" i="9"/>
  <c r="B64" i="9"/>
  <c r="B59" i="9"/>
  <c r="B57" i="9"/>
  <c r="B54" i="9"/>
  <c r="B41" i="9"/>
  <c r="B40" i="9"/>
  <c r="B36" i="9"/>
  <c r="B25" i="9"/>
  <c r="B46" i="9" s="1"/>
  <c r="B24" i="9"/>
  <c r="B23" i="9"/>
  <c r="D13" i="9"/>
  <c r="E8" i="9"/>
  <c r="D8" i="9"/>
  <c r="C8" i="9"/>
  <c r="E7" i="9"/>
  <c r="D7" i="9"/>
  <c r="C7" i="9"/>
  <c r="E6" i="9"/>
  <c r="D6" i="9"/>
  <c r="C6" i="9"/>
  <c r="D5" i="9"/>
  <c r="B195" i="8"/>
  <c r="B192" i="8"/>
  <c r="B189" i="8"/>
  <c r="B184" i="8"/>
  <c r="B183" i="8"/>
  <c r="B180" i="8"/>
  <c r="B177" i="8"/>
  <c r="B171" i="8"/>
  <c r="B165" i="8"/>
  <c r="B159" i="8"/>
  <c r="B153" i="8"/>
  <c r="B147" i="8"/>
  <c r="I121" i="8"/>
  <c r="H121" i="8"/>
  <c r="G121" i="8"/>
  <c r="F121" i="8"/>
  <c r="E121" i="8"/>
  <c r="D121" i="8"/>
  <c r="C121" i="8"/>
  <c r="B110" i="8"/>
  <c r="B109" i="8" s="1"/>
  <c r="B107" i="8"/>
  <c r="B106" i="8"/>
  <c r="B104" i="8"/>
  <c r="B103" i="8"/>
  <c r="B101" i="8"/>
  <c r="B100" i="8"/>
  <c r="B98" i="8"/>
  <c r="B97" i="8" s="1"/>
  <c r="B96" i="8"/>
  <c r="B95" i="8"/>
  <c r="I78" i="8"/>
  <c r="E78" i="8"/>
  <c r="D78" i="8"/>
  <c r="B78" i="8"/>
  <c r="B74" i="8"/>
  <c r="B79" i="8" s="1"/>
  <c r="I72" i="8"/>
  <c r="H72" i="8"/>
  <c r="H78" i="8" s="1"/>
  <c r="G72" i="8"/>
  <c r="G78" i="8" s="1"/>
  <c r="F72" i="8"/>
  <c r="F78" i="8" s="1"/>
  <c r="E72" i="8"/>
  <c r="D72" i="8"/>
  <c r="C72" i="8"/>
  <c r="C78" i="8" s="1"/>
  <c r="B67" i="8"/>
  <c r="B66" i="8"/>
  <c r="B64" i="8"/>
  <c r="B59" i="8"/>
  <c r="B58" i="8"/>
  <c r="B57" i="8"/>
  <c r="B55" i="8"/>
  <c r="B54" i="8"/>
  <c r="B47" i="8"/>
  <c r="B36" i="8"/>
  <c r="B24" i="8"/>
  <c r="B23" i="8"/>
  <c r="I8" i="8"/>
  <c r="H8" i="8"/>
  <c r="G8" i="8"/>
  <c r="E8" i="8"/>
  <c r="C8" i="8"/>
  <c r="I7" i="8"/>
  <c r="H7" i="8"/>
  <c r="G7" i="8"/>
  <c r="E7" i="8"/>
  <c r="C7" i="8"/>
  <c r="I6" i="8"/>
  <c r="H6" i="8"/>
  <c r="G6" i="8"/>
  <c r="E6" i="8"/>
  <c r="C6" i="8"/>
  <c r="H5" i="8"/>
  <c r="H13" i="8" s="1"/>
  <c r="H19" i="8" s="1"/>
  <c r="N30" i="7"/>
  <c r="L25" i="7" s="1"/>
  <c r="N29" i="7"/>
  <c r="L29" i="7"/>
  <c r="L26" i="7"/>
  <c r="I26" i="7"/>
  <c r="H26" i="7"/>
  <c r="F26" i="7"/>
  <c r="D26" i="7"/>
  <c r="K25" i="7"/>
  <c r="K26" i="7" s="1"/>
  <c r="J25" i="7"/>
  <c r="J26" i="7" s="1"/>
  <c r="I25" i="7"/>
  <c r="H25" i="7"/>
  <c r="G25" i="7"/>
  <c r="G26" i="7" s="1"/>
  <c r="F25" i="7"/>
  <c r="D25" i="7"/>
  <c r="Q23" i="7"/>
  <c r="L23" i="7"/>
  <c r="K23" i="7"/>
  <c r="J23" i="7"/>
  <c r="H23" i="7"/>
  <c r="G23" i="7"/>
  <c r="F23" i="7"/>
  <c r="Z21" i="7"/>
  <c r="Y21" i="7"/>
  <c r="X21" i="7"/>
  <c r="W21" i="7"/>
  <c r="V21" i="7"/>
  <c r="U21" i="7"/>
  <c r="T21" i="7"/>
  <c r="U22" i="7" s="1"/>
  <c r="S21" i="7"/>
  <c r="Q22" i="7" s="1"/>
  <c r="B178" i="8" s="1"/>
  <c r="R21" i="7"/>
  <c r="Q21" i="7"/>
  <c r="P21" i="7"/>
  <c r="M21" i="7"/>
  <c r="M23" i="7" s="1"/>
  <c r="L21" i="7"/>
  <c r="K21" i="7"/>
  <c r="J21" i="7"/>
  <c r="I21" i="7"/>
  <c r="I23" i="7" s="1"/>
  <c r="H21" i="7"/>
  <c r="G21" i="7"/>
  <c r="F21" i="7"/>
  <c r="O20" i="7"/>
  <c r="E20" i="7"/>
  <c r="E19" i="7"/>
  <c r="O19" i="7" s="1"/>
  <c r="O18" i="7"/>
  <c r="E18" i="7"/>
  <c r="G33" i="3" s="1"/>
  <c r="E17" i="7"/>
  <c r="O17" i="7" s="1"/>
  <c r="N16" i="7"/>
  <c r="E16" i="7"/>
  <c r="D16" i="7"/>
  <c r="E31" i="3" s="1"/>
  <c r="E15" i="7"/>
  <c r="O15" i="7" s="1"/>
  <c r="O14" i="7"/>
  <c r="N14" i="7"/>
  <c r="E14" i="7"/>
  <c r="D14" i="7"/>
  <c r="B14" i="7"/>
  <c r="N13" i="7"/>
  <c r="E13" i="7"/>
  <c r="D13" i="7"/>
  <c r="N12" i="7"/>
  <c r="E12" i="7"/>
  <c r="D12" i="7" s="1"/>
  <c r="O11" i="7"/>
  <c r="E11" i="7"/>
  <c r="N10" i="7"/>
  <c r="E10" i="7"/>
  <c r="B10" i="7"/>
  <c r="N9" i="7"/>
  <c r="E9" i="7"/>
  <c r="D9" i="7"/>
  <c r="O9" i="7" s="1"/>
  <c r="N8" i="7"/>
  <c r="E8" i="7"/>
  <c r="D8" i="7" s="1"/>
  <c r="N7" i="7"/>
  <c r="Y22" i="3" s="1"/>
  <c r="E7" i="7"/>
  <c r="D7" i="7" s="1"/>
  <c r="E6" i="7"/>
  <c r="B6" i="7"/>
  <c r="E5" i="7"/>
  <c r="O5" i="7" s="1"/>
  <c r="O4" i="7"/>
  <c r="N4" i="7"/>
  <c r="E4" i="7"/>
  <c r="D4" i="7"/>
  <c r="E116" i="6"/>
  <c r="D116" i="6"/>
  <c r="C116" i="6"/>
  <c r="B107" i="6"/>
  <c r="B106" i="6"/>
  <c r="B104" i="6"/>
  <c r="B103" i="6"/>
  <c r="B101" i="6"/>
  <c r="B100" i="6" s="1"/>
  <c r="B98" i="6"/>
  <c r="B97" i="6" s="1"/>
  <c r="B95" i="6"/>
  <c r="B94" i="6" s="1"/>
  <c r="E78" i="6"/>
  <c r="D78" i="6"/>
  <c r="B78" i="6"/>
  <c r="B74" i="6"/>
  <c r="B79" i="6" s="1"/>
  <c r="C72" i="6"/>
  <c r="C78" i="6" s="1"/>
  <c r="B67" i="6"/>
  <c r="B66" i="6"/>
  <c r="B64" i="6"/>
  <c r="B59" i="6"/>
  <c r="B57" i="6"/>
  <c r="B54" i="6"/>
  <c r="B55" i="6" s="1"/>
  <c r="B41" i="6"/>
  <c r="D41" i="6" s="1"/>
  <c r="B40" i="6"/>
  <c r="B36" i="6"/>
  <c r="B24" i="6"/>
  <c r="B25" i="6" s="1"/>
  <c r="B46" i="6" s="1"/>
  <c r="B23" i="6"/>
  <c r="D13" i="6"/>
  <c r="E8" i="6"/>
  <c r="D8" i="6"/>
  <c r="C8" i="6"/>
  <c r="E7" i="6"/>
  <c r="D7" i="6"/>
  <c r="C7" i="6"/>
  <c r="E6" i="6"/>
  <c r="D6" i="6"/>
  <c r="C6" i="6"/>
  <c r="D5" i="6"/>
  <c r="B195" i="5"/>
  <c r="B192" i="5"/>
  <c r="B189" i="5"/>
  <c r="B190" i="5" s="1"/>
  <c r="B183" i="5"/>
  <c r="B180" i="5"/>
  <c r="B181" i="5" s="1"/>
  <c r="B177" i="5"/>
  <c r="B178" i="5" s="1"/>
  <c r="B171" i="5"/>
  <c r="B165" i="5"/>
  <c r="B159" i="5"/>
  <c r="B153" i="5"/>
  <c r="B154" i="5" s="1"/>
  <c r="B147" i="5"/>
  <c r="I121" i="5"/>
  <c r="H121" i="5"/>
  <c r="G121" i="5"/>
  <c r="F121" i="5"/>
  <c r="E121" i="5"/>
  <c r="D121" i="5"/>
  <c r="C121" i="5"/>
  <c r="B110" i="5"/>
  <c r="B109" i="5" s="1"/>
  <c r="B107" i="5"/>
  <c r="B106" i="5" s="1"/>
  <c r="B104" i="5"/>
  <c r="B103" i="5"/>
  <c r="B101" i="5"/>
  <c r="B100" i="5"/>
  <c r="B98" i="5"/>
  <c r="B97" i="5"/>
  <c r="B96" i="5"/>
  <c r="B95" i="5"/>
  <c r="I78" i="5"/>
  <c r="H78" i="5"/>
  <c r="E78" i="5"/>
  <c r="D78" i="5"/>
  <c r="C78" i="5"/>
  <c r="B78" i="5"/>
  <c r="B74" i="5"/>
  <c r="B79" i="5" s="1"/>
  <c r="I72" i="5"/>
  <c r="H72" i="5"/>
  <c r="G72" i="5"/>
  <c r="G78" i="5" s="1"/>
  <c r="F72" i="5"/>
  <c r="F78" i="5" s="1"/>
  <c r="E72" i="5"/>
  <c r="D72" i="5"/>
  <c r="C72" i="5"/>
  <c r="B67" i="5"/>
  <c r="B66" i="5"/>
  <c r="B64" i="5"/>
  <c r="B59" i="5"/>
  <c r="B57" i="5"/>
  <c r="B55" i="5"/>
  <c r="B54" i="5"/>
  <c r="B36" i="5"/>
  <c r="B24" i="5"/>
  <c r="B23" i="5"/>
  <c r="E14" i="5"/>
  <c r="H13" i="5"/>
  <c r="H19" i="5" s="1"/>
  <c r="F13" i="5"/>
  <c r="I8" i="5"/>
  <c r="H8" i="5"/>
  <c r="G8" i="5"/>
  <c r="E8" i="5"/>
  <c r="C8" i="5"/>
  <c r="I7" i="5"/>
  <c r="H7" i="5"/>
  <c r="G7" i="5"/>
  <c r="E7" i="5"/>
  <c r="C7" i="5"/>
  <c r="I6" i="5"/>
  <c r="H6" i="5"/>
  <c r="G6" i="5"/>
  <c r="E6" i="5"/>
  <c r="C6" i="5"/>
  <c r="H5" i="5"/>
  <c r="E5" i="5"/>
  <c r="N24" i="4"/>
  <c r="L24" i="4"/>
  <c r="K20" i="4"/>
  <c r="K21" i="4" s="1"/>
  <c r="J20" i="4"/>
  <c r="J21" i="4" s="1"/>
  <c r="I20" i="4"/>
  <c r="I21" i="4" s="1"/>
  <c r="H20" i="4"/>
  <c r="H21" i="4" s="1"/>
  <c r="G20" i="4"/>
  <c r="G21" i="4" s="1"/>
  <c r="F20" i="4"/>
  <c r="F21" i="4" s="1"/>
  <c r="D20" i="4"/>
  <c r="D21" i="4" s="1"/>
  <c r="K18" i="4"/>
  <c r="J18" i="4"/>
  <c r="G18" i="4"/>
  <c r="F18" i="4"/>
  <c r="Y16" i="4"/>
  <c r="X16" i="4"/>
  <c r="W16" i="4"/>
  <c r="V16" i="4"/>
  <c r="U16" i="4"/>
  <c r="T16" i="4"/>
  <c r="S16" i="4"/>
  <c r="R16" i="4"/>
  <c r="Q16" i="4"/>
  <c r="P16" i="4"/>
  <c r="Q17" i="4" s="1"/>
  <c r="N16" i="4"/>
  <c r="N18" i="4" s="1"/>
  <c r="M16" i="4"/>
  <c r="M18" i="4" s="1"/>
  <c r="L16" i="4"/>
  <c r="L18" i="4" s="1"/>
  <c r="K16" i="4"/>
  <c r="J16" i="4"/>
  <c r="I16" i="4"/>
  <c r="I18" i="4" s="1"/>
  <c r="H16" i="4"/>
  <c r="G16" i="4"/>
  <c r="F16" i="4"/>
  <c r="C16" i="4"/>
  <c r="O15" i="4"/>
  <c r="B15" i="4"/>
  <c r="E14" i="4"/>
  <c r="O14" i="4" s="1"/>
  <c r="E13" i="4"/>
  <c r="B13" i="4"/>
  <c r="E12" i="4"/>
  <c r="O12" i="4" s="1"/>
  <c r="E11" i="4"/>
  <c r="O11" i="4" s="1"/>
  <c r="H10" i="4"/>
  <c r="E9" i="4"/>
  <c r="O9" i="4" s="1"/>
  <c r="B9" i="4"/>
  <c r="E8" i="4"/>
  <c r="O8" i="4" s="1"/>
  <c r="H7" i="4"/>
  <c r="E6" i="4"/>
  <c r="O6" i="4" s="1"/>
  <c r="E5" i="4"/>
  <c r="G7" i="3" s="1"/>
  <c r="E4" i="4"/>
  <c r="O4" i="4" s="1"/>
  <c r="B4" i="4"/>
  <c r="Y49" i="3"/>
  <c r="W49" i="3"/>
  <c r="U49" i="3"/>
  <c r="S49" i="3"/>
  <c r="Q49" i="3"/>
  <c r="O49" i="3"/>
  <c r="M49" i="3"/>
  <c r="K49" i="3"/>
  <c r="I49" i="3"/>
  <c r="G49" i="3"/>
  <c r="E49" i="3"/>
  <c r="D49" i="3"/>
  <c r="Y48" i="3"/>
  <c r="W48" i="3"/>
  <c r="U48" i="3"/>
  <c r="S48" i="3"/>
  <c r="Q48" i="3"/>
  <c r="O48" i="3"/>
  <c r="M48" i="3"/>
  <c r="K48" i="3"/>
  <c r="I48" i="3"/>
  <c r="G48" i="3"/>
  <c r="E48" i="3"/>
  <c r="D48" i="3"/>
  <c r="Y47" i="3"/>
  <c r="W47" i="3"/>
  <c r="U47" i="3"/>
  <c r="S47" i="3"/>
  <c r="Q47" i="3"/>
  <c r="O47" i="3"/>
  <c r="M47" i="3"/>
  <c r="K47" i="3"/>
  <c r="I47" i="3"/>
  <c r="G47" i="3"/>
  <c r="E47" i="3"/>
  <c r="D47" i="3"/>
  <c r="Y46" i="3"/>
  <c r="W46" i="3"/>
  <c r="U46" i="3"/>
  <c r="S46" i="3"/>
  <c r="Q46" i="3"/>
  <c r="O46" i="3"/>
  <c r="M46" i="3"/>
  <c r="K46" i="3"/>
  <c r="I46" i="3"/>
  <c r="G46" i="3"/>
  <c r="E46" i="3"/>
  <c r="D46" i="3"/>
  <c r="B13" i="10" s="1"/>
  <c r="Y45" i="3"/>
  <c r="W45" i="3"/>
  <c r="U45" i="3"/>
  <c r="S45" i="3"/>
  <c r="Q45" i="3"/>
  <c r="O45" i="3"/>
  <c r="M45" i="3"/>
  <c r="K45" i="3"/>
  <c r="I45" i="3"/>
  <c r="E45" i="3"/>
  <c r="D45" i="3"/>
  <c r="B12" i="10" s="1"/>
  <c r="Y44" i="3"/>
  <c r="W44" i="3"/>
  <c r="U44" i="3"/>
  <c r="S44" i="3"/>
  <c r="Q44" i="3"/>
  <c r="O44" i="3"/>
  <c r="M44" i="3"/>
  <c r="K44" i="3"/>
  <c r="I44" i="3"/>
  <c r="G44" i="3"/>
  <c r="E44" i="3"/>
  <c r="D44" i="3"/>
  <c r="Y43" i="3"/>
  <c r="W43" i="3"/>
  <c r="U43" i="3"/>
  <c r="S43" i="3"/>
  <c r="Q43" i="3"/>
  <c r="O43" i="3"/>
  <c r="M43" i="3"/>
  <c r="K43" i="3"/>
  <c r="I43" i="3"/>
  <c r="D43" i="3"/>
  <c r="Y42" i="3"/>
  <c r="W42" i="3"/>
  <c r="U42" i="3"/>
  <c r="S42" i="3"/>
  <c r="Q42" i="3"/>
  <c r="O42" i="3"/>
  <c r="M42" i="3"/>
  <c r="K42" i="3"/>
  <c r="I42" i="3"/>
  <c r="D42" i="3"/>
  <c r="B9" i="10" s="1"/>
  <c r="Y41" i="3"/>
  <c r="W41" i="3"/>
  <c r="U41" i="3"/>
  <c r="S41" i="3"/>
  <c r="Q41" i="3"/>
  <c r="O41" i="3"/>
  <c r="O50" i="3" s="1"/>
  <c r="M41" i="3"/>
  <c r="K41" i="3"/>
  <c r="I41" i="3"/>
  <c r="D41" i="3"/>
  <c r="B8" i="10" s="1"/>
  <c r="Y40" i="3"/>
  <c r="W40" i="3"/>
  <c r="U40" i="3"/>
  <c r="S40" i="3"/>
  <c r="S50" i="3" s="1"/>
  <c r="Q40" i="3"/>
  <c r="O40" i="3"/>
  <c r="M40" i="3"/>
  <c r="K40" i="3"/>
  <c r="I40" i="3"/>
  <c r="E40" i="3"/>
  <c r="D40" i="3"/>
  <c r="B7" i="10" s="1"/>
  <c r="Y39" i="3"/>
  <c r="W39" i="3"/>
  <c r="U39" i="3"/>
  <c r="S39" i="3"/>
  <c r="Q39" i="3"/>
  <c r="O39" i="3"/>
  <c r="M39" i="3"/>
  <c r="K39" i="3"/>
  <c r="K50" i="3" s="1"/>
  <c r="I39" i="3"/>
  <c r="D39" i="3"/>
  <c r="Y38" i="3"/>
  <c r="W38" i="3"/>
  <c r="U38" i="3"/>
  <c r="S38" i="3"/>
  <c r="Q38" i="3"/>
  <c r="O38" i="3"/>
  <c r="M38" i="3"/>
  <c r="K38" i="3"/>
  <c r="I38" i="3"/>
  <c r="D38" i="3"/>
  <c r="B5" i="10" s="1"/>
  <c r="AE37" i="3"/>
  <c r="Y37" i="3"/>
  <c r="W37" i="3"/>
  <c r="U37" i="3"/>
  <c r="U50" i="3" s="1"/>
  <c r="S37" i="3"/>
  <c r="Q37" i="3"/>
  <c r="O37" i="3"/>
  <c r="M37" i="3"/>
  <c r="K37" i="3"/>
  <c r="I37" i="3"/>
  <c r="G37" i="3"/>
  <c r="E37" i="3"/>
  <c r="D37" i="3"/>
  <c r="B4" i="10" s="1"/>
  <c r="Y35" i="3"/>
  <c r="W35" i="3"/>
  <c r="U35" i="3"/>
  <c r="S35" i="3"/>
  <c r="Q35" i="3"/>
  <c r="O35" i="3"/>
  <c r="M35" i="3"/>
  <c r="K35" i="3"/>
  <c r="I35" i="3"/>
  <c r="G35" i="3"/>
  <c r="E35" i="3"/>
  <c r="D35" i="3"/>
  <c r="B20" i="7" s="1"/>
  <c r="Y34" i="3"/>
  <c r="W34" i="3"/>
  <c r="U34" i="3"/>
  <c r="S34" i="3"/>
  <c r="Q34" i="3"/>
  <c r="O34" i="3"/>
  <c r="M34" i="3"/>
  <c r="K34" i="3"/>
  <c r="I34" i="3"/>
  <c r="G34" i="3"/>
  <c r="E34" i="3"/>
  <c r="D34" i="3"/>
  <c r="B19" i="7" s="1"/>
  <c r="Y33" i="3"/>
  <c r="W33" i="3"/>
  <c r="U33" i="3"/>
  <c r="S33" i="3"/>
  <c r="Q33" i="3"/>
  <c r="O33" i="3"/>
  <c r="M33" i="3"/>
  <c r="K33" i="3"/>
  <c r="I33" i="3"/>
  <c r="E33" i="3"/>
  <c r="D33" i="3"/>
  <c r="B18" i="7" s="1"/>
  <c r="Y32" i="3"/>
  <c r="W32" i="3"/>
  <c r="U32" i="3"/>
  <c r="S32" i="3"/>
  <c r="Q32" i="3"/>
  <c r="O32" i="3"/>
  <c r="M32" i="3"/>
  <c r="K32" i="3"/>
  <c r="I32" i="3"/>
  <c r="E32" i="3"/>
  <c r="D32" i="3"/>
  <c r="B17" i="7" s="1"/>
  <c r="Y31" i="3"/>
  <c r="W31" i="3"/>
  <c r="U31" i="3"/>
  <c r="S31" i="3"/>
  <c r="Q31" i="3"/>
  <c r="O31" i="3"/>
  <c r="M31" i="3"/>
  <c r="K31" i="3"/>
  <c r="I31" i="3"/>
  <c r="G31" i="3"/>
  <c r="D31" i="3"/>
  <c r="B16" i="7" s="1"/>
  <c r="Y30" i="3"/>
  <c r="W30" i="3"/>
  <c r="U30" i="3"/>
  <c r="S30" i="3"/>
  <c r="Q30" i="3"/>
  <c r="O30" i="3"/>
  <c r="M30" i="3"/>
  <c r="K30" i="3"/>
  <c r="I30" i="3"/>
  <c r="G30" i="3"/>
  <c r="E30" i="3"/>
  <c r="D30" i="3"/>
  <c r="B15" i="7" s="1"/>
  <c r="Y29" i="3"/>
  <c r="W29" i="3"/>
  <c r="U29" i="3"/>
  <c r="S29" i="3"/>
  <c r="Q29" i="3"/>
  <c r="O29" i="3"/>
  <c r="M29" i="3"/>
  <c r="K29" i="3"/>
  <c r="I29" i="3"/>
  <c r="G29" i="3"/>
  <c r="E29" i="3"/>
  <c r="D29" i="3"/>
  <c r="Y28" i="3"/>
  <c r="W28" i="3"/>
  <c r="U28" i="3"/>
  <c r="S28" i="3"/>
  <c r="Q28" i="3"/>
  <c r="O28" i="3"/>
  <c r="M28" i="3"/>
  <c r="K28" i="3"/>
  <c r="I28" i="3"/>
  <c r="G28" i="3"/>
  <c r="E28" i="3"/>
  <c r="D28" i="3"/>
  <c r="B13" i="7" s="1"/>
  <c r="W27" i="3"/>
  <c r="U27" i="3"/>
  <c r="S27" i="3"/>
  <c r="Q27" i="3"/>
  <c r="O27" i="3"/>
  <c r="M27" i="3"/>
  <c r="K27" i="3"/>
  <c r="I27" i="3"/>
  <c r="G27" i="3"/>
  <c r="E27" i="3"/>
  <c r="D27" i="3"/>
  <c r="B12" i="7" s="1"/>
  <c r="Y26" i="3"/>
  <c r="W26" i="3"/>
  <c r="U26" i="3"/>
  <c r="S26" i="3"/>
  <c r="Q26" i="3"/>
  <c r="O26" i="3"/>
  <c r="M26" i="3"/>
  <c r="K26" i="3"/>
  <c r="I26" i="3"/>
  <c r="G26" i="3"/>
  <c r="E26" i="3"/>
  <c r="D26" i="3"/>
  <c r="B11" i="7" s="1"/>
  <c r="Y25" i="3"/>
  <c r="W25" i="3"/>
  <c r="U25" i="3"/>
  <c r="S25" i="3"/>
  <c r="Q25" i="3"/>
  <c r="O25" i="3"/>
  <c r="M25" i="3"/>
  <c r="K25" i="3"/>
  <c r="I25" i="3"/>
  <c r="D25" i="3"/>
  <c r="Y24" i="3"/>
  <c r="W24" i="3"/>
  <c r="U24" i="3"/>
  <c r="S24" i="3"/>
  <c r="Q24" i="3"/>
  <c r="O24" i="3"/>
  <c r="M24" i="3"/>
  <c r="K24" i="3"/>
  <c r="I24" i="3"/>
  <c r="G24" i="3"/>
  <c r="E24" i="3"/>
  <c r="D24" i="3"/>
  <c r="B9" i="7" s="1"/>
  <c r="Y23" i="3"/>
  <c r="W23" i="3"/>
  <c r="U23" i="3"/>
  <c r="S23" i="3"/>
  <c r="Q23" i="3"/>
  <c r="O23" i="3"/>
  <c r="M23" i="3"/>
  <c r="K23" i="3"/>
  <c r="I23" i="3"/>
  <c r="G23" i="3"/>
  <c r="D23" i="3"/>
  <c r="B8" i="7" s="1"/>
  <c r="W22" i="3"/>
  <c r="W36" i="3" s="1"/>
  <c r="U22" i="3"/>
  <c r="S22" i="3"/>
  <c r="Q22" i="3"/>
  <c r="O22" i="3"/>
  <c r="O36" i="3" s="1"/>
  <c r="M22" i="3"/>
  <c r="K22" i="3"/>
  <c r="I22" i="3"/>
  <c r="G22" i="3"/>
  <c r="D22" i="3"/>
  <c r="B7" i="7" s="1"/>
  <c r="Y21" i="3"/>
  <c r="W21" i="3"/>
  <c r="U21" i="3"/>
  <c r="U36" i="3" s="1"/>
  <c r="S21" i="3"/>
  <c r="Q21" i="3"/>
  <c r="O21" i="3"/>
  <c r="M21" i="3"/>
  <c r="K21" i="3"/>
  <c r="I21" i="3"/>
  <c r="E21" i="3"/>
  <c r="D21" i="3"/>
  <c r="Y20" i="3"/>
  <c r="W20" i="3"/>
  <c r="U20" i="3"/>
  <c r="S20" i="3"/>
  <c r="Q20" i="3"/>
  <c r="O20" i="3"/>
  <c r="M20" i="3"/>
  <c r="K20" i="3"/>
  <c r="I20" i="3"/>
  <c r="G20" i="3"/>
  <c r="E20" i="3"/>
  <c r="D20" i="3"/>
  <c r="B5" i="7" s="1"/>
  <c r="AE19" i="3"/>
  <c r="Y19" i="3"/>
  <c r="W19" i="3"/>
  <c r="U19" i="3"/>
  <c r="S19" i="3"/>
  <c r="S36" i="3" s="1"/>
  <c r="Q19" i="3"/>
  <c r="O19" i="3"/>
  <c r="M19" i="3"/>
  <c r="M36" i="3" s="1"/>
  <c r="K19" i="3"/>
  <c r="I19" i="3"/>
  <c r="I36" i="3" s="1"/>
  <c r="G19" i="3"/>
  <c r="E19" i="3"/>
  <c r="D19" i="3"/>
  <c r="B4" i="7" s="1"/>
  <c r="Y17" i="3"/>
  <c r="W17" i="3"/>
  <c r="U17" i="3"/>
  <c r="S17" i="3"/>
  <c r="Q17" i="3"/>
  <c r="O17" i="3"/>
  <c r="M17" i="3"/>
  <c r="K17" i="3"/>
  <c r="I17" i="3"/>
  <c r="G17" i="3"/>
  <c r="E17" i="3"/>
  <c r="D17" i="3"/>
  <c r="Y16" i="3"/>
  <c r="W16" i="3"/>
  <c r="U16" i="3"/>
  <c r="S16" i="3"/>
  <c r="Q16" i="3"/>
  <c r="O16" i="3"/>
  <c r="O18" i="3" s="1"/>
  <c r="M16" i="3"/>
  <c r="K16" i="3"/>
  <c r="I16" i="3"/>
  <c r="E16" i="3"/>
  <c r="D16" i="3"/>
  <c r="B14" i="4" s="1"/>
  <c r="Y15" i="3"/>
  <c r="W15" i="3"/>
  <c r="U15" i="3"/>
  <c r="S15" i="3"/>
  <c r="Q15" i="3"/>
  <c r="O15" i="3"/>
  <c r="M15" i="3"/>
  <c r="K15" i="3"/>
  <c r="I15" i="3"/>
  <c r="E15" i="3"/>
  <c r="D15" i="3"/>
  <c r="Y14" i="3"/>
  <c r="W14" i="3"/>
  <c r="U14" i="3"/>
  <c r="S14" i="3"/>
  <c r="Q14" i="3"/>
  <c r="O14" i="3"/>
  <c r="M14" i="3"/>
  <c r="K14" i="3"/>
  <c r="I14" i="3"/>
  <c r="E14" i="3"/>
  <c r="D14" i="3"/>
  <c r="B12" i="4" s="1"/>
  <c r="Y13" i="3"/>
  <c r="W13" i="3"/>
  <c r="U13" i="3"/>
  <c r="S13" i="3"/>
  <c r="Q13" i="3"/>
  <c r="O13" i="3"/>
  <c r="M13" i="3"/>
  <c r="K13" i="3"/>
  <c r="I13" i="3"/>
  <c r="G13" i="3"/>
  <c r="E13" i="3"/>
  <c r="D13" i="3"/>
  <c r="B11" i="4" s="1"/>
  <c r="Y12" i="3"/>
  <c r="W12" i="3"/>
  <c r="U12" i="3"/>
  <c r="S12" i="3"/>
  <c r="Q12" i="3"/>
  <c r="O12" i="3"/>
  <c r="K12" i="3"/>
  <c r="I12" i="3"/>
  <c r="D12" i="3"/>
  <c r="B10" i="4" s="1"/>
  <c r="Y11" i="3"/>
  <c r="W11" i="3"/>
  <c r="U11" i="3"/>
  <c r="S11" i="3"/>
  <c r="Q11" i="3"/>
  <c r="O11" i="3"/>
  <c r="M11" i="3"/>
  <c r="K11" i="3"/>
  <c r="I11" i="3"/>
  <c r="E11" i="3"/>
  <c r="D11" i="3"/>
  <c r="Y10" i="3"/>
  <c r="W10" i="3"/>
  <c r="U10" i="3"/>
  <c r="S10" i="3"/>
  <c r="Q10" i="3"/>
  <c r="O10" i="3"/>
  <c r="M10" i="3"/>
  <c r="K10" i="3"/>
  <c r="I10" i="3"/>
  <c r="E10" i="3"/>
  <c r="D10" i="3"/>
  <c r="B8" i="4" s="1"/>
  <c r="Y9" i="3"/>
  <c r="W9" i="3"/>
  <c r="U9" i="3"/>
  <c r="S9" i="3"/>
  <c r="Q9" i="3"/>
  <c r="O9" i="3"/>
  <c r="K9" i="3"/>
  <c r="I9" i="3"/>
  <c r="D9" i="3"/>
  <c r="B7" i="4" s="1"/>
  <c r="Y8" i="3"/>
  <c r="W8" i="3"/>
  <c r="W18" i="3" s="1"/>
  <c r="U8" i="3"/>
  <c r="S8" i="3"/>
  <c r="Q8" i="3"/>
  <c r="O8" i="3"/>
  <c r="M8" i="3"/>
  <c r="K8" i="3"/>
  <c r="I8" i="3"/>
  <c r="E8" i="3"/>
  <c r="D8" i="3"/>
  <c r="B6" i="4" s="1"/>
  <c r="Y7" i="3"/>
  <c r="W7" i="3"/>
  <c r="U7" i="3"/>
  <c r="S7" i="3"/>
  <c r="Q7" i="3"/>
  <c r="O7" i="3"/>
  <c r="M7" i="3"/>
  <c r="K7" i="3"/>
  <c r="I7" i="3"/>
  <c r="D7" i="3"/>
  <c r="B5" i="4" s="1"/>
  <c r="AE6" i="3"/>
  <c r="Y6" i="3"/>
  <c r="Y18" i="3" s="1"/>
  <c r="W6" i="3"/>
  <c r="U6" i="3"/>
  <c r="U18" i="3" s="1"/>
  <c r="S6" i="3"/>
  <c r="S18" i="3" s="1"/>
  <c r="Q6" i="3"/>
  <c r="O6" i="3"/>
  <c r="M6" i="3"/>
  <c r="K6" i="3"/>
  <c r="I6" i="3"/>
  <c r="I18" i="3" s="1"/>
  <c r="E6" i="3"/>
  <c r="D6" i="3"/>
  <c r="D147" i="2"/>
  <c r="H147" i="2" s="1"/>
  <c r="H146" i="2"/>
  <c r="G134" i="2"/>
  <c r="I133" i="2"/>
  <c r="G133" i="2"/>
  <c r="D133" i="2"/>
  <c r="C133" i="2"/>
  <c r="H133" i="2" s="1"/>
  <c r="G132" i="2"/>
  <c r="I131" i="2"/>
  <c r="G131" i="2"/>
  <c r="H131" i="2" s="1"/>
  <c r="G128" i="2"/>
  <c r="H128" i="2" s="1"/>
  <c r="D128" i="2"/>
  <c r="I128" i="2" s="1"/>
  <c r="C128" i="2"/>
  <c r="H127" i="2"/>
  <c r="G127" i="2"/>
  <c r="I127" i="2" s="1"/>
  <c r="D127" i="2"/>
  <c r="C127" i="2"/>
  <c r="I126" i="2"/>
  <c r="G126" i="2"/>
  <c r="D126" i="2"/>
  <c r="C126" i="2"/>
  <c r="H126" i="2" s="1"/>
  <c r="H123" i="2" s="1"/>
  <c r="G125" i="2"/>
  <c r="D125" i="2"/>
  <c r="I125" i="2" s="1"/>
  <c r="C125" i="2"/>
  <c r="H125" i="2" s="1"/>
  <c r="G124" i="2"/>
  <c r="H124" i="2" s="1"/>
  <c r="D124" i="2"/>
  <c r="I124" i="2" s="1"/>
  <c r="C124" i="2"/>
  <c r="K119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J119" i="2" s="1"/>
  <c r="I113" i="2"/>
  <c r="I119" i="2" s="1"/>
  <c r="I84" i="5" s="1"/>
  <c r="H112" i="2"/>
  <c r="H111" i="2"/>
  <c r="H110" i="2"/>
  <c r="H109" i="2"/>
  <c r="H108" i="2"/>
  <c r="H107" i="2"/>
  <c r="K97" i="2"/>
  <c r="J97" i="2"/>
  <c r="I97" i="2"/>
  <c r="K96" i="2"/>
  <c r="H96" i="2"/>
  <c r="E96" i="2"/>
  <c r="D96" i="2"/>
  <c r="J96" i="2" s="1"/>
  <c r="C96" i="2"/>
  <c r="I96" i="2" s="1"/>
  <c r="H95" i="2"/>
  <c r="J95" i="2" s="1"/>
  <c r="E95" i="2"/>
  <c r="K95" i="2" s="1"/>
  <c r="D95" i="2"/>
  <c r="C95" i="2"/>
  <c r="H94" i="2"/>
  <c r="E94" i="2"/>
  <c r="K94" i="2" s="1"/>
  <c r="D94" i="2"/>
  <c r="J94" i="2" s="1"/>
  <c r="C94" i="2"/>
  <c r="I94" i="2" s="1"/>
  <c r="H93" i="2"/>
  <c r="E93" i="2"/>
  <c r="D93" i="2"/>
  <c r="J93" i="2" s="1"/>
  <c r="C93" i="2"/>
  <c r="I93" i="2" s="1"/>
  <c r="K92" i="2"/>
  <c r="H92" i="2"/>
  <c r="E92" i="2"/>
  <c r="D92" i="2"/>
  <c r="J92" i="2" s="1"/>
  <c r="C92" i="2"/>
  <c r="I92" i="2" s="1"/>
  <c r="H91" i="2"/>
  <c r="K91" i="2" s="1"/>
  <c r="E91" i="2"/>
  <c r="D91" i="2"/>
  <c r="C91" i="2"/>
  <c r="H90" i="2"/>
  <c r="E90" i="2"/>
  <c r="K90" i="2" s="1"/>
  <c r="D90" i="2"/>
  <c r="J90" i="2" s="1"/>
  <c r="C90" i="2"/>
  <c r="I90" i="2" s="1"/>
  <c r="H89" i="2"/>
  <c r="E89" i="2"/>
  <c r="K89" i="2" s="1"/>
  <c r="D89" i="2"/>
  <c r="J89" i="2" s="1"/>
  <c r="C89" i="2"/>
  <c r="I89" i="2" s="1"/>
  <c r="H88" i="2"/>
  <c r="J88" i="2" s="1"/>
  <c r="F69" i="2"/>
  <c r="C69" i="2"/>
  <c r="G69" i="2" s="1"/>
  <c r="G67" i="2"/>
  <c r="F67" i="2"/>
  <c r="C67" i="2"/>
  <c r="F66" i="2"/>
  <c r="G66" i="2" s="1"/>
  <c r="F65" i="2"/>
  <c r="C65" i="2"/>
  <c r="F64" i="2"/>
  <c r="C64" i="2"/>
  <c r="G64" i="2" s="1"/>
  <c r="F58" i="2"/>
  <c r="G58" i="2" s="1"/>
  <c r="G57" i="2"/>
  <c r="F57" i="2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G49" i="2"/>
  <c r="F49" i="2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G41" i="2"/>
  <c r="F41" i="2"/>
  <c r="F40" i="2"/>
  <c r="G40" i="2" s="1"/>
  <c r="G36" i="2"/>
  <c r="F36" i="2"/>
  <c r="F35" i="2"/>
  <c r="G35" i="2" s="1"/>
  <c r="G34" i="2"/>
  <c r="F34" i="2"/>
  <c r="F33" i="2"/>
  <c r="G33" i="2" s="1"/>
  <c r="G32" i="2"/>
  <c r="F32" i="2"/>
  <c r="F31" i="2"/>
  <c r="G31" i="2" s="1"/>
  <c r="G30" i="2"/>
  <c r="F30" i="2"/>
  <c r="F29" i="2"/>
  <c r="G29" i="2" s="1"/>
  <c r="G28" i="2"/>
  <c r="F28" i="2"/>
  <c r="F27" i="2"/>
  <c r="G27" i="2" s="1"/>
  <c r="G26" i="2"/>
  <c r="F26" i="2"/>
  <c r="F25" i="2"/>
  <c r="G25" i="2" s="1"/>
  <c r="G24" i="2"/>
  <c r="F24" i="2"/>
  <c r="F23" i="2"/>
  <c r="G23" i="2" s="1"/>
  <c r="G22" i="2"/>
  <c r="F22" i="2"/>
  <c r="F21" i="2"/>
  <c r="G21" i="2" s="1"/>
  <c r="G20" i="2"/>
  <c r="F20" i="2"/>
  <c r="F19" i="2"/>
  <c r="G19" i="2" s="1"/>
  <c r="G18" i="2"/>
  <c r="F18" i="2"/>
  <c r="F17" i="2"/>
  <c r="G17" i="2" s="1"/>
  <c r="G16" i="2"/>
  <c r="F16" i="2"/>
  <c r="F15" i="2"/>
  <c r="G15" i="2" s="1"/>
  <c r="G14" i="2"/>
  <c r="F14" i="2"/>
  <c r="F13" i="2"/>
  <c r="G13" i="2" s="1"/>
  <c r="G12" i="2"/>
  <c r="F12" i="2"/>
  <c r="F11" i="2"/>
  <c r="G11" i="2" s="1"/>
  <c r="G10" i="2"/>
  <c r="F10" i="2"/>
  <c r="F9" i="2"/>
  <c r="G9" i="2" s="1"/>
  <c r="G8" i="2"/>
  <c r="F8" i="2"/>
  <c r="F7" i="2"/>
  <c r="G7" i="2" s="1"/>
  <c r="G6" i="2"/>
  <c r="F6" i="2"/>
  <c r="F5" i="2"/>
  <c r="G5" i="2" s="1"/>
  <c r="G4" i="2"/>
  <c r="F4" i="2"/>
  <c r="F3" i="2"/>
  <c r="G3" i="2" s="1"/>
  <c r="D101" i="1"/>
  <c r="E100" i="1"/>
  <c r="E99" i="1"/>
  <c r="E98" i="1"/>
  <c r="E97" i="1"/>
  <c r="F97" i="1" s="1"/>
  <c r="E96" i="1"/>
  <c r="E95" i="1"/>
  <c r="E101" i="1" s="1"/>
  <c r="E94" i="1"/>
  <c r="F94" i="1" s="1"/>
  <c r="E93" i="1"/>
  <c r="F93" i="1" s="1"/>
  <c r="E92" i="1"/>
  <c r="F92" i="1" s="1"/>
  <c r="E91" i="1"/>
  <c r="F91" i="1" s="1"/>
  <c r="F90" i="1"/>
  <c r="E90" i="1"/>
  <c r="E89" i="1"/>
  <c r="F89" i="1" s="1"/>
  <c r="K88" i="1"/>
  <c r="E88" i="1"/>
  <c r="F88" i="1" s="1"/>
  <c r="L87" i="1"/>
  <c r="L86" i="1"/>
  <c r="L85" i="1"/>
  <c r="M85" i="1" s="1"/>
  <c r="L84" i="1"/>
  <c r="L83" i="1"/>
  <c r="M83" i="1" s="1"/>
  <c r="D83" i="1"/>
  <c r="M82" i="1"/>
  <c r="L82" i="1"/>
  <c r="F82" i="1"/>
  <c r="E82" i="1"/>
  <c r="M81" i="1"/>
  <c r="L81" i="1"/>
  <c r="F81" i="1"/>
  <c r="E81" i="1"/>
  <c r="M80" i="1"/>
  <c r="L80" i="1"/>
  <c r="F80" i="1"/>
  <c r="E80" i="1"/>
  <c r="M79" i="1"/>
  <c r="L79" i="1"/>
  <c r="F79" i="1"/>
  <c r="E79" i="1"/>
  <c r="M78" i="1"/>
  <c r="L78" i="1"/>
  <c r="E78" i="1"/>
  <c r="F78" i="1" s="1"/>
  <c r="M77" i="1"/>
  <c r="L77" i="1"/>
  <c r="F77" i="1"/>
  <c r="E77" i="1"/>
  <c r="M76" i="1"/>
  <c r="L76" i="1"/>
  <c r="F76" i="1"/>
  <c r="E76" i="1"/>
  <c r="L75" i="1"/>
  <c r="E75" i="1"/>
  <c r="F75" i="1" s="1"/>
  <c r="M74" i="1"/>
  <c r="L74" i="1"/>
  <c r="E74" i="1"/>
  <c r="F74" i="1" s="1"/>
  <c r="L73" i="1"/>
  <c r="F73" i="1"/>
  <c r="E73" i="1"/>
  <c r="L72" i="1"/>
  <c r="M72" i="1" s="1"/>
  <c r="F72" i="1"/>
  <c r="E72" i="1"/>
  <c r="L71" i="1"/>
  <c r="M71" i="1" s="1"/>
  <c r="M88" i="1" s="1"/>
  <c r="F71" i="1"/>
  <c r="E71" i="1"/>
  <c r="E54" i="1"/>
  <c r="K27" i="1"/>
  <c r="E27" i="1"/>
  <c r="I20" i="1"/>
  <c r="H20" i="1"/>
  <c r="K20" i="1" s="1"/>
  <c r="E20" i="1"/>
  <c r="D20" i="1"/>
  <c r="C20" i="1"/>
  <c r="H19" i="1"/>
  <c r="K19" i="1" s="1"/>
  <c r="C19" i="1"/>
  <c r="E19" i="1" s="1"/>
  <c r="K13" i="1"/>
  <c r="J13" i="1"/>
  <c r="I13" i="1"/>
  <c r="F13" i="1"/>
  <c r="E13" i="1"/>
  <c r="D13" i="1"/>
  <c r="J12" i="1"/>
  <c r="I12" i="1"/>
  <c r="I5" i="11" s="1"/>
  <c r="I13" i="11" s="1"/>
  <c r="I19" i="11" s="1"/>
  <c r="H12" i="1"/>
  <c r="K12" i="1" s="1"/>
  <c r="C12" i="1"/>
  <c r="F12" i="1" s="1"/>
  <c r="K11" i="1"/>
  <c r="E5" i="12" s="1"/>
  <c r="E13" i="12" s="1"/>
  <c r="J11" i="1"/>
  <c r="I11" i="1"/>
  <c r="F11" i="1"/>
  <c r="E11" i="1"/>
  <c r="E5" i="8" s="1"/>
  <c r="D11" i="1"/>
  <c r="U17" i="4" l="1"/>
  <c r="E83" i="1"/>
  <c r="F83" i="1"/>
  <c r="D84" i="1" s="1"/>
  <c r="B38" i="6" s="1"/>
  <c r="G40" i="3"/>
  <c r="G6" i="3"/>
  <c r="G41" i="3"/>
  <c r="G14" i="3"/>
  <c r="D5" i="4"/>
  <c r="O5" i="4" s="1"/>
  <c r="O6" i="10"/>
  <c r="E39" i="3"/>
  <c r="O10" i="10"/>
  <c r="E43" i="3"/>
  <c r="G38" i="3"/>
  <c r="G39" i="3"/>
  <c r="G43" i="3"/>
  <c r="G45" i="3"/>
  <c r="G8" i="3"/>
  <c r="G11" i="3"/>
  <c r="G16" i="3"/>
  <c r="E87" i="12"/>
  <c r="D87" i="12"/>
  <c r="D87" i="9"/>
  <c r="D87" i="6"/>
  <c r="E87" i="9"/>
  <c r="E87" i="6"/>
  <c r="C39" i="12"/>
  <c r="I39" i="11"/>
  <c r="D39" i="11"/>
  <c r="C39" i="11"/>
  <c r="H39" i="11"/>
  <c r="G59" i="2"/>
  <c r="G60" i="2" s="1"/>
  <c r="B38" i="5"/>
  <c r="F101" i="1"/>
  <c r="D102" i="1" s="1"/>
  <c r="G37" i="2"/>
  <c r="E5" i="9"/>
  <c r="E13" i="9" s="1"/>
  <c r="E5" i="6"/>
  <c r="E13" i="6" s="1"/>
  <c r="G5" i="5"/>
  <c r="I123" i="11"/>
  <c r="I59" i="11"/>
  <c r="I57" i="11"/>
  <c r="I24" i="11"/>
  <c r="I55" i="11"/>
  <c r="I23" i="11"/>
  <c r="I25" i="11" s="1"/>
  <c r="I46" i="11" s="1"/>
  <c r="I54" i="11"/>
  <c r="C39" i="9"/>
  <c r="H39" i="8"/>
  <c r="D39" i="8"/>
  <c r="H39" i="5"/>
  <c r="D39" i="5"/>
  <c r="I39" i="8"/>
  <c r="C39" i="8"/>
  <c r="C39" i="6"/>
  <c r="C39" i="5"/>
  <c r="B42" i="12"/>
  <c r="B42" i="11"/>
  <c r="B42" i="9"/>
  <c r="B42" i="8"/>
  <c r="B42" i="6"/>
  <c r="K108" i="2"/>
  <c r="J108" i="2"/>
  <c r="K110" i="2"/>
  <c r="J110" i="2"/>
  <c r="K112" i="2"/>
  <c r="J112" i="2"/>
  <c r="D84" i="5"/>
  <c r="F84" i="5"/>
  <c r="E84" i="5"/>
  <c r="I132" i="2"/>
  <c r="H132" i="2"/>
  <c r="H18" i="4"/>
  <c r="D177" i="10"/>
  <c r="D176" i="4"/>
  <c r="D181" i="7"/>
  <c r="B58" i="5"/>
  <c r="B47" i="5"/>
  <c r="D14" i="6"/>
  <c r="D19" i="6" s="1"/>
  <c r="Y27" i="3"/>
  <c r="Y36" i="3" s="1"/>
  <c r="O12" i="7"/>
  <c r="C5" i="12"/>
  <c r="C13" i="12" s="1"/>
  <c r="C5" i="11"/>
  <c r="D12" i="1"/>
  <c r="D39" i="9"/>
  <c r="E39" i="6"/>
  <c r="G39" i="5"/>
  <c r="E39" i="9"/>
  <c r="G39" i="8"/>
  <c r="F39" i="5"/>
  <c r="E39" i="8"/>
  <c r="F39" i="8"/>
  <c r="L88" i="1"/>
  <c r="K89" i="1" s="1"/>
  <c r="I91" i="2"/>
  <c r="J91" i="2"/>
  <c r="J98" i="2" s="1"/>
  <c r="J99" i="2" s="1"/>
  <c r="J100" i="2" s="1"/>
  <c r="I108" i="2"/>
  <c r="I110" i="2"/>
  <c r="I112" i="2"/>
  <c r="I134" i="2"/>
  <c r="H134" i="2"/>
  <c r="Q50" i="3"/>
  <c r="W50" i="3"/>
  <c r="E10" i="4"/>
  <c r="M12" i="3"/>
  <c r="H123" i="5"/>
  <c r="H59" i="5"/>
  <c r="H57" i="5"/>
  <c r="H54" i="5"/>
  <c r="H24" i="5"/>
  <c r="E39" i="5"/>
  <c r="C84" i="5"/>
  <c r="G5" i="8"/>
  <c r="C5" i="8"/>
  <c r="C5" i="5"/>
  <c r="C5" i="6"/>
  <c r="C13" i="6" s="1"/>
  <c r="C5" i="9"/>
  <c r="C13" i="9" s="1"/>
  <c r="D5" i="12"/>
  <c r="D13" i="12" s="1"/>
  <c r="E5" i="11"/>
  <c r="E12" i="1"/>
  <c r="E39" i="12"/>
  <c r="E39" i="11"/>
  <c r="D39" i="12"/>
  <c r="F39" i="11"/>
  <c r="G39" i="11"/>
  <c r="B65" i="12"/>
  <c r="B65" i="11"/>
  <c r="B65" i="9"/>
  <c r="B65" i="6"/>
  <c r="B65" i="5"/>
  <c r="B65" i="8"/>
  <c r="I88" i="2"/>
  <c r="I98" i="2" s="1"/>
  <c r="I99" i="2" s="1"/>
  <c r="I100" i="2" s="1"/>
  <c r="I95" i="2"/>
  <c r="K107" i="2"/>
  <c r="J107" i="2"/>
  <c r="K109" i="2"/>
  <c r="J109" i="2"/>
  <c r="K111" i="2"/>
  <c r="J111" i="2"/>
  <c r="I123" i="2"/>
  <c r="I89" i="11"/>
  <c r="I89" i="5"/>
  <c r="I91" i="5" s="1"/>
  <c r="I127" i="5" s="1"/>
  <c r="I89" i="8"/>
  <c r="K18" i="3"/>
  <c r="Q18" i="3"/>
  <c r="K36" i="3"/>
  <c r="M50" i="3"/>
  <c r="O13" i="4"/>
  <c r="G15" i="3"/>
  <c r="M20" i="4"/>
  <c r="M21" i="4" s="1"/>
  <c r="N20" i="4"/>
  <c r="N21" i="4" s="1"/>
  <c r="N25" i="4"/>
  <c r="L20" i="4" s="1"/>
  <c r="L21" i="4" s="1"/>
  <c r="H23" i="5"/>
  <c r="H25" i="5" s="1"/>
  <c r="B25" i="5"/>
  <c r="B46" i="5" s="1"/>
  <c r="I39" i="5"/>
  <c r="H55" i="5"/>
  <c r="B184" i="5"/>
  <c r="D39" i="6"/>
  <c r="H123" i="8"/>
  <c r="H59" i="8"/>
  <c r="H57" i="8"/>
  <c r="H54" i="8"/>
  <c r="H24" i="8"/>
  <c r="H55" i="8"/>
  <c r="B193" i="11"/>
  <c r="B196" i="11"/>
  <c r="B154" i="11"/>
  <c r="B181" i="11"/>
  <c r="B160" i="11"/>
  <c r="B184" i="11"/>
  <c r="E14" i="8"/>
  <c r="F13" i="8"/>
  <c r="F19" i="8" s="1"/>
  <c r="E13" i="8"/>
  <c r="E19" i="8" s="1"/>
  <c r="E55" i="8" s="1"/>
  <c r="F14" i="8"/>
  <c r="G65" i="2"/>
  <c r="G70" i="2" s="1"/>
  <c r="K88" i="2"/>
  <c r="K98" i="2" s="1"/>
  <c r="K99" i="2" s="1"/>
  <c r="K100" i="2" s="1"/>
  <c r="K93" i="2"/>
  <c r="I107" i="2"/>
  <c r="I109" i="2"/>
  <c r="I111" i="2"/>
  <c r="D84" i="9"/>
  <c r="C84" i="9"/>
  <c r="H84" i="8"/>
  <c r="D84" i="8"/>
  <c r="G84" i="8"/>
  <c r="E84" i="9"/>
  <c r="F84" i="8"/>
  <c r="C84" i="8"/>
  <c r="E84" i="8"/>
  <c r="D84" i="12"/>
  <c r="C84" i="12"/>
  <c r="E84" i="12"/>
  <c r="E84" i="11"/>
  <c r="D84" i="11"/>
  <c r="F84" i="11"/>
  <c r="C84" i="11"/>
  <c r="H84" i="11"/>
  <c r="G84" i="11"/>
  <c r="Q36" i="3"/>
  <c r="I50" i="3"/>
  <c r="Y50" i="3"/>
  <c r="E7" i="4"/>
  <c r="M9" i="3"/>
  <c r="M18" i="3" s="1"/>
  <c r="E13" i="5"/>
  <c r="E19" i="5" s="1"/>
  <c r="E23" i="5" s="1"/>
  <c r="F14" i="5"/>
  <c r="F19" i="5" s="1"/>
  <c r="B42" i="5"/>
  <c r="B69" i="5"/>
  <c r="B77" i="5" s="1"/>
  <c r="D19" i="9"/>
  <c r="D14" i="9"/>
  <c r="B58" i="9"/>
  <c r="B47" i="9"/>
  <c r="F19" i="10"/>
  <c r="B196" i="5"/>
  <c r="B193" i="5"/>
  <c r="B148" i="5"/>
  <c r="Q18" i="4"/>
  <c r="B60" i="5"/>
  <c r="B172" i="5"/>
  <c r="B47" i="6"/>
  <c r="B58" i="6"/>
  <c r="O8" i="10"/>
  <c r="E41" i="3"/>
  <c r="N21" i="7"/>
  <c r="N23" i="7" s="1"/>
  <c r="O6" i="7"/>
  <c r="G21" i="3"/>
  <c r="O16" i="7"/>
  <c r="E21" i="7"/>
  <c r="B60" i="8"/>
  <c r="B154" i="8"/>
  <c r="B172" i="8"/>
  <c r="B181" i="8"/>
  <c r="B193" i="8"/>
  <c r="H54" i="11"/>
  <c r="H123" i="11"/>
  <c r="H59" i="11"/>
  <c r="H57" i="11"/>
  <c r="H23" i="11"/>
  <c r="H24" i="11"/>
  <c r="O7" i="7"/>
  <c r="E22" i="3"/>
  <c r="D10" i="7"/>
  <c r="D21" i="7" s="1"/>
  <c r="G25" i="3"/>
  <c r="H58" i="8"/>
  <c r="E58" i="8"/>
  <c r="B160" i="8"/>
  <c r="B196" i="8"/>
  <c r="C41" i="9"/>
  <c r="D41" i="9"/>
  <c r="K19" i="10"/>
  <c r="G123" i="11"/>
  <c r="G54" i="11"/>
  <c r="G57" i="11"/>
  <c r="G24" i="11"/>
  <c r="G25" i="11" s="1"/>
  <c r="G59" i="11"/>
  <c r="O8" i="7"/>
  <c r="E23" i="3"/>
  <c r="M25" i="7"/>
  <c r="M26" i="7" s="1"/>
  <c r="N25" i="7"/>
  <c r="N26" i="7" s="1"/>
  <c r="B55" i="9"/>
  <c r="B60" i="9"/>
  <c r="M21" i="10"/>
  <c r="M22" i="10" s="1"/>
  <c r="N26" i="10"/>
  <c r="L21" i="10" s="1"/>
  <c r="L22" i="10" s="1"/>
  <c r="N21" i="10"/>
  <c r="N22" i="10" s="1"/>
  <c r="B166" i="8"/>
  <c r="D23" i="9"/>
  <c r="O13" i="7"/>
  <c r="B148" i="8"/>
  <c r="B190" i="8"/>
  <c r="O5" i="10"/>
  <c r="E14" i="12"/>
  <c r="E19" i="12" s="1"/>
  <c r="G10" i="3"/>
  <c r="G32" i="3"/>
  <c r="B160" i="5"/>
  <c r="B166" i="5"/>
  <c r="C41" i="6"/>
  <c r="H23" i="8"/>
  <c r="B25" i="8"/>
  <c r="B46" i="8" s="1"/>
  <c r="B69" i="8"/>
  <c r="B77" i="8" s="1"/>
  <c r="H17" i="10"/>
  <c r="E9" i="10"/>
  <c r="Q19" i="10"/>
  <c r="B58" i="11"/>
  <c r="B60" i="11" s="1"/>
  <c r="L17" i="10"/>
  <c r="L19" i="10" s="1"/>
  <c r="H55" i="11"/>
  <c r="G55" i="11"/>
  <c r="B172" i="11"/>
  <c r="B190" i="11"/>
  <c r="B148" i="11"/>
  <c r="B69" i="12"/>
  <c r="B77" i="12" s="1"/>
  <c r="B178" i="11"/>
  <c r="B47" i="12"/>
  <c r="B60" i="12"/>
  <c r="E16" i="4" l="1"/>
  <c r="E7" i="3"/>
  <c r="G46" i="11"/>
  <c r="G33" i="11"/>
  <c r="G29" i="11"/>
  <c r="G31" i="11"/>
  <c r="G32" i="11"/>
  <c r="G35" i="11"/>
  <c r="G56" i="11" s="1"/>
  <c r="G34" i="11"/>
  <c r="G28" i="11"/>
  <c r="G30" i="11"/>
  <c r="D23" i="7"/>
  <c r="O23" i="7" s="1"/>
  <c r="F59" i="5"/>
  <c r="F57" i="5"/>
  <c r="F54" i="5"/>
  <c r="F123" i="5"/>
  <c r="F55" i="5"/>
  <c r="F24" i="5"/>
  <c r="F23" i="5"/>
  <c r="B38" i="9"/>
  <c r="B38" i="8"/>
  <c r="O21" i="7"/>
  <c r="E25" i="5"/>
  <c r="E46" i="5" s="1"/>
  <c r="E85" i="12"/>
  <c r="D85" i="12"/>
  <c r="C85" i="12"/>
  <c r="C88" i="12" s="1"/>
  <c r="C122" i="12" s="1"/>
  <c r="D85" i="9"/>
  <c r="D88" i="9" s="1"/>
  <c r="D122" i="9" s="1"/>
  <c r="E85" i="9"/>
  <c r="C85" i="6"/>
  <c r="E85" i="6"/>
  <c r="D85" i="6"/>
  <c r="C85" i="9"/>
  <c r="D86" i="8"/>
  <c r="F86" i="8"/>
  <c r="E86" i="8"/>
  <c r="G86" i="8"/>
  <c r="C86" i="8"/>
  <c r="D54" i="6"/>
  <c r="D24" i="6"/>
  <c r="D118" i="6"/>
  <c r="D57" i="6"/>
  <c r="D59" i="6"/>
  <c r="D55" i="6"/>
  <c r="D23" i="6"/>
  <c r="E118" i="12"/>
  <c r="E54" i="12"/>
  <c r="E24" i="12"/>
  <c r="E59" i="12"/>
  <c r="E57" i="12"/>
  <c r="E58" i="12"/>
  <c r="E55" i="12"/>
  <c r="E23" i="12"/>
  <c r="D25" i="9"/>
  <c r="D46" i="9" s="1"/>
  <c r="D58" i="9"/>
  <c r="H42" i="5"/>
  <c r="D42" i="5"/>
  <c r="E42" i="5"/>
  <c r="I42" i="5"/>
  <c r="C42" i="5"/>
  <c r="F42" i="5"/>
  <c r="G42" i="5"/>
  <c r="E88" i="12"/>
  <c r="E122" i="12" s="1"/>
  <c r="F123" i="8"/>
  <c r="F59" i="8"/>
  <c r="F57" i="8"/>
  <c r="F23" i="8"/>
  <c r="F54" i="8"/>
  <c r="F24" i="8"/>
  <c r="H46" i="5"/>
  <c r="H31" i="5"/>
  <c r="C87" i="12"/>
  <c r="C87" i="9"/>
  <c r="C88" i="9" s="1"/>
  <c r="C122" i="9" s="1"/>
  <c r="C87" i="6"/>
  <c r="D86" i="5"/>
  <c r="E86" i="5"/>
  <c r="C86" i="5"/>
  <c r="G86" i="5"/>
  <c r="F86" i="5"/>
  <c r="B69" i="9"/>
  <c r="B77" i="9" s="1"/>
  <c r="C14" i="6"/>
  <c r="C19" i="6"/>
  <c r="G13" i="8"/>
  <c r="G19" i="8" s="1"/>
  <c r="G14" i="8"/>
  <c r="E42" i="6"/>
  <c r="D42" i="6"/>
  <c r="C42" i="6"/>
  <c r="C42" i="12"/>
  <c r="E42" i="12"/>
  <c r="D42" i="12"/>
  <c r="I34" i="11"/>
  <c r="I32" i="11"/>
  <c r="E14" i="6"/>
  <c r="E19" i="6" s="1"/>
  <c r="B38" i="12"/>
  <c r="B38" i="11"/>
  <c r="F85" i="11"/>
  <c r="C85" i="11"/>
  <c r="E85" i="11"/>
  <c r="D85" i="11"/>
  <c r="G85" i="11"/>
  <c r="E85" i="8"/>
  <c r="E85" i="5"/>
  <c r="F85" i="8"/>
  <c r="D85" i="5"/>
  <c r="D85" i="8"/>
  <c r="C85" i="5"/>
  <c r="G85" i="8"/>
  <c r="F85" i="5"/>
  <c r="C85" i="8"/>
  <c r="G85" i="5"/>
  <c r="G42" i="3"/>
  <c r="G50" i="3" s="1"/>
  <c r="D9" i="10"/>
  <c r="E17" i="10"/>
  <c r="D55" i="9"/>
  <c r="E23" i="7"/>
  <c r="E24" i="7"/>
  <c r="D58" i="6"/>
  <c r="C58" i="6"/>
  <c r="E55" i="5"/>
  <c r="K148" i="5"/>
  <c r="L148" i="5" s="1"/>
  <c r="D7" i="4"/>
  <c r="G9" i="3"/>
  <c r="J106" i="2"/>
  <c r="J118" i="2" s="1"/>
  <c r="I84" i="8" s="1"/>
  <c r="I91" i="8" s="1"/>
  <c r="I127" i="8" s="1"/>
  <c r="B69" i="11"/>
  <c r="B77" i="11" s="1"/>
  <c r="F13" i="11"/>
  <c r="F14" i="11"/>
  <c r="E13" i="11"/>
  <c r="E14" i="11"/>
  <c r="D14" i="5"/>
  <c r="C13" i="5"/>
  <c r="C14" i="5"/>
  <c r="D13" i="5"/>
  <c r="D19" i="5" s="1"/>
  <c r="I5" i="8"/>
  <c r="I13" i="8" s="1"/>
  <c r="I19" i="8" s="1"/>
  <c r="I5" i="5"/>
  <c r="I13" i="5" s="1"/>
  <c r="I19" i="5" s="1"/>
  <c r="H130" i="2"/>
  <c r="H42" i="8"/>
  <c r="D42" i="8"/>
  <c r="F42" i="8"/>
  <c r="E42" i="8"/>
  <c r="G42" i="8"/>
  <c r="C42" i="8"/>
  <c r="I42" i="8"/>
  <c r="I31" i="11"/>
  <c r="I30" i="11"/>
  <c r="E14" i="9"/>
  <c r="E19" i="9" s="1"/>
  <c r="D38" i="6"/>
  <c r="E38" i="6"/>
  <c r="E44" i="6" s="1"/>
  <c r="E48" i="6" s="1"/>
  <c r="C38" i="6"/>
  <c r="C44" i="6" s="1"/>
  <c r="C48" i="6" s="1"/>
  <c r="E86" i="11"/>
  <c r="C86" i="11"/>
  <c r="G86" i="11"/>
  <c r="F86" i="11"/>
  <c r="D86" i="11"/>
  <c r="H19" i="10"/>
  <c r="E18" i="4"/>
  <c r="F55" i="8"/>
  <c r="D59" i="9"/>
  <c r="D57" i="9"/>
  <c r="D28" i="9"/>
  <c r="D118" i="9"/>
  <c r="D35" i="9"/>
  <c r="D56" i="9" s="1"/>
  <c r="D33" i="9"/>
  <c r="D30" i="9"/>
  <c r="D54" i="9"/>
  <c r="D34" i="9"/>
  <c r="D29" i="9"/>
  <c r="D24" i="9"/>
  <c r="D31" i="9"/>
  <c r="D88" i="12"/>
  <c r="D122" i="12" s="1"/>
  <c r="E88" i="9"/>
  <c r="E122" i="9" s="1"/>
  <c r="I106" i="2"/>
  <c r="I118" i="2" s="1"/>
  <c r="H34" i="5"/>
  <c r="K106" i="2"/>
  <c r="K118" i="2" s="1"/>
  <c r="I84" i="11" s="1"/>
  <c r="I91" i="11" s="1"/>
  <c r="I127" i="11" s="1"/>
  <c r="D14" i="12"/>
  <c r="D19" i="12" s="1"/>
  <c r="D14" i="8"/>
  <c r="C13" i="8"/>
  <c r="C14" i="8"/>
  <c r="D13" i="8"/>
  <c r="H30" i="5"/>
  <c r="H35" i="5"/>
  <c r="H56" i="5" s="1"/>
  <c r="H60" i="5" s="1"/>
  <c r="H125" i="5" s="1"/>
  <c r="H29" i="5"/>
  <c r="H28" i="5"/>
  <c r="C14" i="11"/>
  <c r="C13" i="11"/>
  <c r="C19" i="11" s="1"/>
  <c r="D14" i="11"/>
  <c r="D13" i="11"/>
  <c r="D19" i="11" s="1"/>
  <c r="B60" i="6"/>
  <c r="H58" i="5"/>
  <c r="E58" i="5"/>
  <c r="F58" i="5"/>
  <c r="I130" i="2"/>
  <c r="D42" i="9"/>
  <c r="E42" i="9"/>
  <c r="C42" i="9"/>
  <c r="I28" i="11"/>
  <c r="I35" i="11"/>
  <c r="I56" i="11" s="1"/>
  <c r="I29" i="11"/>
  <c r="I33" i="11"/>
  <c r="G38" i="5"/>
  <c r="G44" i="5" s="1"/>
  <c r="G48" i="5" s="1"/>
  <c r="H38" i="5"/>
  <c r="H44" i="5" s="1"/>
  <c r="H48" i="5" s="1"/>
  <c r="E38" i="5"/>
  <c r="E44" i="5" s="1"/>
  <c r="E48" i="5" s="1"/>
  <c r="F38" i="5"/>
  <c r="G60" i="11"/>
  <c r="G125" i="11" s="1"/>
  <c r="I58" i="11"/>
  <c r="D58" i="11"/>
  <c r="H58" i="11"/>
  <c r="C58" i="11"/>
  <c r="G58" i="11"/>
  <c r="H25" i="8"/>
  <c r="F58" i="8"/>
  <c r="O10" i="7"/>
  <c r="E25" i="3"/>
  <c r="H25" i="11"/>
  <c r="G36" i="3"/>
  <c r="E33" i="5"/>
  <c r="E123" i="5"/>
  <c r="E28" i="5"/>
  <c r="E59" i="5"/>
  <c r="E57" i="5"/>
  <c r="E30" i="5"/>
  <c r="E35" i="5"/>
  <c r="E56" i="5" s="1"/>
  <c r="E24" i="5"/>
  <c r="E54" i="5"/>
  <c r="E24" i="8"/>
  <c r="E123" i="8"/>
  <c r="E59" i="8"/>
  <c r="E23" i="8"/>
  <c r="E57" i="8"/>
  <c r="E54" i="8"/>
  <c r="B69" i="6"/>
  <c r="B77" i="6" s="1"/>
  <c r="C14" i="9"/>
  <c r="C19" i="9" s="1"/>
  <c r="H33" i="5"/>
  <c r="H32" i="5"/>
  <c r="G12" i="3"/>
  <c r="D10" i="4"/>
  <c r="C14" i="12"/>
  <c r="C19" i="12"/>
  <c r="I42" i="11"/>
  <c r="E42" i="11"/>
  <c r="G42" i="11"/>
  <c r="D42" i="11"/>
  <c r="H42" i="11"/>
  <c r="F42" i="11"/>
  <c r="C42" i="11"/>
  <c r="I60" i="11"/>
  <c r="I125" i="11" s="1"/>
  <c r="G13" i="5"/>
  <c r="G14" i="5"/>
  <c r="E59" i="6" l="1"/>
  <c r="E57" i="6"/>
  <c r="E118" i="6"/>
  <c r="E31" i="6"/>
  <c r="E24" i="6"/>
  <c r="E54" i="6"/>
  <c r="E23" i="6"/>
  <c r="E25" i="6" s="1"/>
  <c r="E46" i="6" s="1"/>
  <c r="E30" i="6"/>
  <c r="E35" i="6"/>
  <c r="E56" i="6" s="1"/>
  <c r="E55" i="6"/>
  <c r="E58" i="6"/>
  <c r="D34" i="12"/>
  <c r="D118" i="12"/>
  <c r="D54" i="12"/>
  <c r="D31" i="12"/>
  <c r="D24" i="12"/>
  <c r="D57" i="12"/>
  <c r="D32" i="12"/>
  <c r="D59" i="12"/>
  <c r="D58" i="12"/>
  <c r="D23" i="12"/>
  <c r="D25" i="12" s="1"/>
  <c r="D46" i="12" s="1"/>
  <c r="D55" i="12"/>
  <c r="E24" i="9"/>
  <c r="E54" i="9"/>
  <c r="E118" i="9"/>
  <c r="E57" i="9"/>
  <c r="E59" i="9"/>
  <c r="E23" i="9"/>
  <c r="E58" i="9"/>
  <c r="E55" i="9"/>
  <c r="C118" i="9"/>
  <c r="C54" i="9"/>
  <c r="C24" i="9"/>
  <c r="C59" i="9"/>
  <c r="C30" i="9"/>
  <c r="C32" i="9"/>
  <c r="C57" i="9"/>
  <c r="C23" i="9"/>
  <c r="C25" i="9" s="1"/>
  <c r="C46" i="9" s="1"/>
  <c r="C58" i="9"/>
  <c r="C55" i="9"/>
  <c r="H46" i="11"/>
  <c r="H31" i="11"/>
  <c r="H29" i="11"/>
  <c r="H35" i="11"/>
  <c r="H56" i="11" s="1"/>
  <c r="H60" i="11" s="1"/>
  <c r="H125" i="11" s="1"/>
  <c r="H32" i="11"/>
  <c r="H28" i="11"/>
  <c r="H36" i="11" s="1"/>
  <c r="H30" i="11"/>
  <c r="H33" i="11"/>
  <c r="H34" i="11"/>
  <c r="C123" i="11"/>
  <c r="C59" i="11"/>
  <c r="C57" i="11"/>
  <c r="C23" i="11"/>
  <c r="C54" i="11"/>
  <c r="C24" i="11"/>
  <c r="C55" i="11"/>
  <c r="I24" i="5"/>
  <c r="I123" i="5"/>
  <c r="I57" i="5"/>
  <c r="I59" i="5"/>
  <c r="I54" i="5"/>
  <c r="I55" i="5"/>
  <c r="I23" i="5"/>
  <c r="D123" i="5"/>
  <c r="D59" i="5"/>
  <c r="D57" i="5"/>
  <c r="D24" i="5"/>
  <c r="D54" i="5"/>
  <c r="D55" i="5"/>
  <c r="D23" i="5"/>
  <c r="G54" i="8"/>
  <c r="G24" i="8"/>
  <c r="G59" i="8"/>
  <c r="G57" i="8"/>
  <c r="G123" i="8"/>
  <c r="G58" i="8"/>
  <c r="G55" i="8"/>
  <c r="G23" i="8"/>
  <c r="L24" i="7"/>
  <c r="M24" i="7"/>
  <c r="F24" i="7"/>
  <c r="N24" i="7"/>
  <c r="J24" i="7"/>
  <c r="I24" i="7"/>
  <c r="G24" i="7"/>
  <c r="H24" i="7"/>
  <c r="K24" i="7"/>
  <c r="C59" i="12"/>
  <c r="C57" i="12"/>
  <c r="C29" i="12"/>
  <c r="C54" i="12"/>
  <c r="C118" i="12"/>
  <c r="C31" i="12"/>
  <c r="C24" i="12"/>
  <c r="C55" i="12"/>
  <c r="C23" i="12"/>
  <c r="C25" i="12" s="1"/>
  <c r="C46" i="12" s="1"/>
  <c r="C58" i="12"/>
  <c r="E25" i="8"/>
  <c r="E31" i="5"/>
  <c r="D38" i="5"/>
  <c r="D44" i="5" s="1"/>
  <c r="D48" i="5" s="1"/>
  <c r="I36" i="11"/>
  <c r="D87" i="11"/>
  <c r="D91" i="11" s="1"/>
  <c r="D127" i="11" s="1"/>
  <c r="C87" i="11"/>
  <c r="C91" i="11" s="1"/>
  <c r="C127" i="11" s="1"/>
  <c r="C87" i="8"/>
  <c r="C91" i="8" s="1"/>
  <c r="C127" i="8" s="1"/>
  <c r="C87" i="5"/>
  <c r="C91" i="5" s="1"/>
  <c r="C127" i="5" s="1"/>
  <c r="D87" i="5"/>
  <c r="D91" i="5" s="1"/>
  <c r="D127" i="5" s="1"/>
  <c r="D87" i="8"/>
  <c r="D91" i="8" s="1"/>
  <c r="D127" i="8" s="1"/>
  <c r="C19" i="8"/>
  <c r="H84" i="5"/>
  <c r="C84" i="6"/>
  <c r="C88" i="6" s="1"/>
  <c r="C122" i="6" s="1"/>
  <c r="E84" i="6"/>
  <c r="E88" i="6" s="1"/>
  <c r="E122" i="6" s="1"/>
  <c r="D84" i="6"/>
  <c r="D88" i="6" s="1"/>
  <c r="D122" i="6" s="1"/>
  <c r="G84" i="5"/>
  <c r="I54" i="8"/>
  <c r="I24" i="8"/>
  <c r="I57" i="8"/>
  <c r="I59" i="8"/>
  <c r="I123" i="8"/>
  <c r="I23" i="8"/>
  <c r="I55" i="8"/>
  <c r="I58" i="8"/>
  <c r="E19" i="11"/>
  <c r="G18" i="3"/>
  <c r="H38" i="11"/>
  <c r="H44" i="11" s="1"/>
  <c r="H48" i="11" s="1"/>
  <c r="D38" i="11"/>
  <c r="D44" i="11" s="1"/>
  <c r="D48" i="11" s="1"/>
  <c r="F38" i="11"/>
  <c r="F44" i="11" s="1"/>
  <c r="F48" i="11" s="1"/>
  <c r="E38" i="11"/>
  <c r="E44" i="11" s="1"/>
  <c r="E48" i="11" s="1"/>
  <c r="C38" i="11"/>
  <c r="C44" i="11" s="1"/>
  <c r="C48" i="11" s="1"/>
  <c r="G38" i="11"/>
  <c r="G44" i="11" s="1"/>
  <c r="G48" i="11" s="1"/>
  <c r="I38" i="11"/>
  <c r="I44" i="11" s="1"/>
  <c r="I48" i="11" s="1"/>
  <c r="C118" i="6"/>
  <c r="C59" i="6"/>
  <c r="C31" i="6"/>
  <c r="C24" i="6"/>
  <c r="C54" i="6"/>
  <c r="C32" i="6"/>
  <c r="C57" i="6"/>
  <c r="C55" i="6"/>
  <c r="C23" i="6"/>
  <c r="C25" i="6" s="1"/>
  <c r="C46" i="6" s="1"/>
  <c r="E25" i="12"/>
  <c r="D24" i="7"/>
  <c r="E60" i="5"/>
  <c r="E125" i="5" s="1"/>
  <c r="E34" i="5"/>
  <c r="H46" i="8"/>
  <c r="H31" i="8"/>
  <c r="H33" i="8"/>
  <c r="H32" i="8"/>
  <c r="H30" i="8"/>
  <c r="H29" i="8"/>
  <c r="H34" i="8"/>
  <c r="H28" i="8"/>
  <c r="H35" i="8"/>
  <c r="H56" i="8" s="1"/>
  <c r="H60" i="8" s="1"/>
  <c r="H125" i="8" s="1"/>
  <c r="F44" i="5"/>
  <c r="F48" i="5" s="1"/>
  <c r="I38" i="5"/>
  <c r="I44" i="5" s="1"/>
  <c r="I48" i="5" s="1"/>
  <c r="I58" i="5"/>
  <c r="D54" i="11"/>
  <c r="D59" i="11"/>
  <c r="D24" i="11"/>
  <c r="D23" i="11"/>
  <c r="D57" i="11"/>
  <c r="D123" i="11"/>
  <c r="D55" i="11"/>
  <c r="H36" i="5"/>
  <c r="D60" i="9"/>
  <c r="D120" i="9" s="1"/>
  <c r="D36" i="9"/>
  <c r="E36" i="3"/>
  <c r="D44" i="6"/>
  <c r="D48" i="6" s="1"/>
  <c r="C19" i="5"/>
  <c r="E9" i="3"/>
  <c r="O7" i="4"/>
  <c r="D16" i="4"/>
  <c r="E19" i="10"/>
  <c r="E38" i="12"/>
  <c r="E44" i="12" s="1"/>
  <c r="E48" i="12" s="1"/>
  <c r="D38" i="12"/>
  <c r="D44" i="12" s="1"/>
  <c r="D48" i="12" s="1"/>
  <c r="C38" i="12"/>
  <c r="C44" i="12" s="1"/>
  <c r="C48" i="12" s="1"/>
  <c r="G38" i="8"/>
  <c r="G44" i="8" s="1"/>
  <c r="G48" i="8" s="1"/>
  <c r="C38" i="8"/>
  <c r="C44" i="8" s="1"/>
  <c r="C48" i="8" s="1"/>
  <c r="E38" i="8"/>
  <c r="E44" i="8" s="1"/>
  <c r="E48" i="8" s="1"/>
  <c r="I38" i="8"/>
  <c r="I44" i="8" s="1"/>
  <c r="I48" i="8" s="1"/>
  <c r="D38" i="8"/>
  <c r="D44" i="8" s="1"/>
  <c r="D48" i="8" s="1"/>
  <c r="F38" i="8"/>
  <c r="F44" i="8" s="1"/>
  <c r="F48" i="8" s="1"/>
  <c r="H38" i="8"/>
  <c r="H44" i="8" s="1"/>
  <c r="H48" i="8" s="1"/>
  <c r="F25" i="5"/>
  <c r="G19" i="5"/>
  <c r="E12" i="3"/>
  <c r="O10" i="4"/>
  <c r="E32" i="5"/>
  <c r="E29" i="5"/>
  <c r="E36" i="5" s="1"/>
  <c r="C38" i="5"/>
  <c r="C44" i="5" s="1"/>
  <c r="C48" i="5" s="1"/>
  <c r="D58" i="5"/>
  <c r="D19" i="8"/>
  <c r="D32" i="9"/>
  <c r="G87" i="11"/>
  <c r="G91" i="11" s="1"/>
  <c r="G127" i="11" s="1"/>
  <c r="F87" i="11"/>
  <c r="F91" i="11" s="1"/>
  <c r="F127" i="11" s="1"/>
  <c r="G87" i="8"/>
  <c r="G91" i="8" s="1"/>
  <c r="G127" i="8" s="1"/>
  <c r="G87" i="5"/>
  <c r="F87" i="8"/>
  <c r="F91" i="8" s="1"/>
  <c r="F127" i="8" s="1"/>
  <c r="E87" i="5"/>
  <c r="E91" i="5" s="1"/>
  <c r="E127" i="5" s="1"/>
  <c r="E87" i="11"/>
  <c r="E91" i="11" s="1"/>
  <c r="E127" i="11" s="1"/>
  <c r="E87" i="8"/>
  <c r="E91" i="8" s="1"/>
  <c r="E127" i="8" s="1"/>
  <c r="F87" i="5"/>
  <c r="F91" i="5" s="1"/>
  <c r="F127" i="5" s="1"/>
  <c r="F19" i="11"/>
  <c r="O9" i="10"/>
  <c r="O17" i="10" s="1"/>
  <c r="E42" i="3"/>
  <c r="D17" i="10"/>
  <c r="F25" i="8"/>
  <c r="D25" i="6"/>
  <c r="C38" i="9"/>
  <c r="C44" i="9" s="1"/>
  <c r="C48" i="9" s="1"/>
  <c r="D38" i="9"/>
  <c r="D44" i="9" s="1"/>
  <c r="D48" i="9" s="1"/>
  <c r="E38" i="9"/>
  <c r="E44" i="9" s="1"/>
  <c r="E48" i="9" s="1"/>
  <c r="G36" i="11"/>
  <c r="E47" i="5" l="1"/>
  <c r="E49" i="5" s="1"/>
  <c r="E74" i="5"/>
  <c r="G54" i="5"/>
  <c r="G35" i="5"/>
  <c r="G56" i="5" s="1"/>
  <c r="G24" i="5"/>
  <c r="G30" i="5"/>
  <c r="G59" i="5"/>
  <c r="G57" i="5"/>
  <c r="G123" i="5"/>
  <c r="G55" i="5"/>
  <c r="G23" i="5"/>
  <c r="G25" i="5" s="1"/>
  <c r="G46" i="5" s="1"/>
  <c r="G58" i="5"/>
  <c r="E46" i="12"/>
  <c r="E33" i="12"/>
  <c r="E35" i="12"/>
  <c r="E56" i="12" s="1"/>
  <c r="E60" i="12" s="1"/>
  <c r="E120" i="12" s="1"/>
  <c r="E34" i="12"/>
  <c r="E31" i="12"/>
  <c r="E32" i="12"/>
  <c r="E29" i="12"/>
  <c r="E30" i="12"/>
  <c r="E28" i="12"/>
  <c r="H47" i="11"/>
  <c r="H74" i="11"/>
  <c r="E60" i="6"/>
  <c r="E120" i="6" s="1"/>
  <c r="G47" i="11"/>
  <c r="G49" i="11" s="1"/>
  <c r="G74" i="11"/>
  <c r="F46" i="8"/>
  <c r="F30" i="8"/>
  <c r="F29" i="8"/>
  <c r="F35" i="8"/>
  <c r="F56" i="8" s="1"/>
  <c r="F60" i="8" s="1"/>
  <c r="F125" i="8" s="1"/>
  <c r="F31" i="8"/>
  <c r="F32" i="8"/>
  <c r="F33" i="8"/>
  <c r="F34" i="8"/>
  <c r="F28" i="8"/>
  <c r="D18" i="4"/>
  <c r="O18" i="4" s="1"/>
  <c r="D19" i="4" s="1"/>
  <c r="H47" i="5"/>
  <c r="H49" i="5" s="1"/>
  <c r="H74" i="5"/>
  <c r="O24" i="7"/>
  <c r="C33" i="6"/>
  <c r="C28" i="6"/>
  <c r="C36" i="6" s="1"/>
  <c r="C30" i="6"/>
  <c r="G91" i="5"/>
  <c r="G127" i="5" s="1"/>
  <c r="C35" i="12"/>
  <c r="C56" i="12" s="1"/>
  <c r="C33" i="12"/>
  <c r="C28" i="12"/>
  <c r="G25" i="8"/>
  <c r="I25" i="5"/>
  <c r="H49" i="11"/>
  <c r="C29" i="9"/>
  <c r="D35" i="12"/>
  <c r="D56" i="12" s="1"/>
  <c r="D29" i="12"/>
  <c r="E33" i="6"/>
  <c r="D46" i="6"/>
  <c r="D35" i="6"/>
  <c r="D56" i="6" s="1"/>
  <c r="D60" i="6" s="1"/>
  <c r="D120" i="6" s="1"/>
  <c r="D30" i="6"/>
  <c r="D31" i="6"/>
  <c r="D33" i="6"/>
  <c r="D32" i="6"/>
  <c r="D28" i="6"/>
  <c r="D29" i="6"/>
  <c r="D34" i="6"/>
  <c r="F46" i="5"/>
  <c r="F30" i="5"/>
  <c r="F31" i="5"/>
  <c r="F32" i="5"/>
  <c r="F29" i="5"/>
  <c r="F28" i="5"/>
  <c r="F34" i="5"/>
  <c r="F33" i="5"/>
  <c r="F35" i="5"/>
  <c r="F56" i="5" s="1"/>
  <c r="F60" i="5" s="1"/>
  <c r="F125" i="5" s="1"/>
  <c r="O16" i="4"/>
  <c r="H36" i="8"/>
  <c r="C29" i="6"/>
  <c r="C35" i="6"/>
  <c r="C56" i="6" s="1"/>
  <c r="C60" i="6" s="1"/>
  <c r="C120" i="6" s="1"/>
  <c r="C34" i="6"/>
  <c r="E123" i="11"/>
  <c r="E59" i="11"/>
  <c r="E57" i="11"/>
  <c r="E54" i="11"/>
  <c r="E24" i="11"/>
  <c r="E23" i="11"/>
  <c r="E25" i="11" s="1"/>
  <c r="E46" i="11" s="1"/>
  <c r="E55" i="11"/>
  <c r="E58" i="11"/>
  <c r="I25" i="8"/>
  <c r="I47" i="11"/>
  <c r="I49" i="11" s="1"/>
  <c r="I74" i="11"/>
  <c r="E46" i="8"/>
  <c r="E33" i="8"/>
  <c r="E34" i="8"/>
  <c r="E29" i="8"/>
  <c r="E35" i="8"/>
  <c r="E56" i="8" s="1"/>
  <c r="E60" i="8" s="1"/>
  <c r="E125" i="8" s="1"/>
  <c r="E31" i="8"/>
  <c r="E32" i="8"/>
  <c r="E28" i="8"/>
  <c r="E30" i="8"/>
  <c r="C30" i="12"/>
  <c r="C32" i="12"/>
  <c r="C33" i="9"/>
  <c r="C31" i="9"/>
  <c r="D28" i="12"/>
  <c r="D60" i="12"/>
  <c r="D120" i="12" s="1"/>
  <c r="D33" i="12"/>
  <c r="E28" i="6"/>
  <c r="C54" i="5"/>
  <c r="C24" i="5"/>
  <c r="C123" i="5"/>
  <c r="C59" i="5"/>
  <c r="C57" i="5"/>
  <c r="C55" i="5"/>
  <c r="C23" i="5"/>
  <c r="C58" i="5"/>
  <c r="C60" i="12"/>
  <c r="C120" i="12" s="1"/>
  <c r="D19" i="10"/>
  <c r="O19" i="10" s="1"/>
  <c r="E50" i="3"/>
  <c r="F24" i="11"/>
  <c r="F123" i="11"/>
  <c r="F57" i="11"/>
  <c r="F59" i="11"/>
  <c r="F54" i="11"/>
  <c r="F55" i="11"/>
  <c r="F23" i="11"/>
  <c r="F58" i="11"/>
  <c r="D123" i="8"/>
  <c r="D59" i="8"/>
  <c r="D57" i="8"/>
  <c r="D54" i="8"/>
  <c r="D24" i="8"/>
  <c r="D23" i="8"/>
  <c r="D58" i="8"/>
  <c r="D55" i="8"/>
  <c r="E18" i="3"/>
  <c r="D47" i="9"/>
  <c r="D49" i="9" s="1"/>
  <c r="D74" i="9"/>
  <c r="D79" i="9" s="1"/>
  <c r="D25" i="11"/>
  <c r="C54" i="8"/>
  <c r="C35" i="8"/>
  <c r="C56" i="8" s="1"/>
  <c r="C31" i="8"/>
  <c r="C24" i="8"/>
  <c r="C33" i="8"/>
  <c r="C30" i="8"/>
  <c r="C32" i="8"/>
  <c r="C57" i="8"/>
  <c r="C28" i="8"/>
  <c r="C59" i="8"/>
  <c r="C123" i="8"/>
  <c r="C55" i="8"/>
  <c r="C23" i="8"/>
  <c r="C25" i="8" s="1"/>
  <c r="C46" i="8" s="1"/>
  <c r="C58" i="8"/>
  <c r="C34" i="12"/>
  <c r="D25" i="5"/>
  <c r="C25" i="11"/>
  <c r="C34" i="9"/>
  <c r="C28" i="9"/>
  <c r="C35" i="9"/>
  <c r="C56" i="9" s="1"/>
  <c r="C60" i="9" s="1"/>
  <c r="C120" i="9" s="1"/>
  <c r="E25" i="9"/>
  <c r="D30" i="12"/>
  <c r="E34" i="6"/>
  <c r="E29" i="6"/>
  <c r="E32" i="6"/>
  <c r="I124" i="11" l="1"/>
  <c r="I66" i="11"/>
  <c r="I64" i="11"/>
  <c r="I67" i="11"/>
  <c r="I65" i="11"/>
  <c r="E46" i="9"/>
  <c r="E33" i="9"/>
  <c r="E30" i="9"/>
  <c r="E29" i="9"/>
  <c r="E34" i="9"/>
  <c r="E31" i="9"/>
  <c r="E32" i="9"/>
  <c r="E28" i="9"/>
  <c r="E36" i="9" s="1"/>
  <c r="E35" i="9"/>
  <c r="E56" i="9" s="1"/>
  <c r="E60" i="9" s="1"/>
  <c r="E120" i="9" s="1"/>
  <c r="C46" i="11"/>
  <c r="C30" i="11"/>
  <c r="C28" i="11"/>
  <c r="C33" i="11"/>
  <c r="C34" i="11"/>
  <c r="C32" i="11"/>
  <c r="C31" i="11"/>
  <c r="C29" i="11"/>
  <c r="C35" i="11"/>
  <c r="C56" i="11" s="1"/>
  <c r="C60" i="11" s="1"/>
  <c r="C125" i="11" s="1"/>
  <c r="D46" i="5"/>
  <c r="D29" i="5"/>
  <c r="D32" i="5"/>
  <c r="D34" i="5"/>
  <c r="D30" i="5"/>
  <c r="D28" i="5"/>
  <c r="D36" i="5" s="1"/>
  <c r="D35" i="5"/>
  <c r="D56" i="5" s="1"/>
  <c r="D60" i="5" s="1"/>
  <c r="D125" i="5" s="1"/>
  <c r="D31" i="5"/>
  <c r="D33" i="5"/>
  <c r="N20" i="10"/>
  <c r="M20" i="10"/>
  <c r="L20" i="10"/>
  <c r="J20" i="10"/>
  <c r="K20" i="10"/>
  <c r="G20" i="10"/>
  <c r="F20" i="10"/>
  <c r="I20" i="10"/>
  <c r="H20" i="10"/>
  <c r="E20" i="10"/>
  <c r="C25" i="5"/>
  <c r="E36" i="6"/>
  <c r="D36" i="12"/>
  <c r="E36" i="8"/>
  <c r="I79" i="11"/>
  <c r="I75" i="11"/>
  <c r="E31" i="11"/>
  <c r="E34" i="11"/>
  <c r="F36" i="5"/>
  <c r="D36" i="6"/>
  <c r="H124" i="5"/>
  <c r="H64" i="5"/>
  <c r="H66" i="5"/>
  <c r="H67" i="5"/>
  <c r="H65" i="5"/>
  <c r="G79" i="11"/>
  <c r="G75" i="11"/>
  <c r="G32" i="5"/>
  <c r="G31" i="5"/>
  <c r="D119" i="9"/>
  <c r="D64" i="9"/>
  <c r="D66" i="9"/>
  <c r="D67" i="9"/>
  <c r="D65" i="9"/>
  <c r="C47" i="6"/>
  <c r="C49" i="6" s="1"/>
  <c r="C74" i="6"/>
  <c r="C79" i="6" s="1"/>
  <c r="F25" i="11"/>
  <c r="E33" i="11"/>
  <c r="E30" i="11"/>
  <c r="H47" i="8"/>
  <c r="H49" i="8" s="1"/>
  <c r="H74" i="8"/>
  <c r="I46" i="5"/>
  <c r="I33" i="5"/>
  <c r="I34" i="5"/>
  <c r="I29" i="5"/>
  <c r="I35" i="5"/>
  <c r="I56" i="5" s="1"/>
  <c r="I60" i="5" s="1"/>
  <c r="I125" i="5" s="1"/>
  <c r="I31" i="5"/>
  <c r="I32" i="5"/>
  <c r="I28" i="5"/>
  <c r="I30" i="5"/>
  <c r="C36" i="12"/>
  <c r="H79" i="11"/>
  <c r="H75" i="11"/>
  <c r="G34" i="5"/>
  <c r="G33" i="5"/>
  <c r="G60" i="5"/>
  <c r="G125" i="5" s="1"/>
  <c r="E79" i="5"/>
  <c r="E75" i="5"/>
  <c r="H124" i="11"/>
  <c r="H66" i="11"/>
  <c r="H64" i="11"/>
  <c r="H67" i="11"/>
  <c r="H65" i="11"/>
  <c r="G46" i="8"/>
  <c r="G31" i="8"/>
  <c r="G33" i="8"/>
  <c r="G32" i="8"/>
  <c r="G30" i="8"/>
  <c r="G29" i="8"/>
  <c r="G35" i="8"/>
  <c r="G56" i="8" s="1"/>
  <c r="G60" i="8" s="1"/>
  <c r="G125" i="8" s="1"/>
  <c r="G34" i="8"/>
  <c r="G28" i="8"/>
  <c r="L19" i="4"/>
  <c r="N19" i="4"/>
  <c r="G19" i="4"/>
  <c r="M19" i="4"/>
  <c r="I19" i="4"/>
  <c r="H19" i="4"/>
  <c r="K19" i="4"/>
  <c r="F19" i="4"/>
  <c r="J19" i="4"/>
  <c r="E19" i="4"/>
  <c r="G124" i="11"/>
  <c r="G67" i="11"/>
  <c r="G66" i="11"/>
  <c r="G64" i="11"/>
  <c r="G69" i="11" s="1"/>
  <c r="G77" i="11" s="1"/>
  <c r="G80" i="11" s="1"/>
  <c r="G126" i="11" s="1"/>
  <c r="G65" i="11"/>
  <c r="C36" i="9"/>
  <c r="C60" i="8"/>
  <c r="C125" i="8" s="1"/>
  <c r="C34" i="8"/>
  <c r="C29" i="8"/>
  <c r="C36" i="8" s="1"/>
  <c r="D46" i="11"/>
  <c r="D29" i="11"/>
  <c r="D30" i="11"/>
  <c r="D33" i="11"/>
  <c r="D28" i="11"/>
  <c r="D34" i="11"/>
  <c r="D31" i="11"/>
  <c r="D35" i="11"/>
  <c r="D56" i="11" s="1"/>
  <c r="D60" i="11" s="1"/>
  <c r="D125" i="11" s="1"/>
  <c r="D32" i="11"/>
  <c r="D25" i="8"/>
  <c r="D20" i="10"/>
  <c r="I46" i="8"/>
  <c r="I31" i="8"/>
  <c r="I33" i="8"/>
  <c r="I35" i="8"/>
  <c r="I56" i="8" s="1"/>
  <c r="I60" i="8" s="1"/>
  <c r="I125" i="8" s="1"/>
  <c r="I34" i="8"/>
  <c r="I29" i="8"/>
  <c r="I32" i="8"/>
  <c r="I30" i="8"/>
  <c r="I28" i="8"/>
  <c r="E29" i="11"/>
  <c r="E35" i="11"/>
  <c r="E56" i="11" s="1"/>
  <c r="E60" i="11" s="1"/>
  <c r="E125" i="11" s="1"/>
  <c r="E28" i="11"/>
  <c r="E36" i="11" s="1"/>
  <c r="E32" i="11"/>
  <c r="H75" i="5"/>
  <c r="H79" i="5"/>
  <c r="F36" i="8"/>
  <c r="E36" i="12"/>
  <c r="G28" i="5"/>
  <c r="G29" i="5"/>
  <c r="E124" i="5"/>
  <c r="E64" i="5"/>
  <c r="E66" i="5"/>
  <c r="E67" i="5"/>
  <c r="E65" i="5"/>
  <c r="C47" i="8" l="1"/>
  <c r="C49" i="8" s="1"/>
  <c r="C74" i="8"/>
  <c r="G109" i="11"/>
  <c r="C46" i="5"/>
  <c r="C35" i="5"/>
  <c r="C56" i="5" s="1"/>
  <c r="C60" i="5" s="1"/>
  <c r="C125" i="5" s="1"/>
  <c r="C29" i="5"/>
  <c r="C30" i="5"/>
  <c r="C31" i="5"/>
  <c r="C33" i="5"/>
  <c r="C34" i="5"/>
  <c r="C32" i="5"/>
  <c r="C28" i="5"/>
  <c r="D47" i="5"/>
  <c r="D74" i="5"/>
  <c r="E47" i="9"/>
  <c r="E49" i="9" s="1"/>
  <c r="E74" i="9"/>
  <c r="E79" i="9" s="1"/>
  <c r="G36" i="5"/>
  <c r="F47" i="8"/>
  <c r="F49" i="8" s="1"/>
  <c r="F74" i="8"/>
  <c r="I36" i="8"/>
  <c r="D36" i="11"/>
  <c r="G110" i="11"/>
  <c r="G36" i="8"/>
  <c r="I36" i="5"/>
  <c r="F47" i="5"/>
  <c r="F49" i="5" s="1"/>
  <c r="F74" i="5"/>
  <c r="I69" i="11"/>
  <c r="E47" i="11"/>
  <c r="E49" i="11" s="1"/>
  <c r="E74" i="11"/>
  <c r="G95" i="11"/>
  <c r="G99" i="11" s="1"/>
  <c r="C119" i="6"/>
  <c r="C65" i="6"/>
  <c r="C64" i="6"/>
  <c r="C66" i="6"/>
  <c r="C67" i="6"/>
  <c r="E47" i="12"/>
  <c r="E49" i="12" s="1"/>
  <c r="E74" i="12"/>
  <c r="E79" i="12" s="1"/>
  <c r="O20" i="10"/>
  <c r="G104" i="11"/>
  <c r="H69" i="11"/>
  <c r="H77" i="11" s="1"/>
  <c r="H80" i="11" s="1"/>
  <c r="H88" i="11"/>
  <c r="H91" i="11" s="1"/>
  <c r="H127" i="11" s="1"/>
  <c r="C47" i="12"/>
  <c r="C49" i="12" s="1"/>
  <c r="C74" i="12"/>
  <c r="C79" i="12" s="1"/>
  <c r="H124" i="8"/>
  <c r="H66" i="8"/>
  <c r="H64" i="8"/>
  <c r="H67" i="8"/>
  <c r="H65" i="8"/>
  <c r="F46" i="11"/>
  <c r="F33" i="11"/>
  <c r="F35" i="11"/>
  <c r="F56" i="11" s="1"/>
  <c r="F60" i="11" s="1"/>
  <c r="F125" i="11" s="1"/>
  <c r="F31" i="11"/>
  <c r="F30" i="11"/>
  <c r="F32" i="11"/>
  <c r="F29" i="11"/>
  <c r="F28" i="11"/>
  <c r="F36" i="11" s="1"/>
  <c r="F34" i="11"/>
  <c r="D69" i="9"/>
  <c r="D77" i="9" s="1"/>
  <c r="D80" i="9" s="1"/>
  <c r="H69" i="5"/>
  <c r="H77" i="5" s="1"/>
  <c r="H80" i="5" s="1"/>
  <c r="H88" i="5"/>
  <c r="H91" i="5" s="1"/>
  <c r="H127" i="5" s="1"/>
  <c r="D47" i="12"/>
  <c r="D49" i="12" s="1"/>
  <c r="D74" i="12"/>
  <c r="D79" i="12" s="1"/>
  <c r="D49" i="5"/>
  <c r="E69" i="5"/>
  <c r="E77" i="5" s="1"/>
  <c r="E80" i="5" s="1"/>
  <c r="G101" i="11"/>
  <c r="G128" i="11"/>
  <c r="H75" i="8"/>
  <c r="H79" i="8"/>
  <c r="E47" i="8"/>
  <c r="E49" i="8" s="1"/>
  <c r="E74" i="8"/>
  <c r="C36" i="11"/>
  <c r="D46" i="8"/>
  <c r="D28" i="8"/>
  <c r="D29" i="8"/>
  <c r="D35" i="8"/>
  <c r="D56" i="8" s="1"/>
  <c r="D60" i="8" s="1"/>
  <c r="D125" i="8" s="1"/>
  <c r="D34" i="8"/>
  <c r="D30" i="8"/>
  <c r="D31" i="8"/>
  <c r="D32" i="8"/>
  <c r="D33" i="8"/>
  <c r="C47" i="9"/>
  <c r="C49" i="9" s="1"/>
  <c r="C74" i="9"/>
  <c r="C79" i="9" s="1"/>
  <c r="G111" i="11"/>
  <c r="G96" i="11"/>
  <c r="G98" i="11" s="1"/>
  <c r="G100" i="11"/>
  <c r="G106" i="11"/>
  <c r="O19" i="4"/>
  <c r="D47" i="6"/>
  <c r="D49" i="6" s="1"/>
  <c r="D74" i="6"/>
  <c r="D79" i="6" s="1"/>
  <c r="E47" i="6"/>
  <c r="E49" i="6" s="1"/>
  <c r="E74" i="6"/>
  <c r="E79" i="6" s="1"/>
  <c r="E119" i="9" l="1"/>
  <c r="E67" i="9"/>
  <c r="E65" i="9"/>
  <c r="E64" i="9"/>
  <c r="E66" i="9"/>
  <c r="D124" i="5"/>
  <c r="D66" i="5"/>
  <c r="D65" i="5"/>
  <c r="D64" i="5"/>
  <c r="D67" i="5"/>
  <c r="I47" i="5"/>
  <c r="I49" i="5" s="1"/>
  <c r="I74" i="5"/>
  <c r="C47" i="11"/>
  <c r="C49" i="11" s="1"/>
  <c r="C74" i="11"/>
  <c r="E126" i="5"/>
  <c r="E128" i="5" s="1"/>
  <c r="E95" i="5"/>
  <c r="F49" i="11"/>
  <c r="C119" i="12"/>
  <c r="C67" i="12"/>
  <c r="C66" i="12"/>
  <c r="C65" i="12"/>
  <c r="C64" i="12"/>
  <c r="C69" i="12" s="1"/>
  <c r="C77" i="12" s="1"/>
  <c r="C80" i="12" s="1"/>
  <c r="C121" i="12" s="1"/>
  <c r="G108" i="11"/>
  <c r="E124" i="11"/>
  <c r="E64" i="11"/>
  <c r="E67" i="11"/>
  <c r="E65" i="11"/>
  <c r="E66" i="11"/>
  <c r="F124" i="5"/>
  <c r="F67" i="5"/>
  <c r="F64" i="5"/>
  <c r="F65" i="5"/>
  <c r="F66" i="5"/>
  <c r="G103" i="11"/>
  <c r="G114" i="11" s="1"/>
  <c r="G131" i="11" s="1"/>
  <c r="G136" i="11" s="1"/>
  <c r="I47" i="8"/>
  <c r="I49" i="8" s="1"/>
  <c r="I74" i="8"/>
  <c r="C36" i="5"/>
  <c r="D119" i="6"/>
  <c r="D66" i="6"/>
  <c r="D65" i="6"/>
  <c r="D67" i="6"/>
  <c r="D64" i="6"/>
  <c r="E79" i="8"/>
  <c r="E75" i="8"/>
  <c r="F47" i="11"/>
  <c r="F74" i="11"/>
  <c r="C119" i="9"/>
  <c r="C66" i="9"/>
  <c r="C67" i="9"/>
  <c r="C64" i="9"/>
  <c r="C65" i="9"/>
  <c r="D36" i="8"/>
  <c r="E124" i="8"/>
  <c r="E67" i="8"/>
  <c r="E64" i="8"/>
  <c r="E66" i="8"/>
  <c r="E65" i="8"/>
  <c r="H126" i="5"/>
  <c r="H128" i="5" s="1"/>
  <c r="H95" i="5"/>
  <c r="H88" i="8"/>
  <c r="H91" i="8" s="1"/>
  <c r="H127" i="8" s="1"/>
  <c r="G107" i="11"/>
  <c r="E119" i="12"/>
  <c r="E66" i="12"/>
  <c r="E67" i="12"/>
  <c r="E65" i="12"/>
  <c r="E64" i="12"/>
  <c r="G116" i="11"/>
  <c r="G133" i="11" s="1"/>
  <c r="G138" i="11" s="1"/>
  <c r="G112" i="11"/>
  <c r="G129" i="11" s="1"/>
  <c r="G115" i="11"/>
  <c r="G132" i="11" s="1"/>
  <c r="G113" i="11"/>
  <c r="G130" i="11" s="1"/>
  <c r="G102" i="11"/>
  <c r="D47" i="11"/>
  <c r="D49" i="11" s="1"/>
  <c r="D74" i="11"/>
  <c r="F124" i="8"/>
  <c r="F66" i="8"/>
  <c r="F64" i="8"/>
  <c r="F65" i="8"/>
  <c r="F67" i="8"/>
  <c r="D79" i="5"/>
  <c r="D75" i="5"/>
  <c r="C75" i="8"/>
  <c r="C79" i="8"/>
  <c r="G135" i="11"/>
  <c r="G134" i="11"/>
  <c r="G137" i="11"/>
  <c r="I126" i="11"/>
  <c r="I128" i="11" s="1"/>
  <c r="I77" i="11"/>
  <c r="I80" i="11" s="1"/>
  <c r="F79" i="8"/>
  <c r="F75" i="8"/>
  <c r="E119" i="6"/>
  <c r="E66" i="6"/>
  <c r="E65" i="6"/>
  <c r="E67" i="6"/>
  <c r="E64" i="6"/>
  <c r="D119" i="12"/>
  <c r="D66" i="12"/>
  <c r="D67" i="12"/>
  <c r="D64" i="12"/>
  <c r="D65" i="12"/>
  <c r="D121" i="9"/>
  <c r="D123" i="9" s="1"/>
  <c r="D92" i="9"/>
  <c r="H69" i="8"/>
  <c r="H77" i="8" s="1"/>
  <c r="H80" i="8" s="1"/>
  <c r="H126" i="11"/>
  <c r="H128" i="11" s="1"/>
  <c r="H95" i="11"/>
  <c r="G105" i="11"/>
  <c r="C69" i="6"/>
  <c r="C77" i="6" s="1"/>
  <c r="C80" i="6" s="1"/>
  <c r="E75" i="11"/>
  <c r="E79" i="11"/>
  <c r="F79" i="5"/>
  <c r="F75" i="5"/>
  <c r="G47" i="8"/>
  <c r="G49" i="8" s="1"/>
  <c r="G74" i="8"/>
  <c r="G97" i="11"/>
  <c r="G47" i="5"/>
  <c r="G49" i="5" s="1"/>
  <c r="G74" i="5"/>
  <c r="C124" i="8"/>
  <c r="C64" i="8"/>
  <c r="C66" i="8"/>
  <c r="C67" i="8"/>
  <c r="C65" i="8"/>
  <c r="E69" i="6" l="1"/>
  <c r="E77" i="6" s="1"/>
  <c r="E80" i="6" s="1"/>
  <c r="E121" i="6" s="1"/>
  <c r="E92" i="6"/>
  <c r="F69" i="8"/>
  <c r="F77" i="8" s="1"/>
  <c r="F80" i="8" s="1"/>
  <c r="E69" i="11"/>
  <c r="E77" i="11" s="1"/>
  <c r="E80" i="11" s="1"/>
  <c r="F124" i="11"/>
  <c r="F66" i="11"/>
  <c r="F65" i="11"/>
  <c r="F64" i="11"/>
  <c r="F67" i="11"/>
  <c r="D69" i="12"/>
  <c r="D77" i="12" s="1"/>
  <c r="D80" i="12" s="1"/>
  <c r="D124" i="11"/>
  <c r="D65" i="11"/>
  <c r="D64" i="11"/>
  <c r="D67" i="11"/>
  <c r="D66" i="11"/>
  <c r="H96" i="5"/>
  <c r="H108" i="5" s="1"/>
  <c r="D47" i="8"/>
  <c r="D49" i="8" s="1"/>
  <c r="D74" i="8"/>
  <c r="D69" i="6"/>
  <c r="D77" i="6" s="1"/>
  <c r="D80" i="6" s="1"/>
  <c r="I124" i="8"/>
  <c r="I64" i="8"/>
  <c r="I67" i="8"/>
  <c r="I66" i="8"/>
  <c r="I65" i="8"/>
  <c r="C92" i="12"/>
  <c r="C103" i="12" s="1"/>
  <c r="C106" i="12"/>
  <c r="C123" i="12"/>
  <c r="C79" i="11"/>
  <c r="C75" i="11"/>
  <c r="C124" i="11"/>
  <c r="C66" i="11"/>
  <c r="C65" i="11"/>
  <c r="C64" i="11"/>
  <c r="C67" i="11"/>
  <c r="G75" i="5"/>
  <c r="G79" i="5"/>
  <c r="E93" i="6"/>
  <c r="E94" i="6" s="1"/>
  <c r="E123" i="6"/>
  <c r="C47" i="5"/>
  <c r="C49" i="5" s="1"/>
  <c r="C74" i="5"/>
  <c r="E102" i="5"/>
  <c r="I79" i="5"/>
  <c r="I75" i="5"/>
  <c r="D69" i="5"/>
  <c r="D77" i="5" s="1"/>
  <c r="D80" i="5" s="1"/>
  <c r="E69" i="9"/>
  <c r="E77" i="9" s="1"/>
  <c r="E80" i="9" s="1"/>
  <c r="G79" i="8"/>
  <c r="G75" i="8"/>
  <c r="E108" i="6"/>
  <c r="I95" i="11"/>
  <c r="E69" i="8"/>
  <c r="E77" i="8" s="1"/>
  <c r="E80" i="8" s="1"/>
  <c r="E96" i="5"/>
  <c r="E111" i="5" s="1"/>
  <c r="C69" i="8"/>
  <c r="C77" i="8" s="1"/>
  <c r="C80" i="8" s="1"/>
  <c r="G124" i="8"/>
  <c r="G65" i="8"/>
  <c r="G95" i="8"/>
  <c r="G100" i="8" s="1"/>
  <c r="G64" i="8"/>
  <c r="G69" i="8" s="1"/>
  <c r="G77" i="8" s="1"/>
  <c r="G80" i="8" s="1"/>
  <c r="G126" i="8" s="1"/>
  <c r="G96" i="8"/>
  <c r="G102" i="8" s="1"/>
  <c r="G67" i="8"/>
  <c r="G66" i="8"/>
  <c r="H96" i="11"/>
  <c r="G124" i="5"/>
  <c r="G67" i="5"/>
  <c r="G65" i="5"/>
  <c r="G64" i="5"/>
  <c r="G66" i="5"/>
  <c r="C121" i="6"/>
  <c r="C123" i="6" s="1"/>
  <c r="C92" i="6"/>
  <c r="H103" i="11"/>
  <c r="H126" i="8"/>
  <c r="H128" i="8" s="1"/>
  <c r="H95" i="8"/>
  <c r="D94" i="9"/>
  <c r="D99" i="9"/>
  <c r="D93" i="9"/>
  <c r="E103" i="6"/>
  <c r="E106" i="6"/>
  <c r="E96" i="6"/>
  <c r="E99" i="6"/>
  <c r="E95" i="6"/>
  <c r="D79" i="11"/>
  <c r="D75" i="11"/>
  <c r="E69" i="12"/>
  <c r="E77" i="12" s="1"/>
  <c r="E80" i="12" s="1"/>
  <c r="H110" i="5"/>
  <c r="C69" i="9"/>
  <c r="C77" i="9" s="1"/>
  <c r="C80" i="9" s="1"/>
  <c r="F75" i="11"/>
  <c r="F79" i="11"/>
  <c r="I75" i="8"/>
  <c r="I79" i="8"/>
  <c r="F69" i="5"/>
  <c r="F77" i="5" s="1"/>
  <c r="F80" i="5" s="1"/>
  <c r="C107" i="12"/>
  <c r="C93" i="12"/>
  <c r="C97" i="12" s="1"/>
  <c r="C94" i="12"/>
  <c r="C98" i="12"/>
  <c r="C108" i="12"/>
  <c r="E105" i="5"/>
  <c r="E109" i="5"/>
  <c r="E106" i="5"/>
  <c r="E110" i="5"/>
  <c r="I124" i="5"/>
  <c r="I65" i="5"/>
  <c r="I67" i="5"/>
  <c r="I66" i="5"/>
  <c r="I64" i="5"/>
  <c r="E105" i="6" l="1"/>
  <c r="E97" i="6"/>
  <c r="G69" i="5"/>
  <c r="G77" i="5" s="1"/>
  <c r="G80" i="5" s="1"/>
  <c r="G126" i="5" s="1"/>
  <c r="E104" i="5"/>
  <c r="E101" i="5"/>
  <c r="E99" i="5"/>
  <c r="I69" i="5"/>
  <c r="E107" i="6"/>
  <c r="E100" i="6"/>
  <c r="H111" i="11"/>
  <c r="H104" i="11"/>
  <c r="G105" i="8"/>
  <c r="E126" i="8"/>
  <c r="E128" i="8" s="1"/>
  <c r="E110" i="8"/>
  <c r="E103" i="8"/>
  <c r="E95" i="8"/>
  <c r="E104" i="8"/>
  <c r="E96" i="8"/>
  <c r="E102" i="8" s="1"/>
  <c r="E100" i="8"/>
  <c r="E105" i="8"/>
  <c r="I106" i="11"/>
  <c r="E121" i="9"/>
  <c r="E123" i="9" s="1"/>
  <c r="E93" i="9"/>
  <c r="E94" i="9" s="1"/>
  <c r="E92" i="9"/>
  <c r="H105" i="5"/>
  <c r="C121" i="9"/>
  <c r="C123" i="9" s="1"/>
  <c r="C92" i="9"/>
  <c r="H103" i="5"/>
  <c r="H114" i="5" s="1"/>
  <c r="H131" i="5" s="1"/>
  <c r="H136" i="5" s="1"/>
  <c r="G189" i="5" s="1"/>
  <c r="H189" i="5" s="1"/>
  <c r="D100" i="9"/>
  <c r="D111" i="9" s="1"/>
  <c r="D126" i="9" s="1"/>
  <c r="D131" i="9" s="1"/>
  <c r="D107" i="9"/>
  <c r="D104" i="9"/>
  <c r="D102" i="9"/>
  <c r="D96" i="9"/>
  <c r="D98" i="9"/>
  <c r="D106" i="9"/>
  <c r="D101" i="9"/>
  <c r="D103" i="9"/>
  <c r="D112" i="9" s="1"/>
  <c r="D127" i="9" s="1"/>
  <c r="D132" i="9" s="1"/>
  <c r="D108" i="9"/>
  <c r="D105" i="9"/>
  <c r="H97" i="8"/>
  <c r="H108" i="11"/>
  <c r="G128" i="5"/>
  <c r="G97" i="8"/>
  <c r="G101" i="8"/>
  <c r="G103" i="8"/>
  <c r="G109" i="8"/>
  <c r="G128" i="8"/>
  <c r="I107" i="11"/>
  <c r="E98" i="5"/>
  <c r="C124" i="5"/>
  <c r="C66" i="5"/>
  <c r="C65" i="5"/>
  <c r="C67" i="5"/>
  <c r="C64" i="5"/>
  <c r="H99" i="5"/>
  <c r="E102" i="6"/>
  <c r="E100" i="5"/>
  <c r="E113" i="5" s="1"/>
  <c r="E130" i="5" s="1"/>
  <c r="E135" i="5" s="1"/>
  <c r="I69" i="8"/>
  <c r="D124" i="8"/>
  <c r="D64" i="8"/>
  <c r="D66" i="8"/>
  <c r="D67" i="8"/>
  <c r="D65" i="8"/>
  <c r="H111" i="5"/>
  <c r="E98" i="6"/>
  <c r="H105" i="11"/>
  <c r="E126" i="11"/>
  <c r="E128" i="11" s="1"/>
  <c r="E96" i="11"/>
  <c r="E104" i="11" s="1"/>
  <c r="E109" i="11"/>
  <c r="E95" i="11"/>
  <c r="E101" i="11"/>
  <c r="H106" i="11"/>
  <c r="H115" i="11" s="1"/>
  <c r="H132" i="11" s="1"/>
  <c r="H137" i="11" s="1"/>
  <c r="I189" i="11" s="1"/>
  <c r="J189" i="11" s="1"/>
  <c r="I126" i="5"/>
  <c r="I77" i="5"/>
  <c r="I80" i="5" s="1"/>
  <c r="C98" i="6"/>
  <c r="G107" i="8"/>
  <c r="C126" i="8"/>
  <c r="C128" i="8" s="1"/>
  <c r="C100" i="8"/>
  <c r="C107" i="8"/>
  <c r="C96" i="8"/>
  <c r="C104" i="8"/>
  <c r="C103" i="8"/>
  <c r="C106" i="8"/>
  <c r="C97" i="8"/>
  <c r="C98" i="8"/>
  <c r="C105" i="8"/>
  <c r="C108" i="8"/>
  <c r="C111" i="8"/>
  <c r="C110" i="8"/>
  <c r="C95" i="8"/>
  <c r="D121" i="12"/>
  <c r="D123" i="12" s="1"/>
  <c r="D92" i="12"/>
  <c r="D108" i="12" s="1"/>
  <c r="D100" i="12"/>
  <c r="D99" i="12"/>
  <c r="D107" i="12"/>
  <c r="D104" i="12"/>
  <c r="D102" i="12"/>
  <c r="D101" i="12"/>
  <c r="D93" i="12"/>
  <c r="D106" i="12" s="1"/>
  <c r="H97" i="11"/>
  <c r="I128" i="5"/>
  <c r="E121" i="12"/>
  <c r="E123" i="12" s="1"/>
  <c r="E92" i="12"/>
  <c r="E102" i="12" s="1"/>
  <c r="E93" i="12"/>
  <c r="E99" i="12" s="1"/>
  <c r="H111" i="8"/>
  <c r="H107" i="11"/>
  <c r="C101" i="6"/>
  <c r="H101" i="11"/>
  <c r="G108" i="8"/>
  <c r="G111" i="8"/>
  <c r="G106" i="8"/>
  <c r="G115" i="8" s="1"/>
  <c r="G132" i="8" s="1"/>
  <c r="H107" i="5"/>
  <c r="I102" i="11"/>
  <c r="I96" i="11"/>
  <c r="I110" i="11" s="1"/>
  <c r="H112" i="11"/>
  <c r="H129" i="11" s="1"/>
  <c r="H134" i="11" s="1"/>
  <c r="C189" i="11" s="1"/>
  <c r="D189" i="11" s="1"/>
  <c r="D126" i="5"/>
  <c r="D128" i="5" s="1"/>
  <c r="D95" i="5"/>
  <c r="E107" i="5"/>
  <c r="C105" i="12"/>
  <c r="H100" i="5"/>
  <c r="H113" i="5" s="1"/>
  <c r="H130" i="5" s="1"/>
  <c r="H135" i="5" s="1"/>
  <c r="E189" i="5" s="1"/>
  <c r="F189" i="5" s="1"/>
  <c r="H102" i="11"/>
  <c r="C69" i="11"/>
  <c r="C77" i="11" s="1"/>
  <c r="C80" i="11" s="1"/>
  <c r="E116" i="5"/>
  <c r="E133" i="5" s="1"/>
  <c r="E138" i="5" s="1"/>
  <c r="C112" i="12"/>
  <c r="C127" i="12" s="1"/>
  <c r="C132" i="12" s="1"/>
  <c r="C113" i="12"/>
  <c r="C128" i="12" s="1"/>
  <c r="C133" i="12" s="1"/>
  <c r="C138" i="12" s="1"/>
  <c r="C109" i="12"/>
  <c r="C124" i="12" s="1"/>
  <c r="C129" i="12" s="1"/>
  <c r="C110" i="12"/>
  <c r="C125" i="12" s="1"/>
  <c r="C130" i="12" s="1"/>
  <c r="C100" i="12"/>
  <c r="C111" i="12" s="1"/>
  <c r="C126" i="12" s="1"/>
  <c r="C131" i="12" s="1"/>
  <c r="C95" i="12"/>
  <c r="C96" i="12"/>
  <c r="C102" i="12"/>
  <c r="C99" i="12"/>
  <c r="C101" i="12"/>
  <c r="D121" i="6"/>
  <c r="D123" i="6" s="1"/>
  <c r="D93" i="6"/>
  <c r="D94" i="6" s="1"/>
  <c r="D92" i="6"/>
  <c r="H102" i="5"/>
  <c r="D69" i="11"/>
  <c r="D77" i="11" s="1"/>
  <c r="D80" i="11" s="1"/>
  <c r="E104" i="6"/>
  <c r="D97" i="9"/>
  <c r="D110" i="9" s="1"/>
  <c r="D125" i="9" s="1"/>
  <c r="D130" i="9" s="1"/>
  <c r="D113" i="9"/>
  <c r="D128" i="9" s="1"/>
  <c r="D133" i="9" s="1"/>
  <c r="H110" i="11"/>
  <c r="F126" i="8"/>
  <c r="F128" i="8" s="1"/>
  <c r="F95" i="8"/>
  <c r="F101" i="8" s="1"/>
  <c r="F96" i="8"/>
  <c r="F106" i="8" s="1"/>
  <c r="E108" i="5"/>
  <c r="H116" i="8"/>
  <c r="H133" i="8" s="1"/>
  <c r="H138" i="8" s="1"/>
  <c r="K189" i="8" s="1"/>
  <c r="L189" i="8" s="1"/>
  <c r="G113" i="8"/>
  <c r="G130" i="8" s="1"/>
  <c r="G116" i="8"/>
  <c r="G133" i="8" s="1"/>
  <c r="G112" i="8"/>
  <c r="G129" i="8" s="1"/>
  <c r="G114" i="8"/>
  <c r="G131" i="8" s="1"/>
  <c r="I115" i="11"/>
  <c r="I132" i="11" s="1"/>
  <c r="I137" i="11" s="1"/>
  <c r="H114" i="11"/>
  <c r="H131" i="11" s="1"/>
  <c r="H136" i="11" s="1"/>
  <c r="G189" i="11" s="1"/>
  <c r="H189" i="11" s="1"/>
  <c r="H101" i="5"/>
  <c r="H97" i="5"/>
  <c r="H112" i="5" s="1"/>
  <c r="H129" i="5" s="1"/>
  <c r="H134" i="5" s="1"/>
  <c r="C189" i="5" s="1"/>
  <c r="D189" i="5" s="1"/>
  <c r="H106" i="5"/>
  <c r="H115" i="5" s="1"/>
  <c r="H132" i="5" s="1"/>
  <c r="H137" i="5" s="1"/>
  <c r="I189" i="5" s="1"/>
  <c r="J189" i="5" s="1"/>
  <c r="F126" i="5"/>
  <c r="F128" i="5" s="1"/>
  <c r="F95" i="5"/>
  <c r="H98" i="5"/>
  <c r="D95" i="9"/>
  <c r="H96" i="8"/>
  <c r="H103" i="8" s="1"/>
  <c r="H101" i="8"/>
  <c r="H109" i="8"/>
  <c r="H98" i="11"/>
  <c r="C94" i="6"/>
  <c r="C109" i="6" s="1"/>
  <c r="C124" i="6" s="1"/>
  <c r="C129" i="6" s="1"/>
  <c r="C93" i="6"/>
  <c r="C99" i="6" s="1"/>
  <c r="G95" i="5"/>
  <c r="G99" i="8"/>
  <c r="G110" i="8"/>
  <c r="G98" i="8"/>
  <c r="G104" i="8"/>
  <c r="E103" i="5"/>
  <c r="E114" i="5" s="1"/>
  <c r="E131" i="5" s="1"/>
  <c r="E136" i="5" s="1"/>
  <c r="I100" i="11"/>
  <c r="I113" i="11" s="1"/>
  <c r="I130" i="11" s="1"/>
  <c r="I135" i="11" s="1"/>
  <c r="I97" i="11"/>
  <c r="I112" i="11" s="1"/>
  <c r="I129" i="11" s="1"/>
  <c r="I134" i="11" s="1"/>
  <c r="I111" i="11"/>
  <c r="I98" i="11"/>
  <c r="E97" i="5"/>
  <c r="E112" i="5" s="1"/>
  <c r="E129" i="5" s="1"/>
  <c r="E134" i="5" s="1"/>
  <c r="C75" i="5"/>
  <c r="C79" i="5"/>
  <c r="H109" i="5"/>
  <c r="H116" i="5" s="1"/>
  <c r="H133" i="5" s="1"/>
  <c r="H138" i="5" s="1"/>
  <c r="K189" i="5" s="1"/>
  <c r="L189" i="5" s="1"/>
  <c r="E101" i="6"/>
  <c r="E115" i="5"/>
  <c r="E132" i="5" s="1"/>
  <c r="E137" i="5" s="1"/>
  <c r="H99" i="11"/>
  <c r="C104" i="12"/>
  <c r="D75" i="8"/>
  <c r="D79" i="8"/>
  <c r="H104" i="5"/>
  <c r="D109" i="9"/>
  <c r="D124" i="9" s="1"/>
  <c r="D129" i="9" s="1"/>
  <c r="H109" i="11"/>
  <c r="H116" i="11" s="1"/>
  <c r="H133" i="11" s="1"/>
  <c r="H138" i="11" s="1"/>
  <c r="K189" i="11" s="1"/>
  <c r="L189" i="11" s="1"/>
  <c r="F69" i="11"/>
  <c r="F77" i="11" s="1"/>
  <c r="F80" i="11" s="1"/>
  <c r="E113" i="6"/>
  <c r="E128" i="6" s="1"/>
  <c r="E133" i="6" s="1"/>
  <c r="E109" i="6"/>
  <c r="E124" i="6" s="1"/>
  <c r="E129" i="6" s="1"/>
  <c r="E111" i="6"/>
  <c r="E126" i="6" s="1"/>
  <c r="E131" i="6" s="1"/>
  <c r="E110" i="6"/>
  <c r="E125" i="6" s="1"/>
  <c r="E130" i="6" s="1"/>
  <c r="E112" i="6"/>
  <c r="E127" i="6" s="1"/>
  <c r="E132" i="6" s="1"/>
  <c r="H100" i="11"/>
  <c r="H113" i="11" s="1"/>
  <c r="H130" i="11" s="1"/>
  <c r="H135" i="11" s="1"/>
  <c r="E189" i="11" s="1"/>
  <c r="F189" i="11" s="1"/>
  <c r="C97" i="6" l="1"/>
  <c r="D98" i="6"/>
  <c r="C110" i="6"/>
  <c r="C125" i="6" s="1"/>
  <c r="C130" i="6" s="1"/>
  <c r="C135" i="6" s="1"/>
  <c r="D107" i="6"/>
  <c r="C69" i="5"/>
  <c r="C77" i="5" s="1"/>
  <c r="C80" i="5" s="1"/>
  <c r="C126" i="5" s="1"/>
  <c r="F96" i="5"/>
  <c r="F109" i="5" s="1"/>
  <c r="C107" i="6"/>
  <c r="D100" i="6"/>
  <c r="D111" i="6" s="1"/>
  <c r="D126" i="6" s="1"/>
  <c r="D131" i="6" s="1"/>
  <c r="C134" i="12"/>
  <c r="C136" i="12"/>
  <c r="C137" i="12"/>
  <c r="C196" i="11"/>
  <c r="C193" i="11"/>
  <c r="C190" i="11"/>
  <c r="C178" i="11"/>
  <c r="C154" i="11"/>
  <c r="C181" i="11"/>
  <c r="C160" i="11"/>
  <c r="C172" i="11"/>
  <c r="C184" i="11"/>
  <c r="C166" i="11"/>
  <c r="C148" i="11"/>
  <c r="C134" i="6"/>
  <c r="C135" i="12"/>
  <c r="AD47" i="3" s="1"/>
  <c r="F111" i="8"/>
  <c r="F103" i="8"/>
  <c r="E103" i="11"/>
  <c r="C128" i="5"/>
  <c r="F126" i="11"/>
  <c r="F128" i="11" s="1"/>
  <c r="F98" i="11"/>
  <c r="F96" i="11"/>
  <c r="F104" i="11" s="1"/>
  <c r="F95" i="11"/>
  <c r="F102" i="11"/>
  <c r="F105" i="11"/>
  <c r="F101" i="11"/>
  <c r="F99" i="11"/>
  <c r="F110" i="11"/>
  <c r="F97" i="11"/>
  <c r="F100" i="11"/>
  <c r="F109" i="11"/>
  <c r="F111" i="11"/>
  <c r="F103" i="11"/>
  <c r="F108" i="11"/>
  <c r="F107" i="11"/>
  <c r="H114" i="8"/>
  <c r="H131" i="8" s="1"/>
  <c r="H136" i="8" s="1"/>
  <c r="G189" i="8" s="1"/>
  <c r="H189" i="8" s="1"/>
  <c r="F110" i="8"/>
  <c r="F99" i="8"/>
  <c r="F102" i="8"/>
  <c r="D126" i="11"/>
  <c r="D128" i="11" s="1"/>
  <c r="D95" i="11"/>
  <c r="D96" i="6"/>
  <c r="D101" i="6"/>
  <c r="D104" i="6"/>
  <c r="D103" i="5"/>
  <c r="D114" i="5" s="1"/>
  <c r="D131" i="5" s="1"/>
  <c r="D136" i="5" s="1"/>
  <c r="D96" i="5"/>
  <c r="D101" i="5" s="1"/>
  <c r="C104" i="6"/>
  <c r="E96" i="12"/>
  <c r="E101" i="12"/>
  <c r="E106" i="12"/>
  <c r="E113" i="12" s="1"/>
  <c r="E128" i="12" s="1"/>
  <c r="E133" i="12" s="1"/>
  <c r="E108" i="12"/>
  <c r="D103" i="12"/>
  <c r="D96" i="12"/>
  <c r="D98" i="12"/>
  <c r="C106" i="6"/>
  <c r="E98" i="11"/>
  <c r="E110" i="11"/>
  <c r="E97" i="11"/>
  <c r="E105" i="11"/>
  <c r="I105" i="11"/>
  <c r="I99" i="11"/>
  <c r="C95" i="6"/>
  <c r="H100" i="8"/>
  <c r="H113" i="8" s="1"/>
  <c r="H130" i="8" s="1"/>
  <c r="H135" i="8" s="1"/>
  <c r="E189" i="8" s="1"/>
  <c r="F189" i="8" s="1"/>
  <c r="C110" i="9"/>
  <c r="C125" i="9" s="1"/>
  <c r="C130" i="9" s="1"/>
  <c r="C135" i="9" s="1"/>
  <c r="C96" i="9"/>
  <c r="E103" i="9"/>
  <c r="E106" i="9"/>
  <c r="E113" i="9" s="1"/>
  <c r="E128" i="9" s="1"/>
  <c r="E133" i="9" s="1"/>
  <c r="E102" i="9"/>
  <c r="E100" i="9"/>
  <c r="I109" i="11"/>
  <c r="E106" i="8"/>
  <c r="E115" i="8" s="1"/>
  <c r="E132" i="8" s="1"/>
  <c r="E137" i="8" s="1"/>
  <c r="E101" i="8"/>
  <c r="E114" i="8"/>
  <c r="E131" i="8" s="1"/>
  <c r="E113" i="8"/>
  <c r="E130" i="8" s="1"/>
  <c r="E108" i="8"/>
  <c r="C105" i="6"/>
  <c r="F109" i="8"/>
  <c r="E103" i="12"/>
  <c r="D132" i="12"/>
  <c r="AB48" i="3" s="1"/>
  <c r="E96" i="9"/>
  <c r="F104" i="8"/>
  <c r="F116" i="8"/>
  <c r="F133" i="8" s="1"/>
  <c r="F138" i="8" s="1"/>
  <c r="F114" i="8"/>
  <c r="F131" i="8" s="1"/>
  <c r="F115" i="8"/>
  <c r="F132" i="8" s="1"/>
  <c r="F137" i="8" s="1"/>
  <c r="D109" i="6"/>
  <c r="D124" i="6" s="1"/>
  <c r="D129" i="6" s="1"/>
  <c r="AB10" i="3" s="1"/>
  <c r="D105" i="6"/>
  <c r="D108" i="6"/>
  <c r="D95" i="6"/>
  <c r="D97" i="6"/>
  <c r="D110" i="6" s="1"/>
  <c r="D125" i="6" s="1"/>
  <c r="D130" i="6" s="1"/>
  <c r="C126" i="11"/>
  <c r="C128" i="11" s="1"/>
  <c r="C111" i="11"/>
  <c r="C95" i="11"/>
  <c r="C102" i="11"/>
  <c r="C96" i="11"/>
  <c r="C97" i="11" s="1"/>
  <c r="C101" i="11"/>
  <c r="C108" i="11"/>
  <c r="C109" i="11"/>
  <c r="C104" i="11"/>
  <c r="D99" i="5"/>
  <c r="D108" i="5"/>
  <c r="D109" i="5"/>
  <c r="D116" i="5" s="1"/>
  <c r="D133" i="5" s="1"/>
  <c r="D138" i="5" s="1"/>
  <c r="C100" i="6"/>
  <c r="C111" i="6" s="1"/>
  <c r="C126" i="6" s="1"/>
  <c r="C131" i="6" s="1"/>
  <c r="H98" i="8"/>
  <c r="E97" i="12"/>
  <c r="E110" i="12" s="1"/>
  <c r="E125" i="12" s="1"/>
  <c r="E130" i="12" s="1"/>
  <c r="E107" i="12"/>
  <c r="E112" i="12"/>
  <c r="E127" i="12" s="1"/>
  <c r="E132" i="12" s="1"/>
  <c r="E104" i="12"/>
  <c r="D113" i="12"/>
  <c r="D128" i="12" s="1"/>
  <c r="D133" i="12" s="1"/>
  <c r="D111" i="12"/>
  <c r="D126" i="12" s="1"/>
  <c r="D131" i="12" s="1"/>
  <c r="D112" i="12"/>
  <c r="D127" i="12" s="1"/>
  <c r="I101" i="11"/>
  <c r="I95" i="5"/>
  <c r="E99" i="11"/>
  <c r="E108" i="11"/>
  <c r="E111" i="11"/>
  <c r="E100" i="11"/>
  <c r="E113" i="11" s="1"/>
  <c r="E130" i="11" s="1"/>
  <c r="E135" i="11" s="1"/>
  <c r="E136" i="11"/>
  <c r="D69" i="8"/>
  <c r="D77" i="8" s="1"/>
  <c r="D80" i="8" s="1"/>
  <c r="C95" i="5"/>
  <c r="I104" i="11"/>
  <c r="G135" i="8"/>
  <c r="G137" i="8"/>
  <c r="G134" i="8"/>
  <c r="G136" i="8"/>
  <c r="G138" i="8"/>
  <c r="C108" i="6"/>
  <c r="H99" i="8"/>
  <c r="C106" i="9"/>
  <c r="E98" i="9"/>
  <c r="E99" i="9"/>
  <c r="E101" i="9"/>
  <c r="E107" i="9"/>
  <c r="E105" i="9"/>
  <c r="E107" i="8"/>
  <c r="E97" i="8"/>
  <c r="E112" i="8" s="1"/>
  <c r="E129" i="8" s="1"/>
  <c r="E134" i="8" s="1"/>
  <c r="C113" i="6"/>
  <c r="C128" i="6" s="1"/>
  <c r="C133" i="6" s="1"/>
  <c r="C138" i="6" s="1"/>
  <c r="E100" i="12"/>
  <c r="E111" i="12" s="1"/>
  <c r="E126" i="12" s="1"/>
  <c r="E131" i="12" s="1"/>
  <c r="E108" i="9"/>
  <c r="E104" i="9"/>
  <c r="H110" i="8"/>
  <c r="H102" i="8"/>
  <c r="H106" i="8"/>
  <c r="H112" i="8"/>
  <c r="H129" i="8" s="1"/>
  <c r="H134" i="8" s="1"/>
  <c r="C189" i="8" s="1"/>
  <c r="D189" i="8" s="1"/>
  <c r="F98" i="8"/>
  <c r="F107" i="8"/>
  <c r="H105" i="8"/>
  <c r="H107" i="8"/>
  <c r="F116" i="5"/>
  <c r="F133" i="5" s="1"/>
  <c r="F138" i="5" s="1"/>
  <c r="I116" i="11"/>
  <c r="I133" i="11" s="1"/>
  <c r="I138" i="11" s="1"/>
  <c r="C102" i="6"/>
  <c r="H115" i="8"/>
  <c r="H132" i="8" s="1"/>
  <c r="H137" i="8" s="1"/>
  <c r="I189" i="8" s="1"/>
  <c r="J189" i="8" s="1"/>
  <c r="F108" i="8"/>
  <c r="F100" i="8"/>
  <c r="F113" i="8" s="1"/>
  <c r="F130" i="8" s="1"/>
  <c r="F135" i="8" s="1"/>
  <c r="F105" i="8"/>
  <c r="F97" i="8"/>
  <c r="F112" i="8" s="1"/>
  <c r="F129" i="8" s="1"/>
  <c r="F134" i="8" s="1"/>
  <c r="F136" i="8"/>
  <c r="D99" i="6"/>
  <c r="D102" i="6"/>
  <c r="D103" i="6"/>
  <c r="D112" i="6" s="1"/>
  <c r="D127" i="6" s="1"/>
  <c r="D132" i="6" s="1"/>
  <c r="D106" i="6"/>
  <c r="D113" i="6" s="1"/>
  <c r="D128" i="6" s="1"/>
  <c r="D133" i="6" s="1"/>
  <c r="D104" i="5"/>
  <c r="D111" i="5"/>
  <c r="D105" i="5"/>
  <c r="D102" i="5"/>
  <c r="D97" i="5"/>
  <c r="D112" i="5" s="1"/>
  <c r="D129" i="5" s="1"/>
  <c r="D134" i="5" s="1"/>
  <c r="I108" i="11"/>
  <c r="C103" i="6"/>
  <c r="C112" i="6" s="1"/>
  <c r="C127" i="6" s="1"/>
  <c r="C132" i="6" s="1"/>
  <c r="H108" i="8"/>
  <c r="E94" i="12"/>
  <c r="E109" i="12" s="1"/>
  <c r="E124" i="12" s="1"/>
  <c r="E129" i="12" s="1"/>
  <c r="E105" i="12"/>
  <c r="E95" i="12"/>
  <c r="E98" i="12"/>
  <c r="D105" i="12"/>
  <c r="D97" i="12"/>
  <c r="D110" i="12" s="1"/>
  <c r="D125" i="12" s="1"/>
  <c r="D130" i="12" s="1"/>
  <c r="AB47" i="3" s="1"/>
  <c r="D94" i="12"/>
  <c r="D109" i="12" s="1"/>
  <c r="D124" i="12" s="1"/>
  <c r="D129" i="12" s="1"/>
  <c r="D95" i="12"/>
  <c r="C113" i="8"/>
  <c r="C130" i="8" s="1"/>
  <c r="C135" i="8" s="1"/>
  <c r="C115" i="8"/>
  <c r="C132" i="8" s="1"/>
  <c r="C137" i="8" s="1"/>
  <c r="C112" i="8"/>
  <c r="C129" i="8" s="1"/>
  <c r="C134" i="8" s="1"/>
  <c r="C114" i="8"/>
  <c r="C131" i="8" s="1"/>
  <c r="C136" i="8" s="1"/>
  <c r="C109" i="8"/>
  <c r="C116" i="8" s="1"/>
  <c r="C133" i="8" s="1"/>
  <c r="C138" i="8" s="1"/>
  <c r="C101" i="8"/>
  <c r="C102" i="8"/>
  <c r="C99" i="8"/>
  <c r="E114" i="11"/>
  <c r="E131" i="11" s="1"/>
  <c r="E112" i="11"/>
  <c r="E129" i="11" s="1"/>
  <c r="E134" i="11" s="1"/>
  <c r="E116" i="11"/>
  <c r="E133" i="11" s="1"/>
  <c r="E138" i="11" s="1"/>
  <c r="E102" i="11"/>
  <c r="E106" i="11"/>
  <c r="E115" i="11" s="1"/>
  <c r="E132" i="11" s="1"/>
  <c r="E137" i="11" s="1"/>
  <c r="E107" i="11"/>
  <c r="I126" i="8"/>
  <c r="I128" i="8" s="1"/>
  <c r="I77" i="8"/>
  <c r="I80" i="8" s="1"/>
  <c r="C96" i="5"/>
  <c r="C101" i="5" s="1"/>
  <c r="I103" i="11"/>
  <c r="I114" i="11" s="1"/>
  <c r="I131" i="11" s="1"/>
  <c r="I136" i="11" s="1"/>
  <c r="G96" i="5"/>
  <c r="G98" i="5" s="1"/>
  <c r="C96" i="6"/>
  <c r="H104" i="8"/>
  <c r="C97" i="9"/>
  <c r="C93" i="9"/>
  <c r="C107" i="9"/>
  <c r="C100" i="9"/>
  <c r="E109" i="9"/>
  <c r="E124" i="9" s="1"/>
  <c r="E111" i="9"/>
  <c r="E126" i="9" s="1"/>
  <c r="E112" i="9"/>
  <c r="E127" i="9" s="1"/>
  <c r="E95" i="9"/>
  <c r="E97" i="9"/>
  <c r="E110" i="9" s="1"/>
  <c r="E125" i="9" s="1"/>
  <c r="E130" i="9" s="1"/>
  <c r="E132" i="9"/>
  <c r="E131" i="9"/>
  <c r="E129" i="9"/>
  <c r="E111" i="8"/>
  <c r="E99" i="8"/>
  <c r="E109" i="8"/>
  <c r="E116" i="8" s="1"/>
  <c r="E133" i="8" s="1"/>
  <c r="E138" i="8" s="1"/>
  <c r="E98" i="8"/>
  <c r="E135" i="8"/>
  <c r="E136" i="8"/>
  <c r="C97" i="5" l="1"/>
  <c r="G108" i="5"/>
  <c r="F103" i="5"/>
  <c r="F114" i="5" s="1"/>
  <c r="F131" i="5" s="1"/>
  <c r="F136" i="5" s="1"/>
  <c r="F106" i="5"/>
  <c r="F115" i="5" s="1"/>
  <c r="F132" i="5" s="1"/>
  <c r="F137" i="5" s="1"/>
  <c r="F111" i="5"/>
  <c r="F105" i="5"/>
  <c r="G111" i="5"/>
  <c r="F97" i="5"/>
  <c r="F112" i="5" s="1"/>
  <c r="F129" i="5" s="1"/>
  <c r="F134" i="5" s="1"/>
  <c r="F98" i="5"/>
  <c r="G109" i="5"/>
  <c r="G116" i="5" s="1"/>
  <c r="G133" i="5" s="1"/>
  <c r="G138" i="5" s="1"/>
  <c r="G102" i="5"/>
  <c r="G107" i="5"/>
  <c r="I96" i="5"/>
  <c r="I111" i="5" s="1"/>
  <c r="G99" i="5"/>
  <c r="F107" i="5"/>
  <c r="F108" i="5"/>
  <c r="F110" i="5"/>
  <c r="F101" i="5"/>
  <c r="C102" i="5"/>
  <c r="C106" i="5"/>
  <c r="C108" i="5"/>
  <c r="C110" i="5"/>
  <c r="C107" i="5"/>
  <c r="F100" i="5"/>
  <c r="F113" i="5" s="1"/>
  <c r="F130" i="5" s="1"/>
  <c r="F135" i="5" s="1"/>
  <c r="F102" i="5"/>
  <c r="F104" i="5"/>
  <c r="F99" i="5"/>
  <c r="C139" i="8"/>
  <c r="C153" i="8"/>
  <c r="D153" i="8" s="1"/>
  <c r="C171" i="8"/>
  <c r="D171" i="8" s="1"/>
  <c r="C192" i="5"/>
  <c r="D192" i="5" s="1"/>
  <c r="C177" i="5"/>
  <c r="D177" i="5" s="1"/>
  <c r="C147" i="5"/>
  <c r="D147" i="5" s="1"/>
  <c r="C183" i="5"/>
  <c r="D183" i="5" s="1"/>
  <c r="C180" i="5"/>
  <c r="D180" i="5" s="1"/>
  <c r="C195" i="5"/>
  <c r="D195" i="5" s="1"/>
  <c r="C165" i="5"/>
  <c r="D165" i="5" s="1"/>
  <c r="C159" i="5"/>
  <c r="D159" i="5" s="1"/>
  <c r="G153" i="8"/>
  <c r="H153" i="8" s="1"/>
  <c r="G171" i="8"/>
  <c r="H171" i="8" s="1"/>
  <c r="C141" i="8"/>
  <c r="AB6" i="3"/>
  <c r="C137" i="6"/>
  <c r="AB17" i="3"/>
  <c r="AB9" i="3"/>
  <c r="I171" i="8"/>
  <c r="J171" i="8" s="1"/>
  <c r="I153" i="8"/>
  <c r="J153" i="8" s="1"/>
  <c r="C142" i="8"/>
  <c r="AC26" i="3" s="1"/>
  <c r="AB41" i="3"/>
  <c r="AB43" i="3"/>
  <c r="AB45" i="3"/>
  <c r="AB38" i="3"/>
  <c r="AB39" i="3"/>
  <c r="K192" i="5"/>
  <c r="L192" i="5" s="1"/>
  <c r="K177" i="5"/>
  <c r="L177" i="5" s="1"/>
  <c r="K195" i="5"/>
  <c r="L195" i="5" s="1"/>
  <c r="K165" i="5"/>
  <c r="L165" i="5" s="1"/>
  <c r="K159" i="5"/>
  <c r="L159" i="5" s="1"/>
  <c r="K183" i="5"/>
  <c r="L183" i="5" s="1"/>
  <c r="K180" i="5"/>
  <c r="L180" i="5" s="1"/>
  <c r="K147" i="5"/>
  <c r="L147" i="5" s="1"/>
  <c r="L149" i="5" s="1"/>
  <c r="G192" i="5"/>
  <c r="H192" i="5" s="1"/>
  <c r="G177" i="5"/>
  <c r="H177" i="5" s="1"/>
  <c r="G195" i="5"/>
  <c r="H195" i="5" s="1"/>
  <c r="G165" i="5"/>
  <c r="H165" i="5" s="1"/>
  <c r="G159" i="5"/>
  <c r="H159" i="5" s="1"/>
  <c r="G147" i="5"/>
  <c r="H147" i="5" s="1"/>
  <c r="G183" i="5"/>
  <c r="H183" i="5" s="1"/>
  <c r="G180" i="5"/>
  <c r="H180" i="5" s="1"/>
  <c r="AB40" i="3"/>
  <c r="AB46" i="3"/>
  <c r="AB42" i="3"/>
  <c r="AB44" i="3"/>
  <c r="AB37" i="3"/>
  <c r="C143" i="8"/>
  <c r="K171" i="8"/>
  <c r="L171" i="8" s="1"/>
  <c r="K153" i="8"/>
  <c r="L153" i="8" s="1"/>
  <c r="E171" i="8"/>
  <c r="F171" i="8" s="1"/>
  <c r="C140" i="8"/>
  <c r="E153" i="8"/>
  <c r="F153" i="8" s="1"/>
  <c r="I97" i="5"/>
  <c r="C100" i="5"/>
  <c r="I99" i="5"/>
  <c r="G101" i="5"/>
  <c r="C98" i="11"/>
  <c r="C105" i="11"/>
  <c r="C99" i="11"/>
  <c r="C116" i="11"/>
  <c r="C133" i="11" s="1"/>
  <c r="C112" i="11"/>
  <c r="C129" i="11" s="1"/>
  <c r="C134" i="11" s="1"/>
  <c r="C101" i="9"/>
  <c r="C98" i="5"/>
  <c r="D96" i="11"/>
  <c r="D99" i="11" s="1"/>
  <c r="D107" i="11"/>
  <c r="AB16" i="3"/>
  <c r="I166" i="11"/>
  <c r="J166" i="11" s="1"/>
  <c r="E166" i="11"/>
  <c r="F166" i="11" s="1"/>
  <c r="G166" i="11"/>
  <c r="H166" i="11" s="1"/>
  <c r="K166" i="11"/>
  <c r="L166" i="11" s="1"/>
  <c r="D166" i="11"/>
  <c r="K181" i="11"/>
  <c r="L181" i="11" s="1"/>
  <c r="G181" i="11"/>
  <c r="H181" i="11" s="1"/>
  <c r="I181" i="11"/>
  <c r="J181" i="11" s="1"/>
  <c r="E181" i="11"/>
  <c r="F181" i="11" s="1"/>
  <c r="D181" i="11"/>
  <c r="I193" i="11"/>
  <c r="J193" i="11" s="1"/>
  <c r="E193" i="11"/>
  <c r="F193" i="11" s="1"/>
  <c r="K193" i="11"/>
  <c r="L193" i="11" s="1"/>
  <c r="G193" i="11"/>
  <c r="H193" i="11" s="1"/>
  <c r="D193" i="11"/>
  <c r="AD49" i="3"/>
  <c r="AD48" i="3"/>
  <c r="I184" i="11"/>
  <c r="J184" i="11" s="1"/>
  <c r="E184" i="11"/>
  <c r="F184" i="11" s="1"/>
  <c r="G184" i="11"/>
  <c r="H184" i="11" s="1"/>
  <c r="K184" i="11"/>
  <c r="L184" i="11" s="1"/>
  <c r="D184" i="11"/>
  <c r="K196" i="11"/>
  <c r="L196" i="11" s="1"/>
  <c r="G196" i="11"/>
  <c r="H196" i="11" s="1"/>
  <c r="I196" i="11"/>
  <c r="J196" i="11" s="1"/>
  <c r="E196" i="11"/>
  <c r="F196" i="11" s="1"/>
  <c r="D196" i="11"/>
  <c r="C95" i="9"/>
  <c r="C98" i="9"/>
  <c r="C99" i="9"/>
  <c r="C104" i="9"/>
  <c r="C103" i="9"/>
  <c r="C108" i="9"/>
  <c r="C104" i="5"/>
  <c r="C111" i="5"/>
  <c r="C105" i="9"/>
  <c r="C113" i="5"/>
  <c r="C130" i="5" s="1"/>
  <c r="C112" i="5"/>
  <c r="C129" i="5" s="1"/>
  <c r="C115" i="5"/>
  <c r="C132" i="5" s="1"/>
  <c r="C137" i="5" s="1"/>
  <c r="I109" i="5"/>
  <c r="G104" i="5"/>
  <c r="C103" i="11"/>
  <c r="C114" i="11" s="1"/>
  <c r="C131" i="11" s="1"/>
  <c r="C136" i="11" s="1"/>
  <c r="C112" i="9"/>
  <c r="C127" i="9" s="1"/>
  <c r="C132" i="9" s="1"/>
  <c r="C111" i="9"/>
  <c r="C126" i="9" s="1"/>
  <c r="C131" i="9" s="1"/>
  <c r="G100" i="5"/>
  <c r="G113" i="5" s="1"/>
  <c r="G130" i="5" s="1"/>
  <c r="G135" i="5" s="1"/>
  <c r="C99" i="5"/>
  <c r="C109" i="5"/>
  <c r="C116" i="5" s="1"/>
  <c r="C133" i="5" s="1"/>
  <c r="C138" i="5" s="1"/>
  <c r="D105" i="11"/>
  <c r="D108" i="11"/>
  <c r="I172" i="11"/>
  <c r="J172" i="11" s="1"/>
  <c r="E172" i="11"/>
  <c r="F172" i="11" s="1"/>
  <c r="D172" i="11"/>
  <c r="K172" i="11"/>
  <c r="L172" i="11" s="1"/>
  <c r="G172" i="11"/>
  <c r="H172" i="11" s="1"/>
  <c r="K178" i="11"/>
  <c r="L178" i="11" s="1"/>
  <c r="G178" i="11"/>
  <c r="H178" i="11" s="1"/>
  <c r="E178" i="11"/>
  <c r="F178" i="11" s="1"/>
  <c r="I178" i="11"/>
  <c r="J178" i="11" s="1"/>
  <c r="D178" i="11"/>
  <c r="AB49" i="3"/>
  <c r="AD41" i="3"/>
  <c r="AD45" i="3"/>
  <c r="AD38" i="3"/>
  <c r="AD43" i="3"/>
  <c r="AD39" i="3"/>
  <c r="AD10" i="3"/>
  <c r="AD16" i="3"/>
  <c r="K154" i="11"/>
  <c r="L154" i="11" s="1"/>
  <c r="G154" i="11"/>
  <c r="H154" i="11" s="1"/>
  <c r="D154" i="11"/>
  <c r="I154" i="11"/>
  <c r="J154" i="11" s="1"/>
  <c r="E154" i="11"/>
  <c r="F154" i="11" s="1"/>
  <c r="AD46" i="3"/>
  <c r="AD42" i="3"/>
  <c r="AD37" i="3"/>
  <c r="AD44" i="3"/>
  <c r="AD40" i="3"/>
  <c r="C103" i="5"/>
  <c r="C114" i="5" s="1"/>
  <c r="C131" i="5" s="1"/>
  <c r="C136" i="5" s="1"/>
  <c r="C94" i="9"/>
  <c r="C109" i="9" s="1"/>
  <c r="C124" i="9" s="1"/>
  <c r="C129" i="9" s="1"/>
  <c r="G103" i="5"/>
  <c r="G114" i="5" s="1"/>
  <c r="G131" i="5" s="1"/>
  <c r="G136" i="5" s="1"/>
  <c r="G105" i="5"/>
  <c r="G110" i="5"/>
  <c r="G97" i="5"/>
  <c r="G112" i="5" s="1"/>
  <c r="G129" i="5" s="1"/>
  <c r="G134" i="5" s="1"/>
  <c r="G106" i="5"/>
  <c r="G115" i="5" s="1"/>
  <c r="G132" i="5" s="1"/>
  <c r="G137" i="5" s="1"/>
  <c r="I96" i="8"/>
  <c r="I111" i="8" s="1"/>
  <c r="I99" i="8"/>
  <c r="I95" i="8"/>
  <c r="C102" i="9"/>
  <c r="D126" i="8"/>
  <c r="D128" i="8" s="1"/>
  <c r="D95" i="8"/>
  <c r="D107" i="8" s="1"/>
  <c r="D96" i="8"/>
  <c r="D106" i="8" s="1"/>
  <c r="D108" i="8"/>
  <c r="D101" i="8"/>
  <c r="I108" i="5"/>
  <c r="C136" i="6"/>
  <c r="AB15" i="3"/>
  <c r="AB11" i="3"/>
  <c r="AB7" i="3"/>
  <c r="AB12" i="3"/>
  <c r="AB8" i="3"/>
  <c r="AB14" i="3"/>
  <c r="AB13" i="3"/>
  <c r="C106" i="11"/>
  <c r="C115" i="11" s="1"/>
  <c r="C132" i="11" s="1"/>
  <c r="C137" i="11" s="1"/>
  <c r="C110" i="11"/>
  <c r="C100" i="11"/>
  <c r="C113" i="11" s="1"/>
  <c r="C130" i="11" s="1"/>
  <c r="C135" i="11" s="1"/>
  <c r="C107" i="11"/>
  <c r="C138" i="11"/>
  <c r="C113" i="9"/>
  <c r="C128" i="9" s="1"/>
  <c r="C133" i="9" s="1"/>
  <c r="C138" i="9" s="1"/>
  <c r="C105" i="5"/>
  <c r="D107" i="5"/>
  <c r="D110" i="5"/>
  <c r="D100" i="5"/>
  <c r="D113" i="5" s="1"/>
  <c r="D130" i="5" s="1"/>
  <c r="D135" i="5" s="1"/>
  <c r="D98" i="5"/>
  <c r="D102" i="11"/>
  <c r="D109" i="11"/>
  <c r="D116" i="11" s="1"/>
  <c r="D133" i="11" s="1"/>
  <c r="D138" i="11" s="1"/>
  <c r="D104" i="11"/>
  <c r="D100" i="11"/>
  <c r="D113" i="11" s="1"/>
  <c r="D130" i="11" s="1"/>
  <c r="D135" i="11" s="1"/>
  <c r="F106" i="11"/>
  <c r="F115" i="11" s="1"/>
  <c r="F132" i="11" s="1"/>
  <c r="F137" i="11" s="1"/>
  <c r="F116" i="11"/>
  <c r="F133" i="11" s="1"/>
  <c r="F138" i="11" s="1"/>
  <c r="F114" i="11"/>
  <c r="F131" i="11" s="1"/>
  <c r="F136" i="11" s="1"/>
  <c r="F113" i="11"/>
  <c r="F130" i="11" s="1"/>
  <c r="F135" i="11" s="1"/>
  <c r="F112" i="11"/>
  <c r="F129" i="11" s="1"/>
  <c r="F134" i="11" s="1"/>
  <c r="C134" i="5"/>
  <c r="C135" i="5"/>
  <c r="I148" i="11"/>
  <c r="J148" i="11" s="1"/>
  <c r="E148" i="11"/>
  <c r="F148" i="11" s="1"/>
  <c r="D148" i="11"/>
  <c r="K148" i="11"/>
  <c r="L148" i="11" s="1"/>
  <c r="G148" i="11"/>
  <c r="H148" i="11" s="1"/>
  <c r="K160" i="11"/>
  <c r="L160" i="11" s="1"/>
  <c r="G160" i="11"/>
  <c r="H160" i="11" s="1"/>
  <c r="I160" i="11"/>
  <c r="J160" i="11" s="1"/>
  <c r="E160" i="11"/>
  <c r="F160" i="11" s="1"/>
  <c r="D160" i="11"/>
  <c r="I190" i="11"/>
  <c r="J190" i="11" s="1"/>
  <c r="J191" i="11" s="1"/>
  <c r="K190" i="11"/>
  <c r="L190" i="11" s="1"/>
  <c r="L191" i="11" s="1"/>
  <c r="G190" i="11"/>
  <c r="H190" i="11" s="1"/>
  <c r="H191" i="11" s="1"/>
  <c r="E190" i="11"/>
  <c r="F190" i="11" s="1"/>
  <c r="F191" i="11" s="1"/>
  <c r="V47" i="3" s="1"/>
  <c r="D190" i="11"/>
  <c r="D191" i="11" s="1"/>
  <c r="D106" i="5"/>
  <c r="D115" i="5" s="1"/>
  <c r="D132" i="5" s="1"/>
  <c r="D137" i="5" s="1"/>
  <c r="I116" i="5" l="1"/>
  <c r="I133" i="5" s="1"/>
  <c r="I138" i="5" s="1"/>
  <c r="I105" i="5"/>
  <c r="I104" i="5"/>
  <c r="I100" i="5"/>
  <c r="I113" i="5" s="1"/>
  <c r="I130" i="5" s="1"/>
  <c r="I135" i="5" s="1"/>
  <c r="I107" i="5"/>
  <c r="I106" i="5"/>
  <c r="I101" i="5"/>
  <c r="I103" i="5"/>
  <c r="I114" i="5" s="1"/>
  <c r="I131" i="5" s="1"/>
  <c r="I136" i="5" s="1"/>
  <c r="I112" i="5"/>
  <c r="I129" i="5" s="1"/>
  <c r="I134" i="5" s="1"/>
  <c r="I115" i="5"/>
  <c r="I132" i="5" s="1"/>
  <c r="I137" i="5" s="1"/>
  <c r="I102" i="5"/>
  <c r="I110" i="5"/>
  <c r="AB18" i="3"/>
  <c r="I98" i="5"/>
  <c r="E171" i="11"/>
  <c r="F171" i="11" s="1"/>
  <c r="F173" i="11" s="1"/>
  <c r="N47" i="3" s="1"/>
  <c r="E153" i="11"/>
  <c r="F153" i="11" s="1"/>
  <c r="F155" i="11" s="1"/>
  <c r="H47" i="3" s="1"/>
  <c r="C140" i="11"/>
  <c r="AC47" i="3" s="1"/>
  <c r="G171" i="11"/>
  <c r="H171" i="11" s="1"/>
  <c r="H173" i="11" s="1"/>
  <c r="C141" i="11"/>
  <c r="G153" i="11"/>
  <c r="H153" i="11" s="1"/>
  <c r="H155" i="11" s="1"/>
  <c r="K153" i="5"/>
  <c r="L153" i="5" s="1"/>
  <c r="K171" i="5"/>
  <c r="L171" i="5" s="1"/>
  <c r="C143" i="5"/>
  <c r="E192" i="11"/>
  <c r="F192" i="11" s="1"/>
  <c r="F194" i="11" s="1"/>
  <c r="X47" i="3" s="1"/>
  <c r="E195" i="11"/>
  <c r="F195" i="11" s="1"/>
  <c r="F197" i="11" s="1"/>
  <c r="Z47" i="3" s="1"/>
  <c r="E147" i="11"/>
  <c r="F147" i="11" s="1"/>
  <c r="F149" i="11" s="1"/>
  <c r="F47" i="3" s="1"/>
  <c r="E177" i="11"/>
  <c r="F177" i="11" s="1"/>
  <c r="F179" i="11" s="1"/>
  <c r="P47" i="3" s="1"/>
  <c r="E180" i="11"/>
  <c r="F180" i="11" s="1"/>
  <c r="F182" i="11" s="1"/>
  <c r="R47" i="3" s="1"/>
  <c r="E159" i="11"/>
  <c r="F159" i="11" s="1"/>
  <c r="F161" i="11" s="1"/>
  <c r="J47" i="3" s="1"/>
  <c r="E183" i="11"/>
  <c r="F183" i="11" s="1"/>
  <c r="F185" i="11" s="1"/>
  <c r="T47" i="3" s="1"/>
  <c r="E165" i="11"/>
  <c r="F165" i="11" s="1"/>
  <c r="F167" i="11" s="1"/>
  <c r="L47" i="3" s="1"/>
  <c r="C134" i="9"/>
  <c r="AB33" i="3"/>
  <c r="AB31" i="3"/>
  <c r="AB23" i="3"/>
  <c r="AB19" i="3"/>
  <c r="AB32" i="3"/>
  <c r="AB24" i="3"/>
  <c r="K192" i="11"/>
  <c r="L192" i="11" s="1"/>
  <c r="L194" i="11" s="1"/>
  <c r="K180" i="11"/>
  <c r="L180" i="11" s="1"/>
  <c r="L182" i="11" s="1"/>
  <c r="K159" i="11"/>
  <c r="L159" i="11" s="1"/>
  <c r="L161" i="11" s="1"/>
  <c r="K195" i="11"/>
  <c r="L195" i="11" s="1"/>
  <c r="L197" i="11" s="1"/>
  <c r="K183" i="11"/>
  <c r="L183" i="11" s="1"/>
  <c r="L185" i="11" s="1"/>
  <c r="K165" i="11"/>
  <c r="L165" i="11" s="1"/>
  <c r="L167" i="11" s="1"/>
  <c r="K177" i="11"/>
  <c r="L177" i="11" s="1"/>
  <c r="L179" i="11" s="1"/>
  <c r="K147" i="11"/>
  <c r="L147" i="11" s="1"/>
  <c r="L149" i="11" s="1"/>
  <c r="I171" i="11"/>
  <c r="J171" i="11" s="1"/>
  <c r="J173" i="11" s="1"/>
  <c r="I153" i="11"/>
  <c r="J153" i="11" s="1"/>
  <c r="J155" i="11" s="1"/>
  <c r="C142" i="11"/>
  <c r="G153" i="5"/>
  <c r="H153" i="5" s="1"/>
  <c r="C141" i="5"/>
  <c r="G171" i="5"/>
  <c r="H171" i="5" s="1"/>
  <c r="C139" i="11"/>
  <c r="C153" i="11"/>
  <c r="D153" i="11" s="1"/>
  <c r="D155" i="11" s="1"/>
  <c r="C171" i="11"/>
  <c r="D171" i="11" s="1"/>
  <c r="D173" i="11" s="1"/>
  <c r="E183" i="5"/>
  <c r="F183" i="5" s="1"/>
  <c r="E165" i="5"/>
  <c r="F165" i="5" s="1"/>
  <c r="E180" i="5"/>
  <c r="F180" i="5" s="1"/>
  <c r="E177" i="5"/>
  <c r="F177" i="5" s="1"/>
  <c r="E147" i="5"/>
  <c r="F147" i="5" s="1"/>
  <c r="E195" i="5"/>
  <c r="F195" i="5" s="1"/>
  <c r="E192" i="5"/>
  <c r="F192" i="5" s="1"/>
  <c r="E159" i="5"/>
  <c r="F159" i="5" s="1"/>
  <c r="I104" i="8"/>
  <c r="I103" i="8"/>
  <c r="I114" i="8" s="1"/>
  <c r="I131" i="8" s="1"/>
  <c r="I136" i="8" s="1"/>
  <c r="V46" i="3"/>
  <c r="V42" i="3"/>
  <c r="V37" i="3"/>
  <c r="V44" i="3"/>
  <c r="V40" i="3"/>
  <c r="V48" i="3"/>
  <c r="V49" i="3"/>
  <c r="C190" i="5"/>
  <c r="C172" i="5"/>
  <c r="D172" i="5" s="1"/>
  <c r="C148" i="5"/>
  <c r="E178" i="5"/>
  <c r="E172" i="5"/>
  <c r="C184" i="5"/>
  <c r="C181" i="5"/>
  <c r="C178" i="5"/>
  <c r="D178" i="5" s="1"/>
  <c r="D179" i="5" s="1"/>
  <c r="E166" i="5"/>
  <c r="C196" i="5"/>
  <c r="C166" i="5"/>
  <c r="D166" i="5" s="1"/>
  <c r="D167" i="5" s="1"/>
  <c r="C193" i="5"/>
  <c r="C160" i="5"/>
  <c r="C154" i="5"/>
  <c r="D98" i="8"/>
  <c r="D111" i="8"/>
  <c r="D105" i="8"/>
  <c r="I110" i="8"/>
  <c r="I102" i="8"/>
  <c r="I97" i="8"/>
  <c r="I101" i="8"/>
  <c r="C137" i="9"/>
  <c r="AD26" i="3" s="1"/>
  <c r="AB26" i="3"/>
  <c r="D102" i="8"/>
  <c r="D100" i="8"/>
  <c r="D113" i="8" s="1"/>
  <c r="D130" i="8" s="1"/>
  <c r="D135" i="8" s="1"/>
  <c r="D104" i="8"/>
  <c r="D99" i="8"/>
  <c r="D115" i="8"/>
  <c r="D132" i="8" s="1"/>
  <c r="D137" i="8" s="1"/>
  <c r="I98" i="8"/>
  <c r="I100" i="8"/>
  <c r="I109" i="8"/>
  <c r="I105" i="8"/>
  <c r="D98" i="11"/>
  <c r="D97" i="11"/>
  <c r="D112" i="11" s="1"/>
  <c r="D129" i="11" s="1"/>
  <c r="D134" i="11" s="1"/>
  <c r="D101" i="11"/>
  <c r="D106" i="11"/>
  <c r="D115" i="11" s="1"/>
  <c r="D132" i="11" s="1"/>
  <c r="D137" i="11" s="1"/>
  <c r="D110" i="11"/>
  <c r="D111" i="11"/>
  <c r="I171" i="5"/>
  <c r="J171" i="5" s="1"/>
  <c r="I153" i="5"/>
  <c r="J153" i="5" s="1"/>
  <c r="C142" i="5"/>
  <c r="AC34" i="3"/>
  <c r="AC30" i="3"/>
  <c r="AC22" i="3"/>
  <c r="AC35" i="3"/>
  <c r="AC27" i="3"/>
  <c r="AC25" i="3"/>
  <c r="AC20" i="3"/>
  <c r="AC28" i="3"/>
  <c r="AC21" i="3"/>
  <c r="AC29" i="3"/>
  <c r="V45" i="3"/>
  <c r="V41" i="3"/>
  <c r="V38" i="3"/>
  <c r="V43" i="3"/>
  <c r="V39" i="3"/>
  <c r="C153" i="5"/>
  <c r="D153" i="5" s="1"/>
  <c r="C139" i="5"/>
  <c r="C171" i="5"/>
  <c r="D171" i="5" s="1"/>
  <c r="C143" i="11"/>
  <c r="K153" i="11"/>
  <c r="L153" i="11" s="1"/>
  <c r="L155" i="11" s="1"/>
  <c r="K171" i="11"/>
  <c r="L171" i="11" s="1"/>
  <c r="L173" i="11" s="1"/>
  <c r="AD13" i="3"/>
  <c r="AD14" i="3"/>
  <c r="AD11" i="3"/>
  <c r="AD15" i="3"/>
  <c r="AD12" i="3"/>
  <c r="AD8" i="3"/>
  <c r="AD7" i="3"/>
  <c r="I183" i="5"/>
  <c r="J183" i="5" s="1"/>
  <c r="I165" i="5"/>
  <c r="J165" i="5" s="1"/>
  <c r="I180" i="5"/>
  <c r="J180" i="5" s="1"/>
  <c r="I177" i="5"/>
  <c r="J177" i="5" s="1"/>
  <c r="I195" i="5"/>
  <c r="J195" i="5" s="1"/>
  <c r="I192" i="5"/>
  <c r="J192" i="5" s="1"/>
  <c r="I147" i="5"/>
  <c r="J147" i="5" s="1"/>
  <c r="I159" i="5"/>
  <c r="J159" i="5" s="1"/>
  <c r="C140" i="5"/>
  <c r="E171" i="5"/>
  <c r="F171" i="5" s="1"/>
  <c r="E153" i="5"/>
  <c r="F153" i="5" s="1"/>
  <c r="D97" i="8"/>
  <c r="D112" i="8" s="1"/>
  <c r="D129" i="8" s="1"/>
  <c r="D134" i="8" s="1"/>
  <c r="D110" i="8"/>
  <c r="D109" i="8"/>
  <c r="D116" i="8" s="1"/>
  <c r="D133" i="8" s="1"/>
  <c r="D138" i="8" s="1"/>
  <c r="D103" i="8"/>
  <c r="D114" i="8" s="1"/>
  <c r="D131" i="8" s="1"/>
  <c r="D136" i="8" s="1"/>
  <c r="I112" i="8"/>
  <c r="I129" i="8" s="1"/>
  <c r="I134" i="8" s="1"/>
  <c r="I116" i="8"/>
  <c r="I133" i="8" s="1"/>
  <c r="I138" i="8" s="1"/>
  <c r="I113" i="8"/>
  <c r="I130" i="8" s="1"/>
  <c r="I135" i="8" s="1"/>
  <c r="I107" i="8"/>
  <c r="I106" i="8"/>
  <c r="I115" i="8" s="1"/>
  <c r="I132" i="8" s="1"/>
  <c r="I137" i="8" s="1"/>
  <c r="I108" i="8"/>
  <c r="AB29" i="3"/>
  <c r="AB25" i="3"/>
  <c r="AB21" i="3"/>
  <c r="AB34" i="3"/>
  <c r="AB30" i="3"/>
  <c r="AB22" i="3"/>
  <c r="C136" i="9"/>
  <c r="AB35" i="3"/>
  <c r="AB27" i="3"/>
  <c r="AB20" i="3"/>
  <c r="AB28" i="3"/>
  <c r="D103" i="11"/>
  <c r="D114" i="11" s="1"/>
  <c r="D131" i="11" s="1"/>
  <c r="D136" i="11" s="1"/>
  <c r="AD17" i="3"/>
  <c r="AD9" i="3"/>
  <c r="AD6" i="3"/>
  <c r="AC31" i="3"/>
  <c r="AC23" i="3"/>
  <c r="AC33" i="3"/>
  <c r="AC19" i="3"/>
  <c r="AC32" i="3"/>
  <c r="AC24" i="3"/>
  <c r="AD18" i="3" l="1"/>
  <c r="D173" i="5"/>
  <c r="G195" i="8"/>
  <c r="H195" i="8" s="1"/>
  <c r="G180" i="8"/>
  <c r="H180" i="8" s="1"/>
  <c r="G159" i="8"/>
  <c r="H159" i="8" s="1"/>
  <c r="G192" i="8"/>
  <c r="H192" i="8" s="1"/>
  <c r="G177" i="8"/>
  <c r="H177" i="8" s="1"/>
  <c r="G183" i="8"/>
  <c r="H183" i="8" s="1"/>
  <c r="G147" i="8"/>
  <c r="H147" i="8" s="1"/>
  <c r="G165" i="8"/>
  <c r="H165" i="8" s="1"/>
  <c r="C195" i="8"/>
  <c r="D195" i="8" s="1"/>
  <c r="C180" i="8"/>
  <c r="D180" i="8" s="1"/>
  <c r="C159" i="8"/>
  <c r="D159" i="8" s="1"/>
  <c r="C183" i="8"/>
  <c r="D183" i="8" s="1"/>
  <c r="C147" i="8"/>
  <c r="D147" i="8" s="1"/>
  <c r="C192" i="8"/>
  <c r="D192" i="8" s="1"/>
  <c r="C165" i="8"/>
  <c r="D165" i="8" s="1"/>
  <c r="C177" i="8"/>
  <c r="D177" i="8" s="1"/>
  <c r="E147" i="8"/>
  <c r="F147" i="8" s="1"/>
  <c r="E165" i="8"/>
  <c r="F165" i="8" s="1"/>
  <c r="E177" i="8"/>
  <c r="F177" i="8" s="1"/>
  <c r="E183" i="8"/>
  <c r="F183" i="8" s="1"/>
  <c r="E180" i="8"/>
  <c r="F180" i="8" s="1"/>
  <c r="E195" i="8"/>
  <c r="F195" i="8" s="1"/>
  <c r="E159" i="8"/>
  <c r="F159" i="8" s="1"/>
  <c r="E192" i="8"/>
  <c r="F192" i="8" s="1"/>
  <c r="K195" i="8"/>
  <c r="L195" i="8" s="1"/>
  <c r="K180" i="8"/>
  <c r="L180" i="8" s="1"/>
  <c r="K159" i="8"/>
  <c r="L159" i="8" s="1"/>
  <c r="K165" i="8"/>
  <c r="L165" i="8" s="1"/>
  <c r="K147" i="8"/>
  <c r="L147" i="8" s="1"/>
  <c r="K192" i="8"/>
  <c r="L192" i="8" s="1"/>
  <c r="K183" i="8"/>
  <c r="L183" i="8" s="1"/>
  <c r="K177" i="8"/>
  <c r="L177" i="8" s="1"/>
  <c r="I147" i="8"/>
  <c r="J147" i="8" s="1"/>
  <c r="I183" i="8"/>
  <c r="J183" i="8" s="1"/>
  <c r="I180" i="8"/>
  <c r="J180" i="8" s="1"/>
  <c r="I177" i="8"/>
  <c r="J177" i="8" s="1"/>
  <c r="I192" i="8"/>
  <c r="J192" i="8" s="1"/>
  <c r="I195" i="8"/>
  <c r="J195" i="8" s="1"/>
  <c r="I159" i="8"/>
  <c r="J159" i="8" s="1"/>
  <c r="I165" i="8"/>
  <c r="J165" i="8" s="1"/>
  <c r="G192" i="11"/>
  <c r="H192" i="11" s="1"/>
  <c r="H194" i="11" s="1"/>
  <c r="G180" i="11"/>
  <c r="H180" i="11" s="1"/>
  <c r="H182" i="11" s="1"/>
  <c r="G159" i="11"/>
  <c r="H159" i="11" s="1"/>
  <c r="H161" i="11" s="1"/>
  <c r="G183" i="11"/>
  <c r="H183" i="11" s="1"/>
  <c r="H185" i="11" s="1"/>
  <c r="G165" i="11"/>
  <c r="H165" i="11" s="1"/>
  <c r="H167" i="11" s="1"/>
  <c r="G147" i="11"/>
  <c r="H147" i="11" s="1"/>
  <c r="H149" i="11" s="1"/>
  <c r="G177" i="11"/>
  <c r="H177" i="11" s="1"/>
  <c r="H179" i="11" s="1"/>
  <c r="G195" i="11"/>
  <c r="H195" i="11" s="1"/>
  <c r="H197" i="11" s="1"/>
  <c r="K172" i="5"/>
  <c r="L172" i="5" s="1"/>
  <c r="L173" i="5" s="1"/>
  <c r="G172" i="5"/>
  <c r="H172" i="5" s="1"/>
  <c r="H173" i="5" s="1"/>
  <c r="I172" i="5"/>
  <c r="J172" i="5" s="1"/>
  <c r="J173" i="5" s="1"/>
  <c r="F172" i="5"/>
  <c r="F173" i="5" s="1"/>
  <c r="AC16" i="3"/>
  <c r="AC10" i="3"/>
  <c r="C192" i="11"/>
  <c r="D192" i="11" s="1"/>
  <c r="D194" i="11" s="1"/>
  <c r="C180" i="11"/>
  <c r="D180" i="11" s="1"/>
  <c r="D182" i="11" s="1"/>
  <c r="C159" i="11"/>
  <c r="D159" i="11" s="1"/>
  <c r="D161" i="11" s="1"/>
  <c r="C183" i="11"/>
  <c r="D183" i="11" s="1"/>
  <c r="D185" i="11" s="1"/>
  <c r="C165" i="11"/>
  <c r="D165" i="11" s="1"/>
  <c r="D167" i="11" s="1"/>
  <c r="C177" i="11"/>
  <c r="D177" i="11" s="1"/>
  <c r="D179" i="11" s="1"/>
  <c r="C195" i="11"/>
  <c r="D195" i="11" s="1"/>
  <c r="D197" i="11" s="1"/>
  <c r="C147" i="11"/>
  <c r="D147" i="11" s="1"/>
  <c r="D149" i="11" s="1"/>
  <c r="D154" i="5"/>
  <c r="D155" i="5" s="1"/>
  <c r="G154" i="5"/>
  <c r="H154" i="5" s="1"/>
  <c r="K154" i="5"/>
  <c r="L154" i="5" s="1"/>
  <c r="I154" i="5"/>
  <c r="J154" i="5" s="1"/>
  <c r="J155" i="5" s="1"/>
  <c r="E154" i="5"/>
  <c r="F154" i="5" s="1"/>
  <c r="I196" i="5"/>
  <c r="J196" i="5" s="1"/>
  <c r="J197" i="5" s="1"/>
  <c r="E196" i="5"/>
  <c r="F196" i="5" s="1"/>
  <c r="F197" i="5" s="1"/>
  <c r="G196" i="5"/>
  <c r="H196" i="5" s="1"/>
  <c r="H197" i="5" s="1"/>
  <c r="K196" i="5"/>
  <c r="L196" i="5" s="1"/>
  <c r="L197" i="5" s="1"/>
  <c r="D196" i="5"/>
  <c r="D197" i="5" s="1"/>
  <c r="I184" i="5"/>
  <c r="J184" i="5" s="1"/>
  <c r="J185" i="5" s="1"/>
  <c r="K184" i="5"/>
  <c r="L184" i="5" s="1"/>
  <c r="L185" i="5" s="1"/>
  <c r="G184" i="5"/>
  <c r="H184" i="5" s="1"/>
  <c r="H185" i="5" s="1"/>
  <c r="E184" i="5"/>
  <c r="F184" i="5" s="1"/>
  <c r="D184" i="5"/>
  <c r="D185" i="5" s="1"/>
  <c r="H46" i="3"/>
  <c r="H44" i="3"/>
  <c r="H40" i="3"/>
  <c r="H42" i="3"/>
  <c r="H37" i="3"/>
  <c r="H155" i="5"/>
  <c r="AA47" i="3"/>
  <c r="N45" i="3"/>
  <c r="N41" i="3"/>
  <c r="N38" i="3"/>
  <c r="N43" i="3"/>
  <c r="N39" i="3"/>
  <c r="AC44" i="3"/>
  <c r="AC40" i="3"/>
  <c r="AC46" i="3"/>
  <c r="AC42" i="3"/>
  <c r="AC37" i="3"/>
  <c r="L155" i="5"/>
  <c r="C193" i="8"/>
  <c r="C178" i="8"/>
  <c r="C154" i="8"/>
  <c r="C190" i="8"/>
  <c r="C184" i="8"/>
  <c r="C181" i="8"/>
  <c r="C148" i="8"/>
  <c r="C172" i="8"/>
  <c r="C160" i="8"/>
  <c r="C196" i="8"/>
  <c r="C166" i="8"/>
  <c r="F155" i="5"/>
  <c r="L16" i="3"/>
  <c r="L10" i="3"/>
  <c r="I192" i="11"/>
  <c r="J192" i="11" s="1"/>
  <c r="J194" i="11" s="1"/>
  <c r="I195" i="11"/>
  <c r="J195" i="11" s="1"/>
  <c r="J197" i="11" s="1"/>
  <c r="I147" i="11"/>
  <c r="J147" i="11" s="1"/>
  <c r="J149" i="11" s="1"/>
  <c r="I177" i="11"/>
  <c r="J177" i="11" s="1"/>
  <c r="J179" i="11" s="1"/>
  <c r="I180" i="11"/>
  <c r="J180" i="11" s="1"/>
  <c r="J182" i="11" s="1"/>
  <c r="I165" i="11"/>
  <c r="J165" i="11" s="1"/>
  <c r="J167" i="11" s="1"/>
  <c r="I159" i="11"/>
  <c r="J159" i="11" s="1"/>
  <c r="J161" i="11" s="1"/>
  <c r="I183" i="11"/>
  <c r="J183" i="11" s="1"/>
  <c r="J185" i="11" s="1"/>
  <c r="G193" i="5"/>
  <c r="H193" i="5" s="1"/>
  <c r="H194" i="5" s="1"/>
  <c r="K193" i="5"/>
  <c r="L193" i="5" s="1"/>
  <c r="L194" i="5" s="1"/>
  <c r="I193" i="5"/>
  <c r="J193" i="5" s="1"/>
  <c r="J194" i="5" s="1"/>
  <c r="E193" i="5"/>
  <c r="F193" i="5" s="1"/>
  <c r="F194" i="5" s="1"/>
  <c r="D193" i="5"/>
  <c r="D194" i="5" s="1"/>
  <c r="I178" i="5"/>
  <c r="J178" i="5" s="1"/>
  <c r="J179" i="5" s="1"/>
  <c r="K178" i="5"/>
  <c r="L178" i="5" s="1"/>
  <c r="L179" i="5" s="1"/>
  <c r="G178" i="5"/>
  <c r="H178" i="5" s="1"/>
  <c r="H179" i="5" s="1"/>
  <c r="F178" i="5"/>
  <c r="F179" i="5" s="1"/>
  <c r="F185" i="5"/>
  <c r="H48" i="3"/>
  <c r="H49" i="3"/>
  <c r="AD31" i="3"/>
  <c r="AD23" i="3"/>
  <c r="AD32" i="3"/>
  <c r="AD24" i="3"/>
  <c r="AD19" i="3"/>
  <c r="AD33" i="3"/>
  <c r="H43" i="3"/>
  <c r="H39" i="3"/>
  <c r="H38" i="3"/>
  <c r="H45" i="3"/>
  <c r="H41" i="3"/>
  <c r="P16" i="3"/>
  <c r="P10" i="3"/>
  <c r="AC17" i="3"/>
  <c r="AC9" i="3"/>
  <c r="AC6" i="3"/>
  <c r="I160" i="5"/>
  <c r="J160" i="5" s="1"/>
  <c r="J161" i="5" s="1"/>
  <c r="E160" i="5"/>
  <c r="F160" i="5" s="1"/>
  <c r="F161" i="5" s="1"/>
  <c r="G160" i="5"/>
  <c r="H160" i="5" s="1"/>
  <c r="H161" i="5" s="1"/>
  <c r="K160" i="5"/>
  <c r="L160" i="5" s="1"/>
  <c r="L161" i="5" s="1"/>
  <c r="D160" i="5"/>
  <c r="D161" i="5" s="1"/>
  <c r="G166" i="5"/>
  <c r="H166" i="5" s="1"/>
  <c r="H167" i="5" s="1"/>
  <c r="K166" i="5"/>
  <c r="L166" i="5" s="1"/>
  <c r="L167" i="5" s="1"/>
  <c r="I166" i="5"/>
  <c r="J166" i="5" s="1"/>
  <c r="J167" i="5" s="1"/>
  <c r="F166" i="5"/>
  <c r="F167" i="5" s="1"/>
  <c r="K190" i="5"/>
  <c r="L190" i="5" s="1"/>
  <c r="L191" i="5" s="1"/>
  <c r="G190" i="5"/>
  <c r="H190" i="5" s="1"/>
  <c r="H191" i="5" s="1"/>
  <c r="I190" i="5"/>
  <c r="J190" i="5" s="1"/>
  <c r="J191" i="5" s="1"/>
  <c r="E190" i="5"/>
  <c r="F190" i="5" s="1"/>
  <c r="F191" i="5" s="1"/>
  <c r="D190" i="5"/>
  <c r="D191" i="5" s="1"/>
  <c r="AC49" i="3"/>
  <c r="AC48" i="3"/>
  <c r="AD35" i="3"/>
  <c r="AD27" i="3"/>
  <c r="AD28" i="3"/>
  <c r="AD20" i="3"/>
  <c r="AD21" i="3"/>
  <c r="AD30" i="3"/>
  <c r="AD29" i="3"/>
  <c r="AD34" i="3"/>
  <c r="AD25" i="3"/>
  <c r="AD22" i="3"/>
  <c r="N10" i="3"/>
  <c r="N16" i="3"/>
  <c r="I181" i="5"/>
  <c r="J181" i="5" s="1"/>
  <c r="J182" i="5" s="1"/>
  <c r="E181" i="5"/>
  <c r="F181" i="5" s="1"/>
  <c r="F182" i="5" s="1"/>
  <c r="G181" i="5"/>
  <c r="H181" i="5" s="1"/>
  <c r="H182" i="5" s="1"/>
  <c r="K181" i="5"/>
  <c r="L181" i="5" s="1"/>
  <c r="L182" i="5" s="1"/>
  <c r="D181" i="5"/>
  <c r="D182" i="5" s="1"/>
  <c r="G148" i="5"/>
  <c r="H148" i="5" s="1"/>
  <c r="H149" i="5" s="1"/>
  <c r="E148" i="5"/>
  <c r="F148" i="5" s="1"/>
  <c r="F149" i="5" s="1"/>
  <c r="I148" i="5"/>
  <c r="J148" i="5" s="1"/>
  <c r="J149" i="5" s="1"/>
  <c r="D148" i="5"/>
  <c r="D149" i="5" s="1"/>
  <c r="N46" i="3"/>
  <c r="N42" i="3"/>
  <c r="N37" i="3"/>
  <c r="N44" i="3"/>
  <c r="N40" i="3"/>
  <c r="AC12" i="3"/>
  <c r="AC8" i="3"/>
  <c r="AC13" i="3"/>
  <c r="AC14" i="3"/>
  <c r="AC7" i="3"/>
  <c r="AC11" i="3"/>
  <c r="AC15" i="3"/>
  <c r="N49" i="3"/>
  <c r="N48" i="3"/>
  <c r="AC45" i="3"/>
  <c r="AC41" i="3"/>
  <c r="AC38" i="3"/>
  <c r="AC43" i="3"/>
  <c r="AC39" i="3"/>
  <c r="AC18" i="3" l="1"/>
  <c r="F17" i="3"/>
  <c r="F9" i="3"/>
  <c r="F6" i="3"/>
  <c r="H6" i="3"/>
  <c r="H9" i="3"/>
  <c r="H17" i="3"/>
  <c r="T6" i="3"/>
  <c r="T17" i="3"/>
  <c r="T9" i="3"/>
  <c r="J17" i="3"/>
  <c r="J9" i="3"/>
  <c r="J6" i="3"/>
  <c r="P6" i="3"/>
  <c r="P17" i="3"/>
  <c r="P9" i="3"/>
  <c r="X6" i="3"/>
  <c r="X17" i="3"/>
  <c r="X9" i="3"/>
  <c r="R17" i="3"/>
  <c r="R9" i="3"/>
  <c r="R6" i="3"/>
  <c r="L6" i="3"/>
  <c r="L9" i="3"/>
  <c r="L17" i="3"/>
  <c r="H16" i="3"/>
  <c r="H10" i="3"/>
  <c r="R13" i="3"/>
  <c r="R14" i="3"/>
  <c r="R11" i="3"/>
  <c r="R15" i="3"/>
  <c r="R12" i="3"/>
  <c r="R8" i="3"/>
  <c r="R7" i="3"/>
  <c r="V17" i="3"/>
  <c r="V9" i="3"/>
  <c r="V6" i="3"/>
  <c r="J48" i="3"/>
  <c r="J49" i="3"/>
  <c r="K172" i="8"/>
  <c r="L172" i="8" s="1"/>
  <c r="L173" i="8" s="1"/>
  <c r="E172" i="8"/>
  <c r="F172" i="8" s="1"/>
  <c r="F173" i="8" s="1"/>
  <c r="I172" i="8"/>
  <c r="J172" i="8" s="1"/>
  <c r="J173" i="8" s="1"/>
  <c r="N26" i="3" s="1"/>
  <c r="G172" i="8"/>
  <c r="H172" i="8" s="1"/>
  <c r="H173" i="8" s="1"/>
  <c r="D172" i="8"/>
  <c r="D173" i="8" s="1"/>
  <c r="T46" i="3"/>
  <c r="T44" i="3"/>
  <c r="T40" i="3"/>
  <c r="T42" i="3"/>
  <c r="T37" i="3"/>
  <c r="N17" i="3"/>
  <c r="N9" i="3"/>
  <c r="N6" i="3"/>
  <c r="J10" i="3"/>
  <c r="J16" i="3"/>
  <c r="N13" i="3"/>
  <c r="N14" i="3"/>
  <c r="N15" i="3"/>
  <c r="N12" i="3"/>
  <c r="N8" i="3"/>
  <c r="N7" i="3"/>
  <c r="N11" i="3"/>
  <c r="P15" i="3"/>
  <c r="P11" i="3"/>
  <c r="P7" i="3"/>
  <c r="P12" i="3"/>
  <c r="P8" i="3"/>
  <c r="P13" i="3"/>
  <c r="P14" i="3"/>
  <c r="T48" i="3"/>
  <c r="T49" i="3"/>
  <c r="P48" i="3"/>
  <c r="P49" i="3"/>
  <c r="K160" i="8"/>
  <c r="L160" i="8" s="1"/>
  <c r="L161" i="8" s="1"/>
  <c r="G160" i="8"/>
  <c r="H160" i="8" s="1"/>
  <c r="E160" i="8"/>
  <c r="F160" i="8" s="1"/>
  <c r="F161" i="8" s="1"/>
  <c r="I160" i="8"/>
  <c r="J160" i="8" s="1"/>
  <c r="D160" i="8"/>
  <c r="D161" i="8" s="1"/>
  <c r="I184" i="8"/>
  <c r="J184" i="8" s="1"/>
  <c r="E184" i="8"/>
  <c r="F184" i="8" s="1"/>
  <c r="K184" i="8"/>
  <c r="L184" i="8" s="1"/>
  <c r="G184" i="8"/>
  <c r="H184" i="8" s="1"/>
  <c r="D184" i="8"/>
  <c r="K193" i="8"/>
  <c r="L193" i="8" s="1"/>
  <c r="G193" i="8"/>
  <c r="H193" i="8" s="1"/>
  <c r="H194" i="8" s="1"/>
  <c r="E193" i="8"/>
  <c r="F193" i="8" s="1"/>
  <c r="F194" i="8" s="1"/>
  <c r="I193" i="8"/>
  <c r="J193" i="8" s="1"/>
  <c r="D193" i="8"/>
  <c r="T15" i="3"/>
  <c r="T11" i="3"/>
  <c r="T7" i="3"/>
  <c r="T12" i="3"/>
  <c r="T8" i="3"/>
  <c r="T13" i="3"/>
  <c r="T14" i="3"/>
  <c r="L44" i="3"/>
  <c r="L40" i="3"/>
  <c r="L46" i="3"/>
  <c r="L42" i="3"/>
  <c r="L37" i="3"/>
  <c r="X46" i="3"/>
  <c r="X44" i="3"/>
  <c r="X40" i="3"/>
  <c r="X42" i="3"/>
  <c r="X37" i="3"/>
  <c r="Z17" i="3"/>
  <c r="Z9" i="3"/>
  <c r="Z6" i="3"/>
  <c r="Z45" i="3"/>
  <c r="Z41" i="3"/>
  <c r="Z38" i="3"/>
  <c r="Z43" i="3"/>
  <c r="Z39" i="3"/>
  <c r="T43" i="3"/>
  <c r="T39" i="3"/>
  <c r="T38" i="3"/>
  <c r="T45" i="3"/>
  <c r="T41" i="3"/>
  <c r="L167" i="8"/>
  <c r="F185" i="8"/>
  <c r="D185" i="8"/>
  <c r="F46" i="3"/>
  <c r="F42" i="3"/>
  <c r="F37" i="3"/>
  <c r="F44" i="3"/>
  <c r="F40" i="3"/>
  <c r="J45" i="3"/>
  <c r="J41" i="3"/>
  <c r="J38" i="3"/>
  <c r="J43" i="3"/>
  <c r="J39" i="3"/>
  <c r="F13" i="3"/>
  <c r="F14" i="3"/>
  <c r="F8" i="3"/>
  <c r="F7" i="3"/>
  <c r="F15" i="3"/>
  <c r="F11" i="3"/>
  <c r="F12" i="3"/>
  <c r="V13" i="3"/>
  <c r="V14" i="3"/>
  <c r="V8" i="3"/>
  <c r="V7" i="3"/>
  <c r="V11" i="3"/>
  <c r="V15" i="3"/>
  <c r="V12" i="3"/>
  <c r="J13" i="3"/>
  <c r="J14" i="3"/>
  <c r="J8" i="3"/>
  <c r="J7" i="3"/>
  <c r="J11" i="3"/>
  <c r="J15" i="3"/>
  <c r="J12" i="3"/>
  <c r="L48" i="3"/>
  <c r="L49" i="3"/>
  <c r="Z48" i="3"/>
  <c r="Z49" i="3"/>
  <c r="I166" i="8"/>
  <c r="J166" i="8" s="1"/>
  <c r="J167" i="8" s="1"/>
  <c r="L26" i="3" s="1"/>
  <c r="E166" i="8"/>
  <c r="F166" i="8" s="1"/>
  <c r="K166" i="8"/>
  <c r="L166" i="8" s="1"/>
  <c r="G166" i="8"/>
  <c r="H166" i="8" s="1"/>
  <c r="H167" i="8" s="1"/>
  <c r="D166" i="8"/>
  <c r="G148" i="8"/>
  <c r="H148" i="8" s="1"/>
  <c r="H149" i="8" s="1"/>
  <c r="E148" i="8"/>
  <c r="F148" i="8" s="1"/>
  <c r="K148" i="8"/>
  <c r="L148" i="8" s="1"/>
  <c r="D148" i="8"/>
  <c r="D149" i="8" s="1"/>
  <c r="I148" i="8"/>
  <c r="J148" i="8" s="1"/>
  <c r="K154" i="8"/>
  <c r="L154" i="8" s="1"/>
  <c r="L155" i="8" s="1"/>
  <c r="G154" i="8"/>
  <c r="H154" i="8" s="1"/>
  <c r="H155" i="8" s="1"/>
  <c r="E154" i="8"/>
  <c r="F154" i="8" s="1"/>
  <c r="F155" i="8" s="1"/>
  <c r="D154" i="8"/>
  <c r="D155" i="8" s="1"/>
  <c r="I154" i="8"/>
  <c r="J154" i="8" s="1"/>
  <c r="J155" i="8" s="1"/>
  <c r="H26" i="3" s="1"/>
  <c r="H15" i="3"/>
  <c r="H11" i="3"/>
  <c r="H7" i="3"/>
  <c r="H12" i="3"/>
  <c r="H8" i="3"/>
  <c r="H13" i="3"/>
  <c r="H14" i="3"/>
  <c r="T16" i="3"/>
  <c r="T10" i="3"/>
  <c r="Z46" i="3"/>
  <c r="Z42" i="3"/>
  <c r="Z37" i="3"/>
  <c r="Z44" i="3"/>
  <c r="Z40" i="3"/>
  <c r="J46" i="3"/>
  <c r="J42" i="3"/>
  <c r="J37" i="3"/>
  <c r="J44" i="3"/>
  <c r="J40" i="3"/>
  <c r="F45" i="3"/>
  <c r="F41" i="3"/>
  <c r="F38" i="3"/>
  <c r="F43" i="3"/>
  <c r="F39" i="3"/>
  <c r="R45" i="3"/>
  <c r="R41" i="3"/>
  <c r="R38" i="3"/>
  <c r="R43" i="3"/>
  <c r="R39" i="3"/>
  <c r="J197" i="8"/>
  <c r="Z26" i="3" s="1"/>
  <c r="J185" i="8"/>
  <c r="T26" i="3" s="1"/>
  <c r="L194" i="8"/>
  <c r="L182" i="8"/>
  <c r="F197" i="8"/>
  <c r="F167" i="8"/>
  <c r="D194" i="8"/>
  <c r="H185" i="8"/>
  <c r="F48" i="3"/>
  <c r="F49" i="3"/>
  <c r="G190" i="8"/>
  <c r="H190" i="8" s="1"/>
  <c r="H191" i="8" s="1"/>
  <c r="E190" i="8"/>
  <c r="F190" i="8" s="1"/>
  <c r="F191" i="8" s="1"/>
  <c r="K190" i="8"/>
  <c r="L190" i="8" s="1"/>
  <c r="L191" i="8" s="1"/>
  <c r="I190" i="8"/>
  <c r="J190" i="8" s="1"/>
  <c r="J191" i="8" s="1"/>
  <c r="V26" i="3" s="1"/>
  <c r="D190" i="8"/>
  <c r="D191" i="8" s="1"/>
  <c r="Z13" i="3"/>
  <c r="Z14" i="3"/>
  <c r="Z12" i="3"/>
  <c r="Z8" i="3"/>
  <c r="Z7" i="3"/>
  <c r="Z11" i="3"/>
  <c r="Z15" i="3"/>
  <c r="P43" i="3"/>
  <c r="P39" i="3"/>
  <c r="P45" i="3"/>
  <c r="P41" i="3"/>
  <c r="P38" i="3"/>
  <c r="J161" i="8"/>
  <c r="J26" i="3" s="1"/>
  <c r="L185" i="8"/>
  <c r="D167" i="8"/>
  <c r="H161" i="8"/>
  <c r="F10" i="3"/>
  <c r="F16" i="3"/>
  <c r="R10" i="3"/>
  <c r="R16" i="3"/>
  <c r="V10" i="3"/>
  <c r="V16" i="3"/>
  <c r="L15" i="3"/>
  <c r="L11" i="3"/>
  <c r="L7" i="3"/>
  <c r="L12" i="3"/>
  <c r="L8" i="3"/>
  <c r="L14" i="3"/>
  <c r="L13" i="3"/>
  <c r="X16" i="3"/>
  <c r="X10" i="3"/>
  <c r="X15" i="3"/>
  <c r="X11" i="3"/>
  <c r="X7" i="3"/>
  <c r="X12" i="3"/>
  <c r="X8" i="3"/>
  <c r="X13" i="3"/>
  <c r="X14" i="3"/>
  <c r="R49" i="3"/>
  <c r="R48" i="3"/>
  <c r="X48" i="3"/>
  <c r="X49" i="3"/>
  <c r="K196" i="8"/>
  <c r="L196" i="8" s="1"/>
  <c r="G196" i="8"/>
  <c r="H196" i="8" s="1"/>
  <c r="H197" i="8" s="1"/>
  <c r="E196" i="8"/>
  <c r="F196" i="8" s="1"/>
  <c r="I196" i="8"/>
  <c r="J196" i="8" s="1"/>
  <c r="D196" i="8"/>
  <c r="I181" i="8"/>
  <c r="J181" i="8" s="1"/>
  <c r="J182" i="8" s="1"/>
  <c r="R26" i="3" s="1"/>
  <c r="K181" i="8"/>
  <c r="L181" i="8" s="1"/>
  <c r="E181" i="8"/>
  <c r="F181" i="8" s="1"/>
  <c r="F182" i="8" s="1"/>
  <c r="G181" i="8"/>
  <c r="H181" i="8" s="1"/>
  <c r="H182" i="8" s="1"/>
  <c r="D181" i="8"/>
  <c r="D182" i="8" s="1"/>
  <c r="K178" i="8"/>
  <c r="L178" i="8" s="1"/>
  <c r="L179" i="8" s="1"/>
  <c r="G178" i="8"/>
  <c r="H178" i="8" s="1"/>
  <c r="H179" i="8" s="1"/>
  <c r="I178" i="8"/>
  <c r="J178" i="8" s="1"/>
  <c r="J179" i="8" s="1"/>
  <c r="P26" i="3" s="1"/>
  <c r="E178" i="8"/>
  <c r="F178" i="8" s="1"/>
  <c r="F179" i="8" s="1"/>
  <c r="D178" i="8"/>
  <c r="D179" i="8" s="1"/>
  <c r="Z10" i="3"/>
  <c r="Z16" i="3"/>
  <c r="P44" i="3"/>
  <c r="P40" i="3"/>
  <c r="P46" i="3"/>
  <c r="P42" i="3"/>
  <c r="P37" i="3"/>
  <c r="R46" i="3"/>
  <c r="R42" i="3"/>
  <c r="R37" i="3"/>
  <c r="R44" i="3"/>
  <c r="R40" i="3"/>
  <c r="L43" i="3"/>
  <c r="L39" i="3"/>
  <c r="L41" i="3"/>
  <c r="L38" i="3"/>
  <c r="L45" i="3"/>
  <c r="X43" i="3"/>
  <c r="X39" i="3"/>
  <c r="X38" i="3"/>
  <c r="X45" i="3"/>
  <c r="X41" i="3"/>
  <c r="J194" i="8"/>
  <c r="X26" i="3" s="1"/>
  <c r="J149" i="8"/>
  <c r="F26" i="3" s="1"/>
  <c r="L149" i="8"/>
  <c r="L197" i="8"/>
  <c r="F149" i="8"/>
  <c r="D197" i="8"/>
  <c r="AA14" i="3" l="1"/>
  <c r="AA6" i="3"/>
  <c r="P29" i="3"/>
  <c r="P25" i="3"/>
  <c r="P21" i="3"/>
  <c r="P34" i="3"/>
  <c r="P30" i="3"/>
  <c r="P22" i="3"/>
  <c r="P35" i="3"/>
  <c r="P27" i="3"/>
  <c r="P20" i="3"/>
  <c r="P28" i="3"/>
  <c r="R35" i="3"/>
  <c r="R27" i="3"/>
  <c r="R28" i="3"/>
  <c r="R20" i="3"/>
  <c r="R21" i="3"/>
  <c r="R30" i="3"/>
  <c r="R29" i="3"/>
  <c r="R22" i="3"/>
  <c r="R34" i="3"/>
  <c r="R25" i="3"/>
  <c r="F35" i="3"/>
  <c r="F27" i="3"/>
  <c r="F28" i="3"/>
  <c r="AA28" i="3" s="1"/>
  <c r="F20" i="3"/>
  <c r="F34" i="3"/>
  <c r="F21" i="3"/>
  <c r="F30" i="3"/>
  <c r="F29" i="3"/>
  <c r="F25" i="3"/>
  <c r="F22" i="3"/>
  <c r="J31" i="3"/>
  <c r="J23" i="3"/>
  <c r="J32" i="3"/>
  <c r="J24" i="3"/>
  <c r="J19" i="3"/>
  <c r="J33" i="3"/>
  <c r="P33" i="3"/>
  <c r="P31" i="3"/>
  <c r="P19" i="3"/>
  <c r="P23" i="3"/>
  <c r="P32" i="3"/>
  <c r="P24" i="3"/>
  <c r="L29" i="3"/>
  <c r="L25" i="3"/>
  <c r="L21" i="3"/>
  <c r="L34" i="3"/>
  <c r="L30" i="3"/>
  <c r="L22" i="3"/>
  <c r="L35" i="3"/>
  <c r="L27" i="3"/>
  <c r="L20" i="3"/>
  <c r="L28" i="3"/>
  <c r="F31" i="3"/>
  <c r="F23" i="3"/>
  <c r="F32" i="3"/>
  <c r="F24" i="3"/>
  <c r="F19" i="3"/>
  <c r="F33" i="3"/>
  <c r="X29" i="3"/>
  <c r="X25" i="3"/>
  <c r="X21" i="3"/>
  <c r="X34" i="3"/>
  <c r="X30" i="3"/>
  <c r="X22" i="3"/>
  <c r="X28" i="3"/>
  <c r="X35" i="3"/>
  <c r="X27" i="3"/>
  <c r="X20" i="3"/>
  <c r="R31" i="3"/>
  <c r="R23" i="3"/>
  <c r="R32" i="3"/>
  <c r="R24" i="3"/>
  <c r="R19" i="3"/>
  <c r="R33" i="3"/>
  <c r="Z35" i="3"/>
  <c r="Z27" i="3"/>
  <c r="Z28" i="3"/>
  <c r="Z20" i="3"/>
  <c r="Z19" i="3"/>
  <c r="Z30" i="3"/>
  <c r="Z29" i="3"/>
  <c r="Z34" i="3"/>
  <c r="Z25" i="3"/>
  <c r="Z22" i="3"/>
  <c r="Z21" i="3"/>
  <c r="L33" i="3"/>
  <c r="L31" i="3"/>
  <c r="L19" i="3"/>
  <c r="L23" i="3"/>
  <c r="L32" i="3"/>
  <c r="L24" i="3"/>
  <c r="V31" i="3"/>
  <c r="V23" i="3"/>
  <c r="V32" i="3"/>
  <c r="V24" i="3"/>
  <c r="V19" i="3"/>
  <c r="V33" i="3"/>
  <c r="AA11" i="3"/>
  <c r="T33" i="3"/>
  <c r="T32" i="3"/>
  <c r="T24" i="3"/>
  <c r="T31" i="3"/>
  <c r="T19" i="3"/>
  <c r="T23" i="3"/>
  <c r="N31" i="3"/>
  <c r="N23" i="3"/>
  <c r="N32" i="3"/>
  <c r="N24" i="3"/>
  <c r="N19" i="3"/>
  <c r="N33" i="3"/>
  <c r="J35" i="3"/>
  <c r="J27" i="3"/>
  <c r="J28" i="3"/>
  <c r="J20" i="3"/>
  <c r="J30" i="3"/>
  <c r="J29" i="3"/>
  <c r="J22" i="3"/>
  <c r="J34" i="3"/>
  <c r="J25" i="3"/>
  <c r="J21" i="3"/>
  <c r="AA43" i="3"/>
  <c r="H33" i="3"/>
  <c r="H23" i="3"/>
  <c r="H32" i="3"/>
  <c r="H24" i="3"/>
  <c r="H31" i="3"/>
  <c r="H19" i="3"/>
  <c r="AA12" i="3"/>
  <c r="AA8" i="3"/>
  <c r="AA37" i="3"/>
  <c r="V35" i="3"/>
  <c r="V27" i="3"/>
  <c r="V28" i="3"/>
  <c r="V20" i="3"/>
  <c r="V34" i="3"/>
  <c r="V25" i="3"/>
  <c r="V21" i="3"/>
  <c r="V30" i="3"/>
  <c r="V29" i="3"/>
  <c r="V22" i="3"/>
  <c r="AA16" i="3"/>
  <c r="AA49" i="3"/>
  <c r="AA41" i="3"/>
  <c r="H29" i="3"/>
  <c r="H25" i="3"/>
  <c r="H21" i="3"/>
  <c r="H34" i="3"/>
  <c r="H30" i="3"/>
  <c r="H22" i="3"/>
  <c r="H28" i="3"/>
  <c r="H35" i="3"/>
  <c r="H27" i="3"/>
  <c r="H20" i="3"/>
  <c r="AA15" i="3"/>
  <c r="AA13" i="3"/>
  <c r="AA40" i="3"/>
  <c r="AA46" i="3"/>
  <c r="N35" i="3"/>
  <c r="N27" i="3"/>
  <c r="N28" i="3"/>
  <c r="N20" i="3"/>
  <c r="N21" i="3"/>
  <c r="N30" i="3"/>
  <c r="N29" i="3"/>
  <c r="N22" i="3"/>
  <c r="N34" i="3"/>
  <c r="N25" i="3"/>
  <c r="AA9" i="3"/>
  <c r="Z31" i="3"/>
  <c r="Z23" i="3"/>
  <c r="Z32" i="3"/>
  <c r="Z24" i="3"/>
  <c r="Z33" i="3"/>
  <c r="T29" i="3"/>
  <c r="T25" i="3"/>
  <c r="T21" i="3"/>
  <c r="T34" i="3"/>
  <c r="T30" i="3"/>
  <c r="T22" i="3"/>
  <c r="T28" i="3"/>
  <c r="T35" i="3"/>
  <c r="T27" i="3"/>
  <c r="T20" i="3"/>
  <c r="AA38" i="3"/>
  <c r="AA42" i="3"/>
  <c r="AA26" i="3"/>
  <c r="AA10" i="3"/>
  <c r="AA48" i="3"/>
  <c r="X33" i="3"/>
  <c r="X23" i="3"/>
  <c r="X32" i="3"/>
  <c r="X24" i="3"/>
  <c r="X31" i="3"/>
  <c r="X19" i="3"/>
  <c r="AA39" i="3"/>
  <c r="AA45" i="3"/>
  <c r="AA7" i="3"/>
  <c r="AA44" i="3"/>
  <c r="AA17" i="3"/>
  <c r="AA50" i="3" l="1"/>
  <c r="AA18" i="3"/>
  <c r="AA24" i="3"/>
  <c r="AA29" i="3"/>
  <c r="AA20" i="3"/>
  <c r="AA30" i="3"/>
  <c r="AA33" i="3"/>
  <c r="AA23" i="3"/>
  <c r="AA22" i="3"/>
  <c r="AA21" i="3"/>
  <c r="AA27" i="3"/>
  <c r="AA32" i="3"/>
  <c r="AA19" i="3"/>
  <c r="AA31" i="3"/>
  <c r="AA25" i="3"/>
  <c r="AA34" i="3"/>
  <c r="AA35" i="3"/>
  <c r="AE54" i="3" l="1"/>
  <c r="AE55" i="3" s="1"/>
</calcChain>
</file>

<file path=xl/sharedStrings.xml><?xml version="1.0" encoding="utf-8"?>
<sst xmlns="http://schemas.openxmlformats.org/spreadsheetml/2006/main" count="2930" uniqueCount="640">
  <si>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</si>
  <si>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</si>
  <si>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</si>
  <si>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</si>
  <si>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</si>
  <si>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</si>
  <si>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</si>
  <si>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</si>
  <si>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</si>
  <si>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RS005021/2021</t>
  </si>
  <si>
    <t>5143-20</t>
  </si>
  <si>
    <t>RS000043/2022</t>
  </si>
  <si>
    <t>Carga horária semanal</t>
  </si>
  <si>
    <t>Salário Base (Cl. 3ª)</t>
  </si>
  <si>
    <t>Encarregado acima de 20 empregados (Caderno Técnico)</t>
  </si>
  <si>
    <t>Limpador Alpinista (vidros e fachadas de risco) (Cl. 4ª)</t>
  </si>
  <si>
    <t>CAX/IJU</t>
  </si>
  <si>
    <t>PSF</t>
  </si>
  <si>
    <t>Valor da diária do carregador</t>
  </si>
  <si>
    <t>Valor baseado em Pesquisa de Preços anexa ao Processo</t>
  </si>
  <si>
    <t>módulo 2</t>
  </si>
  <si>
    <t>Módulo 2.3</t>
  </si>
  <si>
    <t>Valor CCT</t>
  </si>
  <si>
    <t>custo empregado</t>
  </si>
  <si>
    <t>custo da empresa</t>
  </si>
  <si>
    <t>Auxílio alimentação 44h  ( Cl.18ª)</t>
  </si>
  <si>
    <t>Auxílio alimentação 30h/20h  ( Cl.18ª)</t>
  </si>
  <si>
    <t>Auxílio transporte  ( Cl.20ª)</t>
  </si>
  <si>
    <t>Prêmio Assiduidade  ( Cl.)</t>
  </si>
  <si>
    <t>Assistência ao Trabalhador  ( Cl.)</t>
  </si>
  <si>
    <t>Ajuda de Custo  limpeza de vidros e fachadas de risco</t>
  </si>
  <si>
    <t>Benefício assistência médica</t>
  </si>
  <si>
    <t>Benefício social familiar  ( Cl.29ª)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</si>
  <si>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</si>
  <si>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</si>
  <si>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</si>
  <si>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</si>
  <si>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</si>
  <si>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</si>
  <si>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</si>
  <si>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</si>
  <si>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</si>
  <si>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</si>
  <si>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</si>
  <si>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</si>
  <si>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</si>
  <si>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</si>
  <si>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</si>
  <si>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</si>
  <si>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</si>
  <si>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</si>
  <si>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</si>
  <si>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– Rio Grande do Sul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</si>
  <si>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</si>
  <si>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</si>
  <si>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</si>
  <si>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</si>
  <si>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</si>
  <si>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</si>
  <si>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</si>
  <si>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</si>
  <si>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</si>
  <si>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>*Expectativa anual de nascimento de filhos dos trabalhadores (IBGE – Manual de Preenchimento da Planilha de Custos):</t>
  </si>
  <si>
    <t>**Percentual de Homens: Limpeza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</si>
  <si>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</si>
  <si>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</si>
  <si>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</si>
  <si>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</si>
  <si>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</si>
  <si>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</si>
  <si>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>*Percentual de Mulheres Limpeza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</si>
  <si>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</si>
  <si>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</si>
  <si>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</si>
  <si>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</si>
  <si>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</si>
  <si>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Caxias do Sul</t>
  </si>
  <si>
    <t>ISS</t>
  </si>
  <si>
    <t>VT</t>
  </si>
  <si>
    <t>Serventes</t>
  </si>
  <si>
    <t>VT*Servente</t>
  </si>
  <si>
    <t>Unidade Orgânica GEX Ijuí</t>
  </si>
  <si>
    <t>GERÊNCIA EXECUTIVA CAXIAS DO SUL</t>
  </si>
  <si>
    <t>GERÊNCIA EXECUTIVA IJUÍ</t>
  </si>
  <si>
    <t>APS BENTO GONÇALVES</t>
  </si>
  <si>
    <t>APS AADJ e PFE</t>
  </si>
  <si>
    <t>APS CANELA</t>
  </si>
  <si>
    <t>APS CERRO LARGO</t>
  </si>
  <si>
    <t>-</t>
  </si>
  <si>
    <t>APS CAXIAS DO SUL</t>
  </si>
  <si>
    <t>APS CRUZ ALTA</t>
  </si>
  <si>
    <t>APS FARROUPILHA</t>
  </si>
  <si>
    <t>APS FREDERICO WESTPHALEN</t>
  </si>
  <si>
    <t>APS GARIBALDI</t>
  </si>
  <si>
    <t>APS IJUÍ</t>
  </si>
  <si>
    <t>APS VACARIA</t>
  </si>
  <si>
    <t>APS PALMEIRA DAS MISSÕES</t>
  </si>
  <si>
    <t>APS VERANÓPOLIS</t>
  </si>
  <si>
    <t>APS PANAMBI</t>
  </si>
  <si>
    <t>APS NOVA PRATA</t>
  </si>
  <si>
    <t>APS SANTA ROSA</t>
  </si>
  <si>
    <t>APS CARLOS BARBOSA</t>
  </si>
  <si>
    <t>APS SANTO ÂNGELO</t>
  </si>
  <si>
    <t>APS FLORES DA CUNHA</t>
  </si>
  <si>
    <t>APS SÃO LUIZ GONZAGA</t>
  </si>
  <si>
    <t>CEDOCPREV CAXIAS</t>
  </si>
  <si>
    <t>APS TRÊS DE MAIO</t>
  </si>
  <si>
    <t>Média Simples VT</t>
  </si>
  <si>
    <t>APS TRÊS PASSOS</t>
  </si>
  <si>
    <t>Média Ponderada VT</t>
  </si>
  <si>
    <t>APS GIRUÁ</t>
  </si>
  <si>
    <t>APS HORIZONTINA</t>
  </si>
  <si>
    <t>APS IBIRUBÁ</t>
  </si>
  <si>
    <t>Unidade Orgânica GEX Passo Fundo</t>
  </si>
  <si>
    <t>APS PORTO LUCENA</t>
  </si>
  <si>
    <t>GEX PASSO FUNDO</t>
  </si>
  <si>
    <t>APS CARAZINHO</t>
  </si>
  <si>
    <t>APS ERECHIM</t>
  </si>
  <si>
    <t>APS GUAPORÉ</t>
  </si>
  <si>
    <t>APS LAGOA VERMELHA</t>
  </si>
  <si>
    <t>APS PASSO FUNDO</t>
  </si>
  <si>
    <t>APS SOLEDADE/RS</t>
  </si>
  <si>
    <t>APS CASCA</t>
  </si>
  <si>
    <t>APS GETÚLIO VARGAS</t>
  </si>
  <si>
    <t>APS MARAU/RS</t>
  </si>
  <si>
    <t>APS SERAFINA CORREA</t>
  </si>
  <si>
    <t>APS ESPUMOSO</t>
  </si>
  <si>
    <t>APS SARANDI/RS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</si>
  <si>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</si>
  <si>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</si>
  <si>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</si>
  <si>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</si>
  <si>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</si>
  <si>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</si>
  <si>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</si>
  <si>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</si>
  <si>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</si>
  <si>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</si>
  <si>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</si>
  <si>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</si>
  <si>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</si>
  <si>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</si>
  <si>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</si>
  <si>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</si>
  <si>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</si>
  <si>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</si>
  <si>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</si>
  <si>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</si>
  <si>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</si>
  <si>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</si>
  <si>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</si>
  <si>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</si>
  <si>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</si>
  <si>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</si>
  <si>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</si>
  <si>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</si>
  <si>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</si>
  <si>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</si>
  <si>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</si>
  <si>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</si>
  <si>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</si>
  <si>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</si>
  <si>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</si>
  <si>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</si>
  <si>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</si>
  <si>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</si>
  <si>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</si>
  <si>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</si>
  <si>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</si>
  <si>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</si>
  <si>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</si>
  <si>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</si>
  <si>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</si>
  <si>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</si>
  <si>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</si>
  <si>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</si>
  <si>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</si>
  <si>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</si>
  <si>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</si>
  <si>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</si>
  <si>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</si>
  <si>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</si>
  <si>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</si>
  <si>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</si>
  <si>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</si>
  <si>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</si>
  <si>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</si>
  <si>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</si>
  <si>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</si>
  <si>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</si>
  <si>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</si>
  <si>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</si>
  <si>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</si>
  <si>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</si>
  <si>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</si>
  <si>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</si>
  <si>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</si>
  <si>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</si>
  <si>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</si>
  <si>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</si>
  <si>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</si>
  <si>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</si>
  <si>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</si>
  <si>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</si>
  <si>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</si>
  <si>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</si>
  <si>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</si>
  <si>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CUSTO MATERIAIS MENSAL POR SERVENTE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</si>
  <si>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</si>
  <si>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</si>
  <si>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</si>
  <si>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</si>
  <si>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</si>
  <si>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</si>
  <si>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</si>
  <si>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</si>
  <si>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</si>
  <si>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</si>
  <si>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</si>
  <si>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</si>
  <si>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</si>
  <si>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</si>
  <si>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</si>
  <si>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</si>
  <si>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</si>
  <si>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</si>
  <si>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</si>
  <si>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</si>
  <si>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</si>
  <si>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</si>
  <si>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</si>
  <si>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</si>
  <si>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</si>
  <si>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</si>
  <si>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</si>
  <si>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</si>
  <si>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</si>
  <si>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</si>
  <si>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</si>
  <si>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</si>
  <si>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</si>
  <si>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</si>
  <si>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</si>
  <si>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</si>
  <si>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</si>
  <si>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</si>
  <si>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</si>
  <si>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</si>
  <si>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</si>
  <si>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</si>
  <si>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</si>
  <si>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</si>
  <si>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</si>
  <si>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</si>
  <si>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</si>
  <si>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</si>
  <si>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</si>
  <si>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</t>
  </si>
  <si>
    <t>X. Diversos</t>
  </si>
  <si>
    <t>EQUIPAMENTOS</t>
  </si>
  <si>
    <t>QUANTIDADE DEFINIDA (1 por Unidade) GEXCAX</t>
  </si>
  <si>
    <t>QUANTIDADE DEFINIDA (1 por Unidade) GEXIJU</t>
  </si>
  <si>
    <t>QUANTIDADE DEFINIDA (1 por Unidade) GEXPSF</t>
  </si>
  <si>
    <t>CUSTO MENSAL EQUIPAMENTOS (R$) - GEXCAX</t>
  </si>
  <si>
    <t>CUSTO MENSAL EQUIPAMENTOS (R$) - GEXIJU</t>
  </si>
  <si>
    <t>CUSTO MENSAL EQUIPAMENTOS (R$) - GEXPSF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</si>
  <si>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</si>
  <si>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</si>
  <si>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</si>
  <si>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</si>
  <si>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</si>
  <si>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</si>
  <si>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>Lavadora de alta pressão mínimo 1.500 LB</t>
  </si>
  <si>
    <t>Mangueira de jardim 20m, c/ esguicho/engate</t>
  </si>
  <si>
    <t>Placa sinalizadora (Piso Molhado - 2 por APS)</t>
  </si>
  <si>
    <t>Rastelo de Jardim (somente APS com áreas verdes)</t>
  </si>
  <si>
    <t>TOTAL GERAL (60 MESES)</t>
  </si>
  <si>
    <t>TOTAL ANUAL DE EQUIPAMENTOS  - Depreciação Anual conforme tabela da RFB - 10%</t>
  </si>
  <si>
    <t>VALOR POR SERVENTE</t>
  </si>
  <si>
    <t>UNIFORMES</t>
  </si>
  <si>
    <t>QUANTIDADE DEFINIDA (anual) – GEXCAX</t>
  </si>
  <si>
    <t>QUANTIDADE DEFINIDA (anual) – GEXIJU</t>
  </si>
  <si>
    <t>QUANTIDADE DEFINIDA (anual) – GEXPSF</t>
  </si>
  <si>
    <t>PREÇO MÉDIO – PAINEL DE PREÇOS</t>
  </si>
  <si>
    <t>PEÇO MÉDIO - INTERNET</t>
  </si>
  <si>
    <t>CUSTO MÉDIO</t>
  </si>
  <si>
    <t>CUSTO MENSAL UNIFORMES – GEXCAX</t>
  </si>
  <si>
    <t>CUSTO MENSAL UNIFORMES – GEXIJU</t>
  </si>
  <si>
    <t>CUSTO MENSAL UNIFORMES – GEXPSF</t>
  </si>
  <si>
    <t>SERVENTES</t>
  </si>
  <si>
    <t>Bata (avental)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</si>
  <si>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</si>
  <si>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</si>
  <si>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</si>
  <si>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</si>
  <si>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</si>
  <si>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</si>
  <si>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>Calça Social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</si>
  <si>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</si>
  <si>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</si>
  <si>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</si>
  <si>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</si>
  <si>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</si>
  <si>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</si>
  <si>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</si>
  <si>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</si>
  <si>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</si>
  <si>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</si>
  <si>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</si>
  <si>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</si>
  <si>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</si>
  <si>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</si>
  <si>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</si>
  <si>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</si>
  <si>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</si>
  <si>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</si>
  <si>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</si>
  <si>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</si>
  <si>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</si>
  <si>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</si>
  <si>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</si>
  <si>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</si>
  <si>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</si>
  <si>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</si>
  <si>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</si>
  <si>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</si>
  <si>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</si>
  <si>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</si>
  <si>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</si>
  <si>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</si>
  <si>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</si>
  <si>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</si>
  <si>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</si>
  <si>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</si>
  <si>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</si>
  <si>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</si>
  <si>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</si>
  <si>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</si>
  <si>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31</t>
  </si>
  <si>
    <t>ITEM 32</t>
  </si>
  <si>
    <t>ITEM 33</t>
  </si>
  <si>
    <t>ITEM 34</t>
  </si>
  <si>
    <t>ITEM 35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</si>
  <si>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</si>
  <si>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</si>
  <si>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</si>
  <si>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AI-1b:</t>
    </r>
    <r>
      <rPr>
        <sz val="9"/>
        <color rgb="FF000000"/>
        <rFont val="Calibri"/>
        <family val="2"/>
        <charset val="1"/>
      </rPr>
      <t xml:space="preserve"> 
Pisos frios
(incluindo banheiros)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</si>
  <si>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</si>
  <si>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</si>
  <si>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</si>
  <si>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</si>
  <si>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</si>
  <si>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</si>
  <si>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</si>
  <si>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</si>
  <si>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</si>
  <si>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</si>
  <si>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</si>
  <si>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</si>
  <si>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</si>
  <si>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
Diárias carregadores</t>
  </si>
  <si>
    <t>Área</t>
  </si>
  <si>
    <t>Preço m²</t>
  </si>
  <si>
    <t>R$</t>
  </si>
  <si>
    <t>Rua Visconde de Pelotas, 2280</t>
  </si>
  <si>
    <t>CAXIAS DO SUL/RS</t>
  </si>
  <si>
    <t>Rua Julio de Castilhos,291</t>
  </si>
  <si>
    <t>BENTO GONÇALVES/RS</t>
  </si>
  <si>
    <t>Rua Dona Carlinda, 810</t>
  </si>
  <si>
    <t>CANELA/RS</t>
  </si>
  <si>
    <t>Rua Coronel Pena de Moraes, 59</t>
  </si>
  <si>
    <t>FARROUPILHA/RS</t>
  </si>
  <si>
    <t>Rua João Missiagia, 159</t>
  </si>
  <si>
    <t>GARIBALDI/RS</t>
  </si>
  <si>
    <t>Rua Marechal Floriano, 250</t>
  </si>
  <si>
    <t>VACARIA/RS</t>
  </si>
  <si>
    <t>Rua Gal. Flores da Cunha, 454</t>
  </si>
  <si>
    <t>VERANÓPOLIS/RS</t>
  </si>
  <si>
    <t>Rua Placidina de Araújo, 742</t>
  </si>
  <si>
    <t>NOVA PRATA/RS</t>
  </si>
  <si>
    <t>Rua Ubaldo Baldasso, 268</t>
  </si>
  <si>
    <t>CARLOS BARBOSA/RS</t>
  </si>
  <si>
    <t>Rua Borges de Medeiros, 2110</t>
  </si>
  <si>
    <t>FLORES DA CUNHA/RS</t>
  </si>
  <si>
    <t>Av. da Vindima, nº 165</t>
  </si>
  <si>
    <t>GEX IJUÍ</t>
  </si>
  <si>
    <t>Rua Vinte de Setembro, 275, Ijuí/RS</t>
  </si>
  <si>
    <t>IJUÍ/RS</t>
  </si>
  <si>
    <t>Rua dos Andradas, 730, 2º andar</t>
  </si>
  <si>
    <t>SANTO ÂNGELO/RS</t>
  </si>
  <si>
    <t>Rua Sete de Setembro, s/nº</t>
  </si>
  <si>
    <t>CERRO LARGO/RS</t>
  </si>
  <si>
    <t>Rua Benjamin Constant, 556</t>
  </si>
  <si>
    <t>CRUZ ALTA/RS</t>
  </si>
  <si>
    <t>Rua Luiz Milani, 254</t>
  </si>
  <si>
    <t>FREDERICO WESTPHALEN/RS</t>
  </si>
  <si>
    <t>Rua Benjamin Constant, 566</t>
  </si>
  <si>
    <t>Rua Borges de Medeiros, 17</t>
  </si>
  <si>
    <t>PALMEIRA DAS MISSÕES/RS</t>
  </si>
  <si>
    <t>Rua Bento Gonçalves, 192</t>
  </si>
  <si>
    <t>PANAMBI/RS</t>
  </si>
  <si>
    <t>Rua João Dahne, 197</t>
  </si>
  <si>
    <t>SANTA ROSA/RS</t>
  </si>
  <si>
    <t>Rua dos Andradas, 730</t>
  </si>
  <si>
    <t>Rua Dr. Bento Soeiro de Souza, 2373</t>
  </si>
  <si>
    <t>SÃO LUIZ GONZAGA/RS</t>
  </si>
  <si>
    <t>Av. Santa Rosa, 1381</t>
  </si>
  <si>
    <t>TRÊS DE MAIO/RS</t>
  </si>
  <si>
    <t>Rua General Osório, 250</t>
  </si>
  <si>
    <t>TRÊS PASSOS/RS</t>
  </si>
  <si>
    <t>Rua Sete de Setembro, 37</t>
  </si>
  <si>
    <t>GIRUÁ/RS</t>
  </si>
  <si>
    <t>Rua São Cristóvão, 1386</t>
  </si>
  <si>
    <t>HORIZONTINA/RS</t>
  </si>
  <si>
    <t>Rua Mauá, 1486</t>
  </si>
  <si>
    <t>IBIRUBÁ/RS</t>
  </si>
  <si>
    <t>Rua João Bordin, 497</t>
  </si>
  <si>
    <t>PORTO LUCENA/RS</t>
  </si>
  <si>
    <t>Rua General Osório, 1244</t>
  </si>
  <si>
    <t>PASSO FUNDO/RS</t>
  </si>
  <si>
    <t>Av. Pátria, 525</t>
  </si>
  <si>
    <t>CARAZINHO/RS</t>
  </si>
  <si>
    <t>Av. Tiradentes, 401</t>
  </si>
  <si>
    <t>ERECHIM/RS</t>
  </si>
  <si>
    <t>Rua Cel. Agilberto Maia, 715</t>
  </si>
  <si>
    <t>GUAPORÉ/RS</t>
  </si>
  <si>
    <t>Rua Bento Gonçalves, 304</t>
  </si>
  <si>
    <t>LAGOA VERMELHA/RS</t>
  </si>
  <si>
    <t>Av. Maurício Cardoso, 1224</t>
  </si>
  <si>
    <t>SOLEDADE/RS</t>
  </si>
  <si>
    <t>Rua Gal. Pinheiro Machado, 20</t>
  </si>
  <si>
    <t>CASCA/RS</t>
  </si>
  <si>
    <t>Rua Irmão Gabriel Leão, 78</t>
  </si>
  <si>
    <t>GETÚLIO VARGAS/RS</t>
  </si>
  <si>
    <t>Rua Irineu Ferlin, 30</t>
  </si>
  <si>
    <t>MARAU/RS</t>
  </si>
  <si>
    <t>Rua Costa e Silva, 703</t>
  </si>
  <si>
    <t>SERAFINA CORREA/RS</t>
  </si>
  <si>
    <t>Ru Vasco da Gama, 259</t>
  </si>
  <si>
    <t>ESPUMOSO/RS</t>
  </si>
  <si>
    <t>Av. Sete de Setembro, 2111</t>
  </si>
  <si>
    <t>SARANDI/RS</t>
  </si>
  <si>
    <t>TOTAL GERAL</t>
  </si>
  <si>
    <t>Total A23:Q59Mensais GEX Curitiba</t>
  </si>
  <si>
    <t>Área útil total</t>
  </si>
  <si>
    <t>AI-4: 
Banheiros</t>
  </si>
  <si>
    <r>
      <rPr>
        <b/>
        <sz val="9"/>
        <color rgb="FF000000"/>
        <rFont val="Calibri"/>
        <family val="2"/>
        <charset val="1"/>
      </rPr>
      <t xml:space="preserve">AE-2:
</t>
    </r>
    <r>
      <rPr>
        <sz val="9"/>
        <color rgb="FF000000"/>
        <rFont val="Calibri"/>
        <family val="2"/>
        <charset val="1"/>
      </rPr>
      <t>coleta de detritos em pátios e áreas verdes com frequência diária</t>
    </r>
  </si>
  <si>
    <t>Serventes por Unidade (Calculada)</t>
  </si>
  <si>
    <t>Qtde de serventes ajustada LIMPEZA ORDINÁRIA e carga horária</t>
  </si>
  <si>
    <t>Qtde Ajustada Qtde postos COVID e Carga horária servente</t>
  </si>
  <si>
    <t>Qtde horas eventuais Limpeza Ordinária/Mês</t>
  </si>
  <si>
    <t>Qtde horas eventuais COVID/Mês</t>
  </si>
  <si>
    <t>Qtde Diárias carregadores/Mês</t>
  </si>
  <si>
    <t>Qtde postos e Carga horária ENCARREGADA</t>
  </si>
  <si>
    <t>40h (40%)</t>
  </si>
  <si>
    <t>40h (20%)</t>
  </si>
  <si>
    <t>30h (40%)</t>
  </si>
  <si>
    <t>30h (20%)</t>
  </si>
  <si>
    <t>40h</t>
  </si>
  <si>
    <t>30h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</si>
  <si>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</si>
  <si>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</si>
  <si>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</si>
  <si>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</si>
  <si>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</si>
  <si>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</si>
  <si>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</si>
  <si>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</si>
  <si>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</si>
  <si>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</si>
  <si>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</si>
  <si>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</si>
  <si>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</si>
  <si>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</si>
  <si>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</si>
  <si>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</si>
  <si>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</si>
  <si>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</si>
  <si>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</si>
  <si>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</si>
  <si>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</si>
  <si>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</si>
  <si>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</si>
  <si>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</si>
  <si>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</si>
  <si>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20h</t>
  </si>
  <si>
    <t>Limpador alpinista 44h</t>
  </si>
  <si>
    <t>Encarregado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</si>
  <si>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</si>
  <si>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</si>
  <si>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</si>
  <si>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</si>
  <si>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</si>
  <si>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</si>
  <si>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>Servente 40h (banheirista)
(insalubridade 40%)</t>
  </si>
  <si>
    <t>Servente 40h
(insalubridade 20%)</t>
  </si>
  <si>
    <t>Servente 30h (banheirista)
(insalubridade 40%)</t>
  </si>
  <si>
    <t>Servente 30h
(insalubridade 20%)</t>
  </si>
  <si>
    <t>Servente 20h
(insalubridade 20%)</t>
  </si>
  <si>
    <t>Limpador alpinista 44h (limpeza de esquadrias com risco)</t>
  </si>
  <si>
    <t>Encarregada 40h</t>
  </si>
  <si>
    <t>MÓDULO 1: COMPOSIÇÃO DA REMUNERAÇÃO</t>
  </si>
  <si>
    <t>1 - Composição da Remuneração</t>
  </si>
  <si>
    <t>Percentuais</t>
  </si>
  <si>
    <t>Valor (R$)</t>
  </si>
  <si>
    <t>A - Salário Base</t>
  </si>
  <si>
    <t>B - Adicional de Insalubridade</t>
  </si>
  <si>
    <t>40% / 20%</t>
  </si>
  <si>
    <t>D - Adicional Noturno</t>
  </si>
  <si>
    <t>E - Adicional de Hora Noturna Reduzida</t>
  </si>
  <si>
    <t>F - Adicional de Hora Extra no Feriado Trabalhado</t>
  </si>
  <si>
    <t>E - Outros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</si>
  <si>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</si>
  <si>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</si>
  <si>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</si>
  <si>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</si>
  <si>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</si>
  <si>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</si>
  <si>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</si>
  <si>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</si>
  <si>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</si>
  <si>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</si>
  <si>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</si>
  <si>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</si>
  <si>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</si>
  <si>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</si>
  <si>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</si>
  <si>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</si>
  <si>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</si>
  <si>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</si>
  <si>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(COM DESCONTO DE 19%)</t>
  </si>
  <si>
    <t>C - Ajuda de custo (equipes limpeza vidros)</t>
  </si>
  <si>
    <t>D - Assistência Médica</t>
  </si>
  <si>
    <t>E - Benefício Social Familiar (Cláusula 29ª)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</si>
  <si>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</si>
  <si>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</si>
  <si>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</si>
  <si>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</si>
  <si>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</si>
  <si>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</si>
  <si>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</si>
  <si>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</si>
  <si>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</si>
  <si>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</si>
  <si>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</si>
  <si>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</si>
  <si>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</si>
  <si>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</si>
  <si>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</si>
  <si>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</si>
  <si>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</si>
  <si>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</si>
  <si>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</si>
  <si>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</si>
  <si>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</si>
  <si>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</si>
  <si>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Valores/Percentuais</t>
  </si>
  <si>
    <t>A - Uniformes</t>
  </si>
  <si>
    <t>B - Materiais e utensílios</t>
  </si>
  <si>
    <t>C - Equipamentos</t>
  </si>
  <si>
    <t>D - EPIs</t>
  </si>
  <si>
    <t>E - Esquadrias de risco - Materiais/ Equipamentos/EPIs (conforme MPOG)</t>
  </si>
  <si>
    <t>F -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</si>
  <si>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</si>
  <si>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</si>
  <si>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</si>
  <si>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</si>
  <si>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</si>
  <si>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</si>
  <si>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</si>
  <si>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</si>
  <si>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</si>
  <si>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</si>
  <si>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</si>
  <si>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</si>
  <si>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</si>
  <si>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</si>
  <si>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</si>
  <si>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</si>
  <si>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</si>
  <si>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</si>
  <si>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</si>
  <si>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</si>
  <si>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</si>
  <si>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</si>
  <si>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</si>
  <si>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</si>
  <si>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</si>
  <si>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</si>
  <si>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</si>
  <si>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</si>
  <si>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</si>
  <si>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</si>
  <si>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</si>
  <si>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</si>
  <si>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</si>
  <si>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</si>
  <si>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</si>
  <si>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</si>
  <si>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</si>
  <si>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</si>
  <si>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</si>
  <si>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</si>
  <si>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</si>
  <si>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</si>
  <si>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</si>
  <si>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</si>
  <si>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</si>
  <si>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</si>
  <si>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</si>
  <si>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Valor limite MPOG 2019</t>
  </si>
  <si>
    <t>https://www.gov.br/compras/pt-br/agente-publico/cadernos-tecnicos-e-valores-limites/cadernos-tecnicos-e-valores-limites-2019</t>
  </si>
  <si>
    <t>Subtotal 20%</t>
  </si>
  <si>
    <t>AI-1b Área Interna pisos frios (incluindo limpeza de banheiros públicos e/ou de grande circulação)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</si>
  <si>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</si>
  <si>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</si>
  <si>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</si>
  <si>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</si>
  <si>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</si>
  <si>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</si>
  <si>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</si>
  <si>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</si>
  <si>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</si>
  <si>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</si>
  <si>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</si>
  <si>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</si>
  <si>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</si>
  <si>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</si>
  <si>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</si>
  <si>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</si>
  <si>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</si>
  <si>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</si>
  <si>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</si>
  <si>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40h
COVID</t>
  </si>
  <si>
    <t>Servente 30h
COVID</t>
  </si>
  <si>
    <t>Servente 20h
COVID</t>
  </si>
  <si>
    <t>D - Assistência Médica (Cláusula 15ª)</t>
  </si>
  <si>
    <t>E - Benefício Social Familiar (Cláusula 16ª)</t>
  </si>
  <si>
    <t>20h (20%)</t>
  </si>
  <si>
    <t>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</si>
</sst>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* #,##0.00\ ;\-* #,##0.00\ ;* \-#\ ;@\ "/>
    <numFmt numFmtId="165" formatCode="d/m/yyyy"/>
    <numFmt numFmtId="166" formatCode="&quot;R$ &quot;#,##0.00"/>
    <numFmt numFmtId="167" formatCode="0.0000"/>
    <numFmt numFmtId="168" formatCode="#,##0.00\ ;\(#,##0.00\);\-#\ ;@\ "/>
    <numFmt numFmtId="169" formatCode="#,##0.000000;\(#,##0.000000\)"/>
    <numFmt numFmtId="170" formatCode="&quot;R$ &quot;#,##0.00;[Red]&quot;-R$ &quot;#,##0.00"/>
    <numFmt numFmtId="171" formatCode="_-&quot;R$ &quot;* #,##0.00_-;&quot;-R$ &quot;* #,##0.00_-;_-&quot;R$ &quot;* \-??_-;_-@_-"/>
    <numFmt numFmtId="172" formatCode="[$R$-416]\ * #,##0.00\ ;\-[$R$-416]\ * #,##0.00\ ;[$R$-416]\ * \-#\ ;@\ "/>
    <numFmt numFmtId="173" formatCode="[$R$-416]\ #,##0.00;[Red]\-[$R$-416]\ #,##0.00"/>
    <numFmt numFmtId="174" formatCode="#,##0.0"/>
    <numFmt numFmtId="175" formatCode="* #,##0.00\ ;\-* #,##0.00\ ;* \-#\ ;@"/>
    <numFmt numFmtId="176" formatCode="0.0000000"/>
    <numFmt numFmtId="177" formatCode="0.00000000"/>
    <numFmt numFmtId="178" formatCode="#,##0.00\ ;\(#,##0.00\)"/>
    <numFmt numFmtId="179" formatCode="&quot;R$ &quot;#,##0.00\ ;[Red]&quot;(R$ &quot;#,##0.00\)"/>
    <numFmt numFmtId="180" formatCode="0.000000000"/>
    <numFmt numFmtId="181" formatCode="#,##0.00\ ;#,##0.00\ ;\-#\ ;@\ "/>
    <numFmt numFmtId="182" formatCode="0.000000000;[Red]\(0.000000000\)"/>
    <numFmt numFmtId="183" formatCode="0.0000000000"/>
  </numFmts>
  <fonts count="51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u/>
      <sz val="11"/>
      <color rgb="FF0563C1"/>
      <name val="Arial"/>
      <family val="2"/>
      <charset val="1"/>
    </font>
    <font>
      <b/>
      <i/>
      <sz val="10"/>
      <color rgb="FF333333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FF3333"/>
      <name val="Calibri"/>
      <family val="2"/>
      <charset val="1"/>
    </font>
  </fonts>
  <fills count="49">
    <fill>
      <patternFill patternType="none"/>
    </fill>
    <fill>
      <patternFill patternType="gray125"/>
    </fill>
    <fill>
      <patternFill patternType="solid">
        <fgColor rgb="FF0B509F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CC90F4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CCCCCC"/>
        <bgColor rgb="FFC1C1C1"/>
      </patternFill>
    </fill>
    <fill>
      <patternFill patternType="solid">
        <fgColor rgb="FFFFFFFF"/>
        <bgColor rgb="FFFFFF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349864"/>
        <bgColor rgb="FF58AA38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CC00"/>
        <bgColor rgb="FFFFFF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58AA38"/>
      </patternFill>
    </fill>
    <fill>
      <patternFill patternType="solid">
        <fgColor rgb="FF5680B6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B4C7DC"/>
        <bgColor rgb="FFB4C7E7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FD7264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9D9D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ACFD6"/>
      </patternFill>
    </fill>
    <fill>
      <patternFill patternType="solid">
        <fgColor rgb="FFC1C1C1"/>
        <bgColor rgb="FFC0C0C0"/>
      </patternFill>
    </fill>
    <fill>
      <patternFill patternType="darkGray">
        <fgColor rgb="FFCC90F4"/>
        <bgColor rgb="FFBF819E"/>
      </patternFill>
    </fill>
    <fill>
      <patternFill patternType="solid">
        <fgColor rgb="FFDDDDDD"/>
        <bgColor rgb="FFDBDBDB"/>
      </patternFill>
    </fill>
    <fill>
      <patternFill patternType="solid">
        <fgColor rgb="FF58AA38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FFFFCC"/>
        <bgColor rgb="FFFFF2CC"/>
      </patternFill>
    </fill>
    <fill>
      <patternFill patternType="solid">
        <fgColor rgb="FFCC90F4"/>
        <bgColor rgb="FFBF819E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7E7"/>
      </patternFill>
    </fill>
    <fill>
      <patternFill patternType="solid">
        <fgColor rgb="FFC0C0C0"/>
        <bgColor rgb="FFC1C1C1"/>
      </patternFill>
    </fill>
    <fill>
      <patternFill patternType="solid">
        <fgColor rgb="FFFFFF00"/>
        <bgColor rgb="FFFFCC00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64A12"/>
        <bgColor rgb="FFFD7264"/>
      </patternFill>
    </fill>
    <fill>
      <patternFill patternType="solid">
        <fgColor rgb="FFFFFF99"/>
        <bgColor rgb="FFFFFFCC"/>
      </patternFill>
    </fill>
  </fills>
  <borders count="8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/>
    <xf numFmtId="164" fontId="12" fillId="0" borderId="0"/>
    <xf numFmtId="9" fontId="17" fillId="0" borderId="0" applyBorder="0" applyProtection="0"/>
    <xf numFmtId="0" fontId="47" fillId="0" borderId="0" applyBorder="0" applyProtection="0"/>
    <xf numFmtId="164" fontId="1" fillId="0" borderId="0" applyBorder="0" applyProtection="0"/>
  </cellStyleXfs>
  <cellXfs count="7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5" fillId="4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/>
    <xf numFmtId="167" fontId="2" fillId="0" borderId="11" xfId="0" applyNumberFormat="1" applyFont="1" applyBorder="1"/>
    <xf numFmtId="0" fontId="5" fillId="0" borderId="13" xfId="0" applyFont="1" applyBorder="1"/>
    <xf numFmtId="0" fontId="5" fillId="3" borderId="14" xfId="0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0" fontId="7" fillId="0" borderId="9" xfId="0" applyNumberFormat="1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0" fontId="7" fillId="0" borderId="1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vertical="center"/>
    </xf>
    <xf numFmtId="10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10" fontId="7" fillId="0" borderId="7" xfId="0" applyNumberFormat="1" applyFont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0" xfId="0" applyFont="1" applyBorder="1" applyAlignment="1" applyProtection="1">
      <alignment horizontal="left" vertical="center"/>
      <protection locked="0"/>
    </xf>
    <xf numFmtId="10" fontId="2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169" fontId="2" fillId="0" borderId="3" xfId="1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0" fillId="7" borderId="5" xfId="0" applyFill="1" applyBorder="1"/>
    <xf numFmtId="169" fontId="2" fillId="7" borderId="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14" fillId="0" borderId="0" xfId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5" fillId="0" borderId="10" xfId="0" applyFont="1" applyBorder="1" applyAlignment="1" applyProtection="1">
      <alignment horizontal="left" vertical="center"/>
      <protection locked="0"/>
    </xf>
    <xf numFmtId="168" fontId="9" fillId="0" borderId="10" xfId="1" applyNumberFormat="1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left" vertical="center"/>
      <protection locked="0"/>
    </xf>
    <xf numFmtId="168" fontId="16" fillId="0" borderId="0" xfId="1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9" fillId="9" borderId="20" xfId="0" applyFont="1" applyFill="1" applyBorder="1" applyAlignment="1">
      <alignment vertical="center"/>
    </xf>
    <xf numFmtId="0" fontId="17" fillId="9" borderId="21" xfId="0" applyFont="1" applyFill="1" applyBorder="1" applyAlignment="1">
      <alignment horizontal="center" vertical="center" wrapText="1"/>
    </xf>
    <xf numFmtId="0" fontId="19" fillId="9" borderId="21" xfId="0" applyFont="1" applyFill="1" applyBorder="1" applyAlignment="1">
      <alignment vertical="center"/>
    </xf>
    <xf numFmtId="0" fontId="17" fillId="9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center"/>
    </xf>
    <xf numFmtId="0" fontId="0" fillId="9" borderId="28" xfId="0" applyFill="1" applyBorder="1"/>
    <xf numFmtId="0" fontId="0" fillId="9" borderId="29" xfId="0" applyFill="1" applyBorder="1"/>
    <xf numFmtId="0" fontId="20" fillId="0" borderId="30" xfId="0" applyFont="1" applyBorder="1"/>
    <xf numFmtId="0" fontId="20" fillId="0" borderId="7" xfId="0" applyFont="1" applyBorder="1"/>
    <xf numFmtId="0" fontId="17" fillId="10" borderId="3" xfId="0" applyFont="1" applyFill="1" applyBorder="1"/>
    <xf numFmtId="170" fontId="20" fillId="0" borderId="7" xfId="0" applyNumberFormat="1" applyFont="1" applyBorder="1" applyAlignment="1">
      <alignment wrapText="1"/>
    </xf>
    <xf numFmtId="166" fontId="17" fillId="0" borderId="9" xfId="0" applyNumberFormat="1" applyFont="1" applyBorder="1" applyAlignment="1">
      <alignment vertical="center"/>
    </xf>
    <xf numFmtId="166" fontId="17" fillId="0" borderId="31" xfId="0" applyNumberFormat="1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6" fillId="9" borderId="33" xfId="0" applyFont="1" applyFill="1" applyBorder="1" applyAlignment="1">
      <alignment vertical="center"/>
    </xf>
    <xf numFmtId="0" fontId="0" fillId="9" borderId="0" xfId="0" applyFill="1"/>
    <xf numFmtId="0" fontId="0" fillId="9" borderId="34" xfId="0" applyFill="1" applyBorder="1"/>
    <xf numFmtId="0" fontId="17" fillId="0" borderId="35" xfId="0" applyFont="1" applyBorder="1" applyAlignment="1">
      <alignment vertical="center"/>
    </xf>
    <xf numFmtId="0" fontId="21" fillId="9" borderId="36" xfId="0" applyFont="1" applyFill="1" applyBorder="1" applyAlignment="1">
      <alignment vertical="center"/>
    </xf>
    <xf numFmtId="0" fontId="0" fillId="9" borderId="1" xfId="0" applyFill="1" applyBorder="1"/>
    <xf numFmtId="0" fontId="0" fillId="9" borderId="26" xfId="0" applyFill="1" applyBorder="1"/>
    <xf numFmtId="0" fontId="20" fillId="0" borderId="37" xfId="0" applyFont="1" applyBorder="1"/>
    <xf numFmtId="0" fontId="20" fillId="0" borderId="8" xfId="0" applyFont="1" applyBorder="1"/>
    <xf numFmtId="0" fontId="17" fillId="10" borderId="12" xfId="0" applyFont="1" applyFill="1" applyBorder="1"/>
    <xf numFmtId="170" fontId="20" fillId="0" borderId="8" xfId="0" applyNumberFormat="1" applyFont="1" applyBorder="1" applyAlignment="1">
      <alignment wrapText="1"/>
    </xf>
    <xf numFmtId="166" fontId="17" fillId="0" borderId="18" xfId="0" applyNumberFormat="1" applyFont="1" applyBorder="1" applyAlignment="1">
      <alignment vertical="center"/>
    </xf>
    <xf numFmtId="166" fontId="17" fillId="0" borderId="38" xfId="0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170" fontId="18" fillId="3" borderId="40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170" fontId="17" fillId="0" borderId="7" xfId="0" applyNumberFormat="1" applyFont="1" applyBorder="1" applyAlignment="1">
      <alignment wrapText="1"/>
    </xf>
    <xf numFmtId="171" fontId="17" fillId="0" borderId="42" xfId="0" applyNumberFormat="1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4" xfId="0" applyFont="1" applyBorder="1"/>
    <xf numFmtId="0" fontId="17" fillId="0" borderId="5" xfId="0" applyFont="1" applyBorder="1"/>
    <xf numFmtId="0" fontId="22" fillId="0" borderId="38" xfId="0" applyFont="1" applyBorder="1"/>
    <xf numFmtId="0" fontId="17" fillId="0" borderId="4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0" fontId="17" fillId="0" borderId="8" xfId="0" applyNumberFormat="1" applyFont="1" applyBorder="1" applyAlignment="1">
      <alignment wrapText="1"/>
    </xf>
    <xf numFmtId="171" fontId="17" fillId="0" borderId="33" xfId="0" applyNumberFormat="1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170" fontId="18" fillId="3" borderId="19" xfId="0" applyNumberFormat="1" applyFont="1" applyFill="1" applyBorder="1" applyAlignment="1">
      <alignment horizontal="center" vertical="center"/>
    </xf>
    <xf numFmtId="0" fontId="17" fillId="10" borderId="33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170" fontId="17" fillId="10" borderId="0" xfId="0" applyNumberFormat="1" applyFont="1" applyFill="1" applyAlignment="1">
      <alignment vertical="center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2" fontId="17" fillId="10" borderId="3" xfId="0" applyNumberFormat="1" applyFont="1" applyFill="1" applyBorder="1" applyAlignment="1">
      <alignment vertical="center"/>
    </xf>
    <xf numFmtId="0" fontId="17" fillId="0" borderId="30" xfId="0" applyFont="1" applyBorder="1"/>
    <xf numFmtId="0" fontId="17" fillId="0" borderId="37" xfId="0" applyFont="1" applyBorder="1"/>
    <xf numFmtId="0" fontId="17" fillId="0" borderId="50" xfId="0" applyFont="1" applyBorder="1" applyAlignment="1">
      <alignment vertical="center"/>
    </xf>
    <xf numFmtId="0" fontId="17" fillId="0" borderId="46" xfId="0" applyFont="1" applyBorder="1"/>
    <xf numFmtId="0" fontId="19" fillId="3" borderId="51" xfId="0" applyFont="1" applyFill="1" applyBorder="1" applyAlignment="1">
      <alignment horizontal="center" vertical="center" wrapText="1"/>
    </xf>
    <xf numFmtId="170" fontId="18" fillId="3" borderId="19" xfId="0" applyNumberFormat="1" applyFont="1" applyFill="1" applyBorder="1" applyAlignment="1">
      <alignment horizontal="right" vertical="center"/>
    </xf>
    <xf numFmtId="166" fontId="17" fillId="10" borderId="0" xfId="0" applyNumberFormat="1" applyFont="1" applyFill="1" applyAlignment="1">
      <alignment vertical="center"/>
    </xf>
    <xf numFmtId="171" fontId="17" fillId="10" borderId="0" xfId="0" applyNumberFormat="1" applyFont="1" applyFill="1" applyAlignment="1">
      <alignment vertical="center"/>
    </xf>
    <xf numFmtId="0" fontId="19" fillId="12" borderId="23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0" fontId="17" fillId="0" borderId="2" xfId="0" applyNumberFormat="1" applyFont="1" applyBorder="1" applyAlignment="1">
      <alignment wrapText="1"/>
    </xf>
    <xf numFmtId="0" fontId="17" fillId="0" borderId="52" xfId="0" applyFont="1" applyBorder="1"/>
    <xf numFmtId="170" fontId="17" fillId="0" borderId="7" xfId="0" applyNumberFormat="1" applyFont="1" applyBorder="1"/>
    <xf numFmtId="170" fontId="17" fillId="0" borderId="9" xfId="0" applyNumberFormat="1" applyFont="1" applyBorder="1"/>
    <xf numFmtId="170" fontId="18" fillId="12" borderId="19" xfId="0" applyNumberFormat="1" applyFont="1" applyFill="1" applyBorder="1" applyAlignment="1">
      <alignment vertical="center"/>
    </xf>
    <xf numFmtId="170" fontId="18" fillId="12" borderId="38" xfId="0" applyNumberFormat="1" applyFont="1" applyFill="1" applyBorder="1" applyAlignment="1">
      <alignment vertical="center"/>
    </xf>
    <xf numFmtId="0" fontId="19" fillId="14" borderId="37" xfId="0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center" vertical="center" wrapText="1"/>
    </xf>
    <xf numFmtId="0" fontId="19" fillId="14" borderId="18" xfId="0" applyFont="1" applyFill="1" applyBorder="1" applyAlignment="1">
      <alignment horizontal="center" vertical="center" wrapText="1"/>
    </xf>
    <xf numFmtId="0" fontId="19" fillId="14" borderId="38" xfId="0" applyFont="1" applyFill="1" applyBorder="1" applyAlignment="1">
      <alignment horizontal="center" vertical="center" wrapText="1"/>
    </xf>
    <xf numFmtId="166" fontId="18" fillId="15" borderId="19" xfId="0" applyNumberFormat="1" applyFont="1" applyFill="1" applyBorder="1" applyAlignment="1">
      <alignment vertical="center"/>
    </xf>
    <xf numFmtId="170" fontId="17" fillId="0" borderId="9" xfId="0" applyNumberFormat="1" applyFont="1" applyBorder="1" applyAlignment="1">
      <alignment wrapText="1"/>
    </xf>
    <xf numFmtId="170" fontId="17" fillId="0" borderId="8" xfId="0" applyNumberFormat="1" applyFont="1" applyBorder="1"/>
    <xf numFmtId="170" fontId="17" fillId="0" borderId="18" xfId="0" applyNumberFormat="1" applyFont="1" applyBorder="1" applyAlignment="1">
      <alignment wrapText="1"/>
    </xf>
    <xf numFmtId="0" fontId="17" fillId="0" borderId="53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170" fontId="17" fillId="0" borderId="54" xfId="0" applyNumberFormat="1" applyFont="1" applyBorder="1"/>
    <xf numFmtId="170" fontId="17" fillId="0" borderId="54" xfId="0" applyNumberFormat="1" applyFont="1" applyBorder="1" applyAlignment="1">
      <alignment wrapText="1"/>
    </xf>
    <xf numFmtId="166" fontId="17" fillId="0" borderId="55" xfId="0" applyNumberFormat="1" applyFont="1" applyBorder="1" applyAlignment="1">
      <alignment vertical="center"/>
    </xf>
    <xf numFmtId="166" fontId="18" fillId="14" borderId="19" xfId="0" applyNumberFormat="1" applyFont="1" applyFill="1" applyBorder="1" applyAlignment="1">
      <alignment vertical="center"/>
    </xf>
    <xf numFmtId="0" fontId="19" fillId="4" borderId="3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170" fontId="18" fillId="16" borderId="1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170" fontId="17" fillId="0" borderId="31" xfId="0" applyNumberFormat="1" applyFont="1" applyBorder="1" applyAlignment="1">
      <alignment vertical="center"/>
    </xf>
    <xf numFmtId="170" fontId="17" fillId="0" borderId="5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2" fontId="17" fillId="0" borderId="3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166" fontId="17" fillId="0" borderId="6" xfId="0" applyNumberFormat="1" applyFont="1" applyBorder="1" applyAlignment="1">
      <alignment vertical="center"/>
    </xf>
    <xf numFmtId="170" fontId="17" fillId="0" borderId="45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70" fontId="17" fillId="0" borderId="12" xfId="0" applyNumberFormat="1" applyFont="1" applyBorder="1"/>
    <xf numFmtId="166" fontId="17" fillId="0" borderId="14" xfId="0" applyNumberFormat="1" applyFont="1" applyBorder="1" applyAlignment="1">
      <alignment vertical="center"/>
    </xf>
    <xf numFmtId="170" fontId="17" fillId="0" borderId="57" xfId="0" applyNumberFormat="1" applyFont="1" applyBorder="1" applyAlignment="1">
      <alignment vertical="center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170" fontId="18" fillId="16" borderId="41" xfId="0" applyNumberFormat="1" applyFont="1" applyFill="1" applyBorder="1" applyAlignment="1">
      <alignment vertical="center"/>
    </xf>
    <xf numFmtId="0" fontId="23" fillId="10" borderId="44" xfId="0" applyFont="1" applyFill="1" applyBorder="1" applyAlignment="1">
      <alignment wrapText="1"/>
    </xf>
    <xf numFmtId="166" fontId="18" fillId="17" borderId="40" xfId="0" applyNumberFormat="1" applyFont="1" applyFill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166" fontId="17" fillId="0" borderId="19" xfId="0" applyNumberFormat="1" applyFont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5" fillId="18" borderId="27" xfId="4" applyNumberFormat="1" applyFont="1" applyFill="1" applyBorder="1" applyAlignment="1" applyProtection="1">
      <alignment horizontal="center" vertical="center"/>
    </xf>
    <xf numFmtId="0" fontId="25" fillId="18" borderId="28" xfId="4" applyNumberFormat="1" applyFont="1" applyFill="1" applyBorder="1" applyAlignment="1" applyProtection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0" fontId="29" fillId="22" borderId="20" xfId="0" applyFont="1" applyFill="1" applyBorder="1" applyAlignment="1">
      <alignment horizontal="center" vertical="center" wrapText="1"/>
    </xf>
    <xf numFmtId="0" fontId="29" fillId="28" borderId="59" xfId="0" applyFont="1" applyFill="1" applyBorder="1" applyAlignment="1">
      <alignment horizontal="center" vertical="center" wrapText="1"/>
    </xf>
    <xf numFmtId="0" fontId="29" fillId="29" borderId="29" xfId="0" applyFont="1" applyFill="1" applyBorder="1" applyAlignment="1">
      <alignment horizontal="center" vertical="center" wrapText="1"/>
    </xf>
    <xf numFmtId="0" fontId="29" fillId="30" borderId="27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 wrapText="1"/>
    </xf>
    <xf numFmtId="0" fontId="31" fillId="31" borderId="60" xfId="0" applyFont="1" applyFill="1" applyBorder="1" applyAlignment="1" applyProtection="1">
      <alignment horizontal="left" vertical="center" wrapText="1"/>
      <protection locked="0"/>
    </xf>
    <xf numFmtId="0" fontId="31" fillId="31" borderId="60" xfId="0" applyFont="1" applyFill="1" applyBorder="1" applyAlignment="1" applyProtection="1">
      <alignment horizontal="left" vertical="center"/>
      <protection locked="0"/>
    </xf>
    <xf numFmtId="0" fontId="31" fillId="31" borderId="60" xfId="0" applyFont="1" applyFill="1" applyBorder="1" applyAlignment="1">
      <alignment vertical="center"/>
    </xf>
    <xf numFmtId="10" fontId="31" fillId="31" borderId="6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4" xfId="1" applyFont="1" applyBorder="1" applyAlignment="1">
      <alignment horizontal="center" vertical="center"/>
    </xf>
    <xf numFmtId="166" fontId="32" fillId="0" borderId="35" xfId="1" applyNumberFormat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6" fontId="32" fillId="0" borderId="5" xfId="1" applyNumberFormat="1" applyFont="1" applyBorder="1" applyAlignment="1">
      <alignment horizontal="center" vertical="center"/>
    </xf>
    <xf numFmtId="164" fontId="8" fillId="0" borderId="30" xfId="1" applyFont="1" applyBorder="1" applyAlignment="1">
      <alignment horizontal="center" vertical="center"/>
    </xf>
    <xf numFmtId="172" fontId="15" fillId="22" borderId="42" xfId="0" applyNumberFormat="1" applyFont="1" applyFill="1" applyBorder="1" applyAlignment="1">
      <alignment horizontal="center" vertical="center" wrapText="1"/>
    </xf>
    <xf numFmtId="172" fontId="14" fillId="28" borderId="61" xfId="1" applyNumberFormat="1" applyFont="1" applyFill="1" applyBorder="1" applyAlignment="1">
      <alignment horizontal="center" vertical="center"/>
    </xf>
    <xf numFmtId="164" fontId="14" fillId="29" borderId="62" xfId="1" applyFont="1" applyFill="1" applyBorder="1" applyAlignment="1">
      <alignment horizontal="center" vertical="center"/>
    </xf>
    <xf numFmtId="172" fontId="14" fillId="30" borderId="59" xfId="1" applyNumberFormat="1" applyFont="1" applyFill="1" applyBorder="1" applyAlignment="1">
      <alignment horizontal="center" vertical="center"/>
    </xf>
    <xf numFmtId="172" fontId="14" fillId="11" borderId="59" xfId="1" applyNumberFormat="1" applyFont="1" applyFill="1" applyBorder="1" applyAlignment="1">
      <alignment horizontal="center" vertical="center"/>
    </xf>
    <xf numFmtId="0" fontId="31" fillId="32" borderId="60" xfId="0" applyFont="1" applyFill="1" applyBorder="1" applyAlignment="1" applyProtection="1">
      <alignment horizontal="left" vertical="center"/>
      <protection locked="0"/>
    </xf>
    <xf numFmtId="0" fontId="31" fillId="32" borderId="60" xfId="0" applyFont="1" applyFill="1" applyBorder="1"/>
    <xf numFmtId="10" fontId="31" fillId="32" borderId="60" xfId="0" applyNumberFormat="1" applyFont="1" applyFill="1" applyBorder="1" applyAlignment="1" applyProtection="1">
      <alignment horizontal="center" vertical="center"/>
      <protection locked="0"/>
    </xf>
    <xf numFmtId="164" fontId="14" fillId="29" borderId="15" xfId="1" applyFont="1" applyFill="1" applyBorder="1" applyAlignment="1">
      <alignment horizontal="center" vertical="center"/>
    </xf>
    <xf numFmtId="172" fontId="14" fillId="30" borderId="61" xfId="1" applyNumberFormat="1" applyFont="1" applyFill="1" applyBorder="1" applyAlignment="1">
      <alignment horizontal="center" vertical="center"/>
    </xf>
    <xf numFmtId="172" fontId="14" fillId="11" borderId="61" xfId="1" applyNumberFormat="1" applyFont="1" applyFill="1" applyBorder="1" applyAlignment="1">
      <alignment horizontal="center" vertical="center"/>
    </xf>
    <xf numFmtId="164" fontId="34" fillId="21" borderId="63" xfId="1" applyFont="1" applyFill="1" applyBorder="1" applyAlignment="1">
      <alignment horizontal="center" vertical="center"/>
    </xf>
    <xf numFmtId="166" fontId="34" fillId="21" borderId="63" xfId="1" applyNumberFormat="1" applyFont="1" applyFill="1" applyBorder="1" applyAlignment="1">
      <alignment horizontal="center" vertical="center"/>
    </xf>
    <xf numFmtId="164" fontId="34" fillId="21" borderId="49" xfId="1" applyFont="1" applyFill="1" applyBorder="1" applyAlignment="1">
      <alignment horizontal="center" vertical="center"/>
    </xf>
    <xf numFmtId="172" fontId="34" fillId="21" borderId="51" xfId="1" applyNumberFormat="1" applyFont="1" applyFill="1" applyBorder="1" applyAlignment="1">
      <alignment horizontal="center" vertical="center"/>
    </xf>
    <xf numFmtId="4" fontId="34" fillId="21" borderId="49" xfId="1" applyNumberFormat="1" applyFont="1" applyFill="1" applyBorder="1" applyAlignment="1">
      <alignment horizontal="center" vertical="center"/>
    </xf>
    <xf numFmtId="164" fontId="34" fillId="21" borderId="58" xfId="1" applyFont="1" applyFill="1" applyBorder="1" applyAlignment="1">
      <alignment horizontal="center" vertical="center"/>
    </xf>
    <xf numFmtId="172" fontId="34" fillId="21" borderId="64" xfId="1" applyNumberFormat="1" applyFont="1" applyFill="1" applyBorder="1" applyAlignment="1">
      <alignment horizontal="center" vertical="center"/>
    </xf>
    <xf numFmtId="172" fontId="34" fillId="21" borderId="58" xfId="1" applyNumberFormat="1" applyFont="1" applyFill="1" applyBorder="1" applyAlignment="1">
      <alignment horizontal="center" vertical="center"/>
    </xf>
    <xf numFmtId="0" fontId="14" fillId="0" borderId="0" xfId="0" applyFont="1"/>
    <xf numFmtId="0" fontId="31" fillId="31" borderId="60" xfId="0" applyFont="1" applyFill="1" applyBorder="1"/>
    <xf numFmtId="10" fontId="23" fillId="31" borderId="6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5" xfId="1" applyFont="1" applyBorder="1" applyAlignment="1">
      <alignment horizontal="center" vertical="center"/>
    </xf>
    <xf numFmtId="166" fontId="32" fillId="0" borderId="11" xfId="1" applyNumberFormat="1" applyFont="1" applyBorder="1" applyAlignment="1">
      <alignment horizontal="center" vertical="center"/>
    </xf>
    <xf numFmtId="4" fontId="8" fillId="0" borderId="11" xfId="1" applyNumberFormat="1" applyFont="1" applyBorder="1" applyAlignment="1">
      <alignment horizontal="right" vertical="center"/>
    </xf>
    <xf numFmtId="4" fontId="8" fillId="0" borderId="66" xfId="1" applyNumberFormat="1" applyFont="1" applyBorder="1" applyAlignment="1">
      <alignment horizontal="right" vertical="center"/>
    </xf>
    <xf numFmtId="173" fontId="32" fillId="0" borderId="9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4" fontId="8" fillId="0" borderId="59" xfId="1" applyNumberFormat="1" applyFont="1" applyBorder="1" applyAlignment="1">
      <alignment horizontal="right" vertical="center"/>
    </xf>
    <xf numFmtId="172" fontId="29" fillId="22" borderId="42" xfId="0" applyNumberFormat="1" applyFont="1" applyFill="1" applyBorder="1" applyAlignment="1">
      <alignment horizontal="center" vertical="center" wrapText="1"/>
    </xf>
    <xf numFmtId="172" fontId="23" fillId="28" borderId="61" xfId="1" applyNumberFormat="1" applyFont="1" applyFill="1" applyBorder="1" applyAlignment="1">
      <alignment horizontal="center" vertical="center"/>
    </xf>
    <xf numFmtId="164" fontId="23" fillId="29" borderId="67" xfId="1" applyFont="1" applyFill="1" applyBorder="1" applyAlignment="1">
      <alignment horizontal="center" vertical="center"/>
    </xf>
    <xf numFmtId="172" fontId="23" fillId="30" borderId="59" xfId="1" applyNumberFormat="1" applyFont="1" applyFill="1" applyBorder="1" applyAlignment="1">
      <alignment horizontal="center" vertical="center"/>
    </xf>
    <xf numFmtId="172" fontId="23" fillId="11" borderId="59" xfId="1" applyNumberFormat="1" applyFont="1" applyFill="1" applyBorder="1" applyAlignment="1">
      <alignment horizontal="center" vertical="center"/>
    </xf>
    <xf numFmtId="10" fontId="23" fillId="32" borderId="60" xfId="0" applyNumberFormat="1" applyFont="1" applyFill="1" applyBorder="1" applyAlignment="1" applyProtection="1">
      <alignment horizontal="center" vertical="center"/>
      <protection locked="0"/>
    </xf>
    <xf numFmtId="4" fontId="8" fillId="0" borderId="5" xfId="1" applyNumberFormat="1" applyFont="1" applyBorder="1" applyAlignment="1">
      <alignment horizontal="right" vertical="center"/>
    </xf>
    <xf numFmtId="4" fontId="8" fillId="0" borderId="3" xfId="1" applyNumberFormat="1" applyFont="1" applyBorder="1" applyAlignment="1">
      <alignment horizontal="right" vertical="center"/>
    </xf>
    <xf numFmtId="173" fontId="32" fillId="0" borderId="6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8" fillId="0" borderId="61" xfId="1" applyNumberFormat="1" applyFont="1" applyBorder="1" applyAlignment="1">
      <alignment horizontal="right" vertical="center"/>
    </xf>
    <xf numFmtId="164" fontId="23" fillId="29" borderId="68" xfId="1" applyFont="1" applyFill="1" applyBorder="1" applyAlignment="1">
      <alignment horizontal="center" vertical="center"/>
    </xf>
    <xf numFmtId="172" fontId="23" fillId="30" borderId="61" xfId="1" applyNumberFormat="1" applyFont="1" applyFill="1" applyBorder="1" applyAlignment="1">
      <alignment horizontal="center" vertical="center"/>
    </xf>
    <xf numFmtId="172" fontId="23" fillId="11" borderId="61" xfId="1" applyNumberFormat="1" applyFont="1" applyFill="1" applyBorder="1" applyAlignment="1">
      <alignment horizontal="center" vertical="center"/>
    </xf>
    <xf numFmtId="172" fontId="23" fillId="11" borderId="69" xfId="1" applyNumberFormat="1" applyFont="1" applyFill="1" applyBorder="1" applyAlignment="1">
      <alignment horizontal="center" vertical="center"/>
    </xf>
    <xf numFmtId="174" fontId="34" fillId="21" borderId="63" xfId="1" applyNumberFormat="1" applyFont="1" applyFill="1" applyBorder="1" applyAlignment="1">
      <alignment horizontal="center" vertical="center"/>
    </xf>
    <xf numFmtId="4" fontId="34" fillId="21" borderId="49" xfId="1" applyNumberFormat="1" applyFont="1" applyFill="1" applyBorder="1" applyAlignment="1">
      <alignment horizontal="right" vertical="center"/>
    </xf>
    <xf numFmtId="4" fontId="34" fillId="21" borderId="51" xfId="1" applyNumberFormat="1" applyFont="1" applyFill="1" applyBorder="1" applyAlignment="1">
      <alignment horizontal="center" vertical="center"/>
    </xf>
    <xf numFmtId="4" fontId="34" fillId="21" borderId="58" xfId="1" applyNumberFormat="1" applyFont="1" applyFill="1" applyBorder="1" applyAlignment="1">
      <alignment horizontal="right" vertical="center"/>
    </xf>
    <xf numFmtId="173" fontId="32" fillId="0" borderId="5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0" fontId="35" fillId="0" borderId="0" xfId="0" applyFont="1"/>
    <xf numFmtId="4" fontId="37" fillId="2" borderId="71" xfId="0" applyNumberFormat="1" applyFont="1" applyFill="1" applyBorder="1" applyAlignment="1">
      <alignment horizontal="center" vertical="center"/>
    </xf>
    <xf numFmtId="0" fontId="36" fillId="2" borderId="71" xfId="0" applyFont="1" applyFill="1" applyBorder="1" applyAlignment="1">
      <alignment vertical="center"/>
    </xf>
    <xf numFmtId="0" fontId="37" fillId="2" borderId="71" xfId="0" applyFont="1" applyFill="1" applyBorder="1" applyAlignment="1">
      <alignment horizontal="center" vertical="center"/>
    </xf>
    <xf numFmtId="0" fontId="34" fillId="2" borderId="71" xfId="0" applyFont="1" applyFill="1" applyBorder="1" applyAlignment="1">
      <alignment horizontal="left" vertical="center"/>
    </xf>
    <xf numFmtId="4" fontId="38" fillId="2" borderId="72" xfId="0" applyNumberFormat="1" applyFont="1" applyFill="1" applyBorder="1" applyAlignment="1">
      <alignment horizontal="center" vertical="center"/>
    </xf>
    <xf numFmtId="4" fontId="39" fillId="2" borderId="7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74" xfId="0" applyFill="1" applyBorder="1" applyAlignment="1">
      <alignment vertical="center"/>
    </xf>
    <xf numFmtId="0" fontId="37" fillId="2" borderId="74" xfId="0" applyFont="1" applyFill="1" applyBorder="1" applyAlignment="1">
      <alignment horizontal="center" vertical="center"/>
    </xf>
    <xf numFmtId="4" fontId="37" fillId="2" borderId="74" xfId="0" applyNumberFormat="1" applyFont="1" applyFill="1" applyBorder="1" applyAlignment="1">
      <alignment horizontal="center" vertical="center"/>
    </xf>
    <xf numFmtId="0" fontId="33" fillId="0" borderId="0" xfId="0" applyFont="1"/>
    <xf numFmtId="0" fontId="29" fillId="16" borderId="20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30" fillId="36" borderId="22" xfId="0" applyFont="1" applyFill="1" applyBorder="1" applyAlignment="1">
      <alignment horizontal="center" wrapText="1"/>
    </xf>
    <xf numFmtId="0" fontId="29" fillId="35" borderId="41" xfId="0" applyFont="1" applyFill="1" applyBorder="1" applyAlignment="1">
      <alignment horizontal="center" vertical="center" wrapText="1"/>
    </xf>
    <xf numFmtId="0" fontId="29" fillId="35" borderId="36" xfId="0" applyFont="1" applyFill="1" applyBorder="1" applyAlignment="1">
      <alignment horizontal="center" vertical="center" wrapText="1"/>
    </xf>
    <xf numFmtId="0" fontId="29" fillId="28" borderId="19" xfId="0" applyFont="1" applyFill="1" applyBorder="1" applyAlignment="1">
      <alignment horizontal="center" vertical="center" wrapText="1"/>
    </xf>
    <xf numFmtId="0" fontId="28" fillId="16" borderId="33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40" fillId="27" borderId="34" xfId="0" applyFont="1" applyFill="1" applyBorder="1" applyAlignment="1">
      <alignment horizontal="center" vertical="center" wrapText="1"/>
    </xf>
    <xf numFmtId="0" fontId="25" fillId="0" borderId="10" xfId="0" applyFont="1" applyBorder="1" applyAlignment="1" applyProtection="1">
      <alignment horizontal="left" vertical="center"/>
      <protection locked="0"/>
    </xf>
    <xf numFmtId="10" fontId="25" fillId="0" borderId="56" xfId="0" applyNumberFormat="1" applyFont="1" applyBorder="1" applyAlignment="1" applyProtection="1">
      <alignment horizontal="center" vertical="center"/>
      <protection locked="0"/>
    </xf>
    <xf numFmtId="4" fontId="14" fillId="0" borderId="42" xfId="0" applyNumberFormat="1" applyFont="1" applyBorder="1" applyAlignment="1" applyProtection="1">
      <alignment horizontal="right" vertical="center"/>
      <protection locked="0"/>
    </xf>
    <xf numFmtId="164" fontId="14" fillId="0" borderId="10" xfId="1" applyFont="1" applyBorder="1" applyAlignment="1">
      <alignment horizontal="center" vertical="center"/>
    </xf>
    <xf numFmtId="164" fontId="14" fillId="0" borderId="66" xfId="1" applyFont="1" applyBorder="1" applyAlignment="1">
      <alignment horizontal="center" vertical="center"/>
    </xf>
    <xf numFmtId="175" fontId="14" fillId="0" borderId="66" xfId="0" applyNumberFormat="1" applyFont="1" applyBorder="1" applyAlignment="1">
      <alignment horizontal="center" vertical="center"/>
    </xf>
    <xf numFmtId="164" fontId="14" fillId="0" borderId="59" xfId="1" applyFont="1" applyBorder="1" applyAlignment="1">
      <alignment horizontal="center" vertical="center"/>
    </xf>
    <xf numFmtId="164" fontId="23" fillId="35" borderId="42" xfId="1" applyFont="1" applyFill="1" applyBorder="1" applyAlignment="1">
      <alignment horizontal="center" vertical="center"/>
    </xf>
    <xf numFmtId="164" fontId="23" fillId="28" borderId="42" xfId="1" applyFont="1" applyFill="1" applyBorder="1" applyAlignment="1">
      <alignment horizontal="center" vertical="center"/>
    </xf>
    <xf numFmtId="164" fontId="23" fillId="29" borderId="43" xfId="1" applyFont="1" applyFill="1" applyBorder="1" applyAlignment="1">
      <alignment horizontal="center" vertical="center"/>
    </xf>
    <xf numFmtId="2" fontId="23" fillId="30" borderId="62" xfId="1" applyNumberFormat="1" applyFont="1" applyFill="1" applyBorder="1" applyAlignment="1">
      <alignment horizontal="center" vertical="center"/>
    </xf>
    <xf numFmtId="2" fontId="23" fillId="11" borderId="43" xfId="1" applyNumberFormat="1" applyFont="1" applyFill="1" applyBorder="1" applyAlignment="1">
      <alignment horizontal="center" vertical="center"/>
    </xf>
    <xf numFmtId="164" fontId="23" fillId="37" borderId="2" xfId="1" applyFont="1" applyFill="1" applyBorder="1" applyAlignment="1">
      <alignment horizontal="center" vertical="center"/>
    </xf>
    <xf numFmtId="0" fontId="23" fillId="0" borderId="10" xfId="0" applyFont="1" applyBorder="1" applyAlignment="1" applyProtection="1">
      <alignment horizontal="left" vertical="center"/>
      <protection locked="0"/>
    </xf>
    <xf numFmtId="4" fontId="14" fillId="0" borderId="68" xfId="0" applyNumberFormat="1" applyFont="1" applyBorder="1" applyAlignment="1" applyProtection="1">
      <alignment horizontal="right" vertical="center"/>
      <protection locked="0"/>
    </xf>
    <xf numFmtId="164" fontId="14" fillId="0" borderId="3" xfId="1" applyFont="1" applyBorder="1" applyAlignment="1">
      <alignment horizontal="center" vertical="center"/>
    </xf>
    <xf numFmtId="175" fontId="14" fillId="0" borderId="3" xfId="0" applyNumberFormat="1" applyFont="1" applyBorder="1" applyAlignment="1">
      <alignment horizontal="center" vertical="center"/>
    </xf>
    <xf numFmtId="164" fontId="14" fillId="0" borderId="61" xfId="1" applyFont="1" applyBorder="1" applyAlignment="1">
      <alignment horizontal="center" vertical="center"/>
    </xf>
    <xf numFmtId="164" fontId="23" fillId="35" borderId="68" xfId="1" applyFont="1" applyFill="1" applyBorder="1" applyAlignment="1">
      <alignment vertical="center"/>
    </xf>
    <xf numFmtId="164" fontId="23" fillId="35" borderId="68" xfId="1" applyFont="1" applyFill="1" applyBorder="1" applyAlignment="1">
      <alignment horizontal="center" vertical="center"/>
    </xf>
    <xf numFmtId="164" fontId="23" fillId="28" borderId="68" xfId="1" applyFont="1" applyFill="1" applyBorder="1" applyAlignment="1">
      <alignment horizontal="center" vertical="center"/>
    </xf>
    <xf numFmtId="164" fontId="23" fillId="29" borderId="45" xfId="1" applyFont="1" applyFill="1" applyBorder="1" applyAlignment="1">
      <alignment horizontal="center" vertical="center"/>
    </xf>
    <xf numFmtId="2" fontId="23" fillId="30" borderId="15" xfId="1" applyNumberFormat="1" applyFont="1" applyFill="1" applyBorder="1" applyAlignment="1">
      <alignment horizontal="center" vertical="center"/>
    </xf>
    <xf numFmtId="172" fontId="23" fillId="11" borderId="31" xfId="1" applyNumberFormat="1" applyFont="1" applyFill="1" applyBorder="1" applyAlignment="1">
      <alignment horizontal="center" vertical="center"/>
    </xf>
    <xf numFmtId="164" fontId="23" fillId="37" borderId="15" xfId="1" applyFont="1" applyFill="1" applyBorder="1" applyAlignment="1">
      <alignment horizontal="center" vertical="center"/>
    </xf>
    <xf numFmtId="172" fontId="23" fillId="11" borderId="45" xfId="1" applyNumberFormat="1" applyFont="1" applyFill="1" applyBorder="1" applyAlignment="1">
      <alignment horizontal="center" vertical="center"/>
    </xf>
    <xf numFmtId="4" fontId="14" fillId="0" borderId="78" xfId="0" applyNumberFormat="1" applyFont="1" applyBorder="1" applyAlignment="1" applyProtection="1">
      <alignment horizontal="right" vertical="center"/>
      <protection locked="0"/>
    </xf>
    <xf numFmtId="164" fontId="14" fillId="0" borderId="12" xfId="1" applyFont="1" applyBorder="1" applyAlignment="1">
      <alignment horizontal="center" vertical="center"/>
    </xf>
    <xf numFmtId="175" fontId="14" fillId="0" borderId="12" xfId="0" applyNumberFormat="1" applyFont="1" applyBorder="1" applyAlignment="1">
      <alignment horizontal="center" vertical="center"/>
    </xf>
    <xf numFmtId="164" fontId="14" fillId="0" borderId="69" xfId="1" applyFont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164" fontId="25" fillId="21" borderId="48" xfId="1" applyFont="1" applyFill="1" applyBorder="1" applyAlignment="1">
      <alignment horizontal="center" vertical="center"/>
    </xf>
    <xf numFmtId="164" fontId="25" fillId="21" borderId="49" xfId="1" applyFont="1" applyFill="1" applyBorder="1" applyAlignment="1">
      <alignment horizontal="center" vertical="center"/>
    </xf>
    <xf numFmtId="164" fontId="25" fillId="21" borderId="58" xfId="1" applyFont="1" applyFill="1" applyBorder="1" applyAlignment="1">
      <alignment horizontal="center" vertical="center"/>
    </xf>
    <xf numFmtId="164" fontId="25" fillId="35" borderId="21" xfId="1" applyFont="1" applyFill="1" applyBorder="1" applyAlignment="1">
      <alignment horizontal="center" vertical="center"/>
    </xf>
    <xf numFmtId="164" fontId="25" fillId="35" borderId="27" xfId="1" applyFont="1" applyFill="1" applyBorder="1" applyAlignment="1">
      <alignment horizontal="center" vertical="center"/>
    </xf>
    <xf numFmtId="164" fontId="25" fillId="35" borderId="40" xfId="1" applyFont="1" applyFill="1" applyBorder="1" applyAlignment="1">
      <alignment horizontal="center" vertical="center"/>
    </xf>
    <xf numFmtId="164" fontId="25" fillId="26" borderId="28" xfId="1" applyFont="1" applyFill="1" applyBorder="1" applyAlignment="1">
      <alignment horizontal="center" vertical="center"/>
    </xf>
    <xf numFmtId="164" fontId="25" fillId="26" borderId="27" xfId="1" applyFont="1" applyFill="1" applyBorder="1" applyAlignment="1">
      <alignment horizontal="center" vertical="center"/>
    </xf>
    <xf numFmtId="164" fontId="28" fillId="16" borderId="20" xfId="0" applyNumberFormat="1" applyFont="1" applyFill="1" applyBorder="1" applyAlignment="1">
      <alignment horizontal="center" vertical="center" wrapText="1"/>
    </xf>
    <xf numFmtId="164" fontId="28" fillId="9" borderId="19" xfId="0" applyNumberFormat="1" applyFont="1" applyFill="1" applyBorder="1" applyAlignment="1">
      <alignment horizontal="center" vertical="center" wrapText="1"/>
    </xf>
    <xf numFmtId="164" fontId="40" fillId="27" borderId="22" xfId="0" applyNumberFormat="1" applyFont="1" applyFill="1" applyBorder="1" applyAlignment="1">
      <alignment horizontal="center" vertical="center" wrapText="1"/>
    </xf>
    <xf numFmtId="164" fontId="25" fillId="36" borderId="21" xfId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2" fontId="28" fillId="9" borderId="2" xfId="0" applyNumberFormat="1" applyFont="1" applyFill="1" applyBorder="1" applyAlignment="1">
      <alignment horizontal="center"/>
    </xf>
    <xf numFmtId="2" fontId="31" fillId="0" borderId="20" xfId="0" applyNumberFormat="1" applyFont="1" applyBorder="1" applyAlignment="1">
      <alignment horizontal="right"/>
    </xf>
    <xf numFmtId="2" fontId="28" fillId="0" borderId="29" xfId="0" applyNumberFormat="1" applyFont="1" applyBorder="1" applyAlignment="1">
      <alignment horizontal="left"/>
    </xf>
    <xf numFmtId="2" fontId="28" fillId="0" borderId="28" xfId="0" applyNumberFormat="1" applyFont="1" applyBorder="1" applyAlignment="1">
      <alignment horizontal="left"/>
    </xf>
    <xf numFmtId="2" fontId="28" fillId="0" borderId="22" xfId="0" applyNumberFormat="1" applyFont="1" applyBorder="1" applyAlignment="1">
      <alignment horizontal="left"/>
    </xf>
    <xf numFmtId="2" fontId="28" fillId="0" borderId="0" xfId="0" applyNumberFormat="1" applyFont="1" applyAlignment="1">
      <alignment horizontal="left"/>
    </xf>
    <xf numFmtId="2" fontId="28" fillId="9" borderId="68" xfId="0" applyNumberFormat="1" applyFont="1" applyFill="1" applyBorder="1" applyAlignment="1">
      <alignment horizontal="center"/>
    </xf>
    <xf numFmtId="2" fontId="28" fillId="9" borderId="44" xfId="0" applyNumberFormat="1" applyFont="1" applyFill="1" applyBorder="1" applyAlignment="1">
      <alignment horizontal="center"/>
    </xf>
    <xf numFmtId="2" fontId="28" fillId="9" borderId="3" xfId="0" applyNumberFormat="1" applyFont="1" applyFill="1" applyBorder="1" applyAlignment="1">
      <alignment horizontal="center"/>
    </xf>
    <xf numFmtId="2" fontId="28" fillId="9" borderId="61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0" fontId="22" fillId="0" borderId="0" xfId="0" applyFont="1"/>
    <xf numFmtId="2" fontId="28" fillId="9" borderId="80" xfId="0" applyNumberFormat="1" applyFont="1" applyFill="1" applyBorder="1" applyAlignment="1">
      <alignment horizontal="center"/>
    </xf>
    <xf numFmtId="2" fontId="28" fillId="9" borderId="81" xfId="0" applyNumberFormat="1" applyFont="1" applyFill="1" applyBorder="1" applyAlignment="1">
      <alignment horizontal="center"/>
    </xf>
    <xf numFmtId="2" fontId="28" fillId="9" borderId="82" xfId="0" applyNumberFormat="1" applyFont="1" applyFill="1" applyBorder="1" applyAlignment="1">
      <alignment horizontal="center"/>
    </xf>
    <xf numFmtId="2" fontId="28" fillId="9" borderId="83" xfId="0" applyNumberFormat="1" applyFont="1" applyFill="1" applyBorder="1" applyAlignment="1">
      <alignment horizontal="center"/>
    </xf>
    <xf numFmtId="2" fontId="28" fillId="14" borderId="30" xfId="0" applyNumberFormat="1" applyFont="1" applyFill="1" applyBorder="1" applyAlignment="1">
      <alignment horizontal="center"/>
    </xf>
    <xf numFmtId="176" fontId="28" fillId="14" borderId="30" xfId="0" applyNumberFormat="1" applyFont="1" applyFill="1" applyBorder="1" applyAlignment="1">
      <alignment horizontal="center"/>
    </xf>
    <xf numFmtId="176" fontId="28" fillId="14" borderId="7" xfId="0" applyNumberFormat="1" applyFont="1" applyFill="1" applyBorder="1" applyAlignment="1">
      <alignment horizontal="center"/>
    </xf>
    <xf numFmtId="177" fontId="28" fillId="14" borderId="7" xfId="0" applyNumberFormat="1" applyFont="1" applyFill="1" applyBorder="1" applyAlignment="1">
      <alignment horizontal="center"/>
    </xf>
    <xf numFmtId="177" fontId="28" fillId="14" borderId="79" xfId="0" applyNumberFormat="1" applyFont="1" applyFill="1" applyBorder="1" applyAlignment="1">
      <alignment horizontal="center"/>
    </xf>
    <xf numFmtId="2" fontId="28" fillId="14" borderId="44" xfId="0" applyNumberFormat="1" applyFont="1" applyFill="1" applyBorder="1" applyAlignment="1">
      <alignment horizontal="center"/>
    </xf>
    <xf numFmtId="176" fontId="28" fillId="14" borderId="44" xfId="0" applyNumberFormat="1" applyFont="1" applyFill="1" applyBorder="1" applyAlignment="1">
      <alignment horizontal="center"/>
    </xf>
    <xf numFmtId="176" fontId="28" fillId="14" borderId="3" xfId="0" applyNumberFormat="1" applyFont="1" applyFill="1" applyBorder="1" applyAlignment="1">
      <alignment horizontal="center"/>
    </xf>
    <xf numFmtId="177" fontId="28" fillId="14" borderId="3" xfId="0" applyNumberFormat="1" applyFont="1" applyFill="1" applyBorder="1" applyAlignment="1">
      <alignment horizontal="center"/>
    </xf>
    <xf numFmtId="177" fontId="28" fillId="14" borderId="61" xfId="0" applyNumberFormat="1" applyFont="1" applyFill="1" applyBorder="1" applyAlignment="1">
      <alignment horizontal="center"/>
    </xf>
    <xf numFmtId="0" fontId="8" fillId="33" borderId="53" xfId="0" applyFont="1" applyFill="1" applyBorder="1" applyAlignment="1" applyProtection="1">
      <alignment horizontal="center" vertical="center"/>
      <protection locked="0"/>
    </xf>
    <xf numFmtId="0" fontId="14" fillId="6" borderId="53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wrapText="1"/>
    </xf>
    <xf numFmtId="0" fontId="14" fillId="23" borderId="54" xfId="0" applyFont="1" applyFill="1" applyBorder="1" applyAlignment="1">
      <alignment horizontal="center" vertical="center" wrapText="1"/>
    </xf>
    <xf numFmtId="0" fontId="23" fillId="24" borderId="54" xfId="0" applyFont="1" applyFill="1" applyBorder="1" applyAlignment="1">
      <alignment horizontal="center" vertical="center" wrapText="1"/>
    </xf>
    <xf numFmtId="0" fontId="14" fillId="24" borderId="84" xfId="0" applyFont="1" applyFill="1" applyBorder="1" applyAlignment="1">
      <alignment horizontal="center" vertical="center" wrapText="1"/>
    </xf>
    <xf numFmtId="0" fontId="9" fillId="0" borderId="0" xfId="0" applyFont="1"/>
    <xf numFmtId="0" fontId="42" fillId="10" borderId="33" xfId="0" applyFont="1" applyFill="1" applyBorder="1" applyAlignment="1">
      <alignment vertical="center"/>
    </xf>
    <xf numFmtId="0" fontId="42" fillId="10" borderId="0" xfId="0" applyFont="1" applyFill="1" applyAlignment="1">
      <alignment vertical="center"/>
    </xf>
    <xf numFmtId="165" fontId="5" fillId="38" borderId="65" xfId="0" applyNumberFormat="1" applyFont="1" applyFill="1" applyBorder="1" applyAlignment="1">
      <alignment horizontal="center" vertical="center"/>
    </xf>
    <xf numFmtId="165" fontId="5" fillId="38" borderId="67" xfId="0" applyNumberFormat="1" applyFont="1" applyFill="1" applyBorder="1" applyAlignment="1">
      <alignment horizontal="center" vertical="center"/>
    </xf>
    <xf numFmtId="165" fontId="5" fillId="38" borderId="43" xfId="0" applyNumberFormat="1" applyFont="1" applyFill="1" applyBorder="1" applyAlignment="1">
      <alignment horizontal="center" vertical="center" wrapText="1"/>
    </xf>
    <xf numFmtId="165" fontId="5" fillId="38" borderId="43" xfId="0" applyNumberFormat="1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vertical="center"/>
    </xf>
    <xf numFmtId="0" fontId="5" fillId="10" borderId="0" xfId="0" applyFont="1" applyFill="1" applyAlignment="1">
      <alignment horizontal="right" vertical="center"/>
    </xf>
    <xf numFmtId="178" fontId="2" fillId="38" borderId="44" xfId="1" applyNumberFormat="1" applyFont="1" applyFill="1" applyBorder="1" applyAlignment="1">
      <alignment horizontal="center" vertical="center"/>
    </xf>
    <xf numFmtId="178" fontId="2" fillId="38" borderId="68" xfId="1" applyNumberFormat="1" applyFont="1" applyFill="1" applyBorder="1" applyAlignment="1">
      <alignment horizontal="center" vertical="center"/>
    </xf>
    <xf numFmtId="178" fontId="2" fillId="38" borderId="45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68" xfId="0" applyNumberFormat="1" applyFont="1" applyFill="1" applyBorder="1" applyAlignment="1">
      <alignment horizontal="center" vertical="center"/>
    </xf>
    <xf numFmtId="165" fontId="2" fillId="38" borderId="45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165" fontId="2" fillId="38" borderId="47" xfId="0" applyNumberFormat="1" applyFont="1" applyFill="1" applyBorder="1" applyAlignment="1">
      <alignment horizontal="center" vertical="center"/>
    </xf>
    <xf numFmtId="0" fontId="43" fillId="10" borderId="65" xfId="0" applyFont="1" applyFill="1" applyBorder="1" applyAlignment="1">
      <alignment horizontal="center" vertical="center"/>
    </xf>
    <xf numFmtId="0" fontId="43" fillId="39" borderId="66" xfId="0" applyFont="1" applyFill="1" applyBorder="1" applyAlignment="1">
      <alignment horizontal="center" vertical="center" wrapText="1"/>
    </xf>
    <xf numFmtId="0" fontId="43" fillId="39" borderId="10" xfId="0" applyFont="1" applyFill="1" applyBorder="1" applyAlignment="1">
      <alignment horizontal="center" vertical="center" wrapText="1"/>
    </xf>
    <xf numFmtId="0" fontId="43" fillId="39" borderId="56" xfId="0" applyFont="1" applyFill="1" applyBorder="1" applyAlignment="1">
      <alignment horizontal="center" vertical="center" wrapText="1"/>
    </xf>
    <xf numFmtId="0" fontId="43" fillId="41" borderId="44" xfId="0" applyFont="1" applyFill="1" applyBorder="1" applyAlignment="1">
      <alignment vertical="center" wrapText="1"/>
    </xf>
    <xf numFmtId="168" fontId="43" fillId="41" borderId="3" xfId="1" applyNumberFormat="1" applyFont="1" applyFill="1" applyBorder="1" applyAlignment="1">
      <alignment horizontal="center" vertical="center"/>
    </xf>
    <xf numFmtId="168" fontId="43" fillId="41" borderId="61" xfId="1" applyNumberFormat="1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vertical="center" wrapText="1"/>
    </xf>
    <xf numFmtId="166" fontId="44" fillId="10" borderId="3" xfId="2" applyNumberFormat="1" applyFont="1" applyFill="1" applyBorder="1" applyAlignment="1" applyProtection="1">
      <alignment vertical="center"/>
    </xf>
    <xf numFmtId="168" fontId="43" fillId="10" borderId="3" xfId="1" applyNumberFormat="1" applyFont="1" applyFill="1" applyBorder="1"/>
    <xf numFmtId="168" fontId="43" fillId="10" borderId="6" xfId="1" applyNumberFormat="1" applyFont="1" applyFill="1" applyBorder="1"/>
    <xf numFmtId="168" fontId="43" fillId="10" borderId="61" xfId="1" applyNumberFormat="1" applyFont="1" applyFill="1" applyBorder="1"/>
    <xf numFmtId="10" fontId="44" fillId="10" borderId="3" xfId="2" applyNumberFormat="1" applyFont="1" applyFill="1" applyBorder="1" applyAlignment="1" applyProtection="1">
      <alignment horizontal="right" vertical="center"/>
    </xf>
    <xf numFmtId="168" fontId="43" fillId="10" borderId="3" xfId="1" applyNumberFormat="1" applyFont="1" applyFill="1" applyBorder="1" applyAlignment="1">
      <alignment horizontal="center"/>
    </xf>
    <xf numFmtId="168" fontId="43" fillId="10" borderId="61" xfId="1" applyNumberFormat="1" applyFont="1" applyFill="1" applyBorder="1" applyAlignment="1">
      <alignment horizontal="center"/>
    </xf>
    <xf numFmtId="168" fontId="45" fillId="10" borderId="3" xfId="2" applyNumberFormat="1" applyFont="1" applyFill="1" applyBorder="1" applyAlignment="1" applyProtection="1">
      <alignment vertical="center"/>
    </xf>
    <xf numFmtId="168" fontId="43" fillId="10" borderId="6" xfId="1" applyNumberFormat="1" applyFont="1" applyFill="1" applyBorder="1" applyAlignment="1">
      <alignment horizontal="center"/>
    </xf>
    <xf numFmtId="10" fontId="45" fillId="10" borderId="3" xfId="0" applyNumberFormat="1" applyFont="1" applyFill="1" applyBorder="1" applyAlignment="1">
      <alignment vertical="center"/>
    </xf>
    <xf numFmtId="0" fontId="25" fillId="8" borderId="44" xfId="0" applyFont="1" applyFill="1" applyBorder="1" applyAlignment="1">
      <alignment horizontal="right" vertical="center"/>
    </xf>
    <xf numFmtId="9" fontId="25" fillId="8" borderId="3" xfId="0" applyNumberFormat="1" applyFont="1" applyFill="1" applyBorder="1" applyAlignment="1">
      <alignment horizontal="center" vertical="center"/>
    </xf>
    <xf numFmtId="4" fontId="25" fillId="8" borderId="3" xfId="0" applyNumberFormat="1" applyFont="1" applyFill="1" applyBorder="1" applyAlignment="1">
      <alignment horizontal="right" vertical="center"/>
    </xf>
    <xf numFmtId="4" fontId="25" fillId="8" borderId="6" xfId="0" applyNumberFormat="1" applyFont="1" applyFill="1" applyBorder="1" applyAlignment="1">
      <alignment horizontal="right" vertical="center"/>
    </xf>
    <xf numFmtId="4" fontId="25" fillId="8" borderId="61" xfId="0" applyNumberFormat="1" applyFont="1" applyFill="1" applyBorder="1" applyAlignment="1">
      <alignment horizontal="right" vertical="center"/>
    </xf>
    <xf numFmtId="0" fontId="9" fillId="10" borderId="4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61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vertical="center"/>
    </xf>
    <xf numFmtId="168" fontId="43" fillId="42" borderId="3" xfId="1" applyNumberFormat="1" applyFont="1" applyFill="1" applyBorder="1" applyAlignment="1">
      <alignment horizontal="center" vertical="center"/>
    </xf>
    <xf numFmtId="168" fontId="43" fillId="42" borderId="61" xfId="1" applyNumberFormat="1" applyFont="1" applyFill="1" applyBorder="1" applyAlignment="1">
      <alignment horizontal="center" vertical="center"/>
    </xf>
    <xf numFmtId="0" fontId="23" fillId="0" borderId="44" xfId="0" applyFont="1" applyBorder="1" applyAlignment="1">
      <alignment vertical="center"/>
    </xf>
    <xf numFmtId="10" fontId="44" fillId="10" borderId="3" xfId="2" applyNumberFormat="1" applyFont="1" applyFill="1" applyBorder="1" applyAlignment="1" applyProtection="1">
      <alignment vertical="center"/>
    </xf>
    <xf numFmtId="10" fontId="25" fillId="8" borderId="3" xfId="0" applyNumberFormat="1" applyFont="1" applyFill="1" applyBorder="1" applyAlignment="1">
      <alignment horizontal="center" vertical="center"/>
    </xf>
    <xf numFmtId="2" fontId="25" fillId="8" borderId="3" xfId="0" applyNumberFormat="1" applyFont="1" applyFill="1" applyBorder="1" applyAlignment="1">
      <alignment horizontal="right" vertical="center"/>
    </xf>
    <xf numFmtId="2" fontId="25" fillId="8" borderId="61" xfId="0" applyNumberFormat="1" applyFont="1" applyFill="1" applyBorder="1" applyAlignment="1">
      <alignment horizontal="right" vertical="center"/>
    </xf>
    <xf numFmtId="0" fontId="25" fillId="3" borderId="3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/>
    </xf>
    <xf numFmtId="0" fontId="25" fillId="3" borderId="61" xfId="0" applyFont="1" applyFill="1" applyBorder="1" applyAlignment="1">
      <alignment vertical="center"/>
    </xf>
    <xf numFmtId="168" fontId="43" fillId="10" borderId="3" xfId="1" applyNumberFormat="1" applyFont="1" applyFill="1" applyBorder="1" applyAlignment="1">
      <alignment vertical="center"/>
    </xf>
    <xf numFmtId="168" fontId="43" fillId="10" borderId="61" xfId="1" applyNumberFormat="1" applyFont="1" applyFill="1" applyBorder="1" applyAlignment="1">
      <alignment vertical="center"/>
    </xf>
    <xf numFmtId="179" fontId="44" fillId="10" borderId="3" xfId="2" applyNumberFormat="1" applyFont="1" applyFill="1" applyBorder="1" applyAlignment="1" applyProtection="1">
      <alignment horizontal="right" vertical="center"/>
    </xf>
    <xf numFmtId="179" fontId="44" fillId="10" borderId="3" xfId="2" applyNumberFormat="1" applyFont="1" applyFill="1" applyBorder="1" applyAlignment="1" applyProtection="1">
      <alignment vertical="center"/>
    </xf>
    <xf numFmtId="168" fontId="43" fillId="10" borderId="3" xfId="1" applyNumberFormat="1" applyFont="1" applyFill="1" applyBorder="1" applyAlignment="1">
      <alignment horizontal="center" vertical="center"/>
    </xf>
    <xf numFmtId="168" fontId="43" fillId="10" borderId="61" xfId="1" applyNumberFormat="1" applyFont="1" applyFill="1" applyBorder="1" applyAlignment="1">
      <alignment horizontal="center" vertical="center"/>
    </xf>
    <xf numFmtId="164" fontId="44" fillId="10" borderId="3" xfId="2" applyNumberFormat="1" applyFont="1" applyFill="1" applyBorder="1" applyAlignment="1" applyProtection="1">
      <alignment vertical="center"/>
    </xf>
    <xf numFmtId="168" fontId="43" fillId="10" borderId="6" xfId="1" applyNumberFormat="1" applyFont="1" applyFill="1" applyBorder="1" applyAlignment="1">
      <alignment horizontal="center" vertical="center"/>
    </xf>
    <xf numFmtId="173" fontId="44" fillId="10" borderId="3" xfId="2" applyNumberFormat="1" applyFont="1" applyFill="1" applyBorder="1" applyAlignment="1" applyProtection="1">
      <alignment vertical="center"/>
    </xf>
    <xf numFmtId="10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4" fontId="23" fillId="0" borderId="6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5" fillId="3" borderId="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61" xfId="0" applyFont="1" applyFill="1" applyBorder="1" applyAlignment="1">
      <alignment horizontal="center" vertical="center"/>
    </xf>
    <xf numFmtId="2" fontId="23" fillId="0" borderId="3" xfId="0" applyNumberFormat="1" applyFont="1" applyBorder="1" applyAlignment="1">
      <alignment horizontal="right" vertical="center"/>
    </xf>
    <xf numFmtId="2" fontId="23" fillId="0" borderId="61" xfId="0" applyNumberFormat="1" applyFont="1" applyBorder="1" applyAlignment="1">
      <alignment horizontal="right" vertical="center"/>
    </xf>
    <xf numFmtId="10" fontId="44" fillId="10" borderId="3" xfId="2" applyNumberFormat="1" applyFont="1" applyFill="1" applyBorder="1" applyAlignment="1" applyProtection="1">
      <alignment vertical="center"/>
      <protection locked="0"/>
    </xf>
    <xf numFmtId="0" fontId="43" fillId="43" borderId="44" xfId="0" applyFont="1" applyFill="1" applyBorder="1" applyAlignment="1">
      <alignment horizontal="right" vertical="center" wrapText="1"/>
    </xf>
    <xf numFmtId="10" fontId="43" fillId="43" borderId="3" xfId="0" applyNumberFormat="1" applyFont="1" applyFill="1" applyBorder="1" applyAlignment="1">
      <alignment horizontal="right" vertical="center" wrapText="1"/>
    </xf>
    <xf numFmtId="168" fontId="43" fillId="43" borderId="3" xfId="0" applyNumberFormat="1" applyFont="1" applyFill="1" applyBorder="1" applyAlignment="1">
      <alignment vertical="center"/>
    </xf>
    <xf numFmtId="168" fontId="43" fillId="43" borderId="61" xfId="0" applyNumberFormat="1" applyFont="1" applyFill="1" applyBorder="1" applyAlignment="1">
      <alignment vertical="center"/>
    </xf>
    <xf numFmtId="168" fontId="43" fillId="43" borderId="3" xfId="0" applyNumberFormat="1" applyFont="1" applyFill="1" applyBorder="1" applyAlignment="1">
      <alignment horizontal="right" vertical="center"/>
    </xf>
    <xf numFmtId="168" fontId="43" fillId="43" borderId="61" xfId="0" applyNumberFormat="1" applyFont="1" applyFill="1" applyBorder="1" applyAlignment="1">
      <alignment horizontal="right" vertical="center"/>
    </xf>
    <xf numFmtId="0" fontId="43" fillId="40" borderId="78" xfId="0" applyFont="1" applyFill="1" applyBorder="1" applyAlignment="1">
      <alignment vertical="center" wrapText="1"/>
    </xf>
    <xf numFmtId="0" fontId="43" fillId="40" borderId="4" xfId="0" applyFont="1" applyFill="1" applyBorder="1" applyAlignment="1">
      <alignment vertical="center" wrapText="1"/>
    </xf>
    <xf numFmtId="0" fontId="43" fillId="40" borderId="50" xfId="0" applyFont="1" applyFill="1" applyBorder="1" applyAlignment="1">
      <alignment vertical="center" wrapText="1"/>
    </xf>
    <xf numFmtId="170" fontId="44" fillId="10" borderId="3" xfId="2" applyNumberFormat="1" applyFont="1" applyFill="1" applyBorder="1" applyProtection="1"/>
    <xf numFmtId="0" fontId="23" fillId="0" borderId="44" xfId="0" applyFont="1" applyBorder="1" applyAlignment="1">
      <alignment wrapText="1"/>
    </xf>
    <xf numFmtId="170" fontId="44" fillId="10" borderId="3" xfId="2" applyNumberFormat="1" applyFont="1" applyFill="1" applyBorder="1" applyAlignment="1" applyProtection="1">
      <alignment vertical="center"/>
    </xf>
    <xf numFmtId="0" fontId="23" fillId="44" borderId="44" xfId="0" applyFont="1" applyFill="1" applyBorder="1" applyAlignment="1">
      <alignment wrapText="1"/>
    </xf>
    <xf numFmtId="10" fontId="44" fillId="44" borderId="3" xfId="2" applyNumberFormat="1" applyFont="1" applyFill="1" applyBorder="1" applyAlignment="1" applyProtection="1">
      <alignment vertical="center"/>
    </xf>
    <xf numFmtId="168" fontId="43" fillId="44" borderId="3" xfId="1" applyNumberFormat="1" applyFont="1" applyFill="1" applyBorder="1" applyAlignment="1">
      <alignment horizontal="center"/>
    </xf>
    <xf numFmtId="168" fontId="43" fillId="44" borderId="6" xfId="1" applyNumberFormat="1" applyFont="1" applyFill="1" applyBorder="1"/>
    <xf numFmtId="168" fontId="43" fillId="44" borderId="61" xfId="1" applyNumberFormat="1" applyFont="1" applyFill="1" applyBorder="1" applyAlignment="1">
      <alignment horizontal="right"/>
    </xf>
    <xf numFmtId="0" fontId="45" fillId="43" borderId="3" xfId="0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69" xfId="0" applyFont="1" applyFill="1" applyBorder="1" applyAlignment="1">
      <alignment horizontal="center" vertical="center"/>
    </xf>
    <xf numFmtId="0" fontId="43" fillId="45" borderId="44" xfId="0" applyFont="1" applyFill="1" applyBorder="1" applyAlignment="1">
      <alignment vertical="center" wrapText="1"/>
    </xf>
    <xf numFmtId="10" fontId="44" fillId="45" borderId="3" xfId="2" applyNumberFormat="1" applyFont="1" applyFill="1" applyBorder="1" applyAlignment="1" applyProtection="1">
      <alignment vertical="center"/>
    </xf>
    <xf numFmtId="168" fontId="43" fillId="45" borderId="3" xfId="1" applyNumberFormat="1" applyFont="1" applyFill="1" applyBorder="1" applyAlignment="1">
      <alignment horizontal="right" vertical="center"/>
    </xf>
    <xf numFmtId="168" fontId="43" fillId="45" borderId="61" xfId="1" applyNumberFormat="1" applyFont="1" applyFill="1" applyBorder="1" applyAlignment="1">
      <alignment horizontal="right" vertical="center"/>
    </xf>
    <xf numFmtId="168" fontId="9" fillId="0" borderId="3" xfId="1" applyNumberFormat="1" applyFont="1" applyBorder="1" applyAlignment="1">
      <alignment horizontal="right" vertical="center"/>
    </xf>
    <xf numFmtId="168" fontId="9" fillId="0" borderId="61" xfId="1" applyNumberFormat="1" applyFont="1" applyBorder="1" applyAlignment="1">
      <alignment horizontal="right" vertical="center"/>
    </xf>
    <xf numFmtId="168" fontId="9" fillId="0" borderId="12" xfId="1" applyNumberFormat="1" applyFont="1" applyBorder="1" applyAlignment="1">
      <alignment horizontal="right" vertical="center"/>
    </xf>
    <xf numFmtId="168" fontId="9" fillId="0" borderId="69" xfId="1" applyNumberFormat="1" applyFont="1" applyBorder="1" applyAlignment="1">
      <alignment horizontal="right" vertical="center"/>
    </xf>
    <xf numFmtId="4" fontId="9" fillId="0" borderId="0" xfId="0" applyNumberFormat="1" applyFont="1"/>
    <xf numFmtId="168" fontId="9" fillId="0" borderId="3" xfId="1" applyNumberFormat="1" applyFont="1" applyBorder="1" applyAlignment="1">
      <alignment vertical="center"/>
    </xf>
    <xf numFmtId="168" fontId="9" fillId="0" borderId="61" xfId="1" applyNumberFormat="1" applyFont="1" applyBorder="1" applyAlignment="1">
      <alignment vertical="center"/>
    </xf>
    <xf numFmtId="10" fontId="44" fillId="10" borderId="12" xfId="2" applyNumberFormat="1" applyFont="1" applyFill="1" applyBorder="1" applyAlignment="1" applyProtection="1">
      <alignment vertical="center"/>
    </xf>
    <xf numFmtId="168" fontId="9" fillId="0" borderId="12" xfId="1" applyNumberFormat="1" applyFont="1" applyBorder="1" applyAlignment="1">
      <alignment vertical="center"/>
    </xf>
    <xf numFmtId="168" fontId="9" fillId="0" borderId="69" xfId="1" applyNumberFormat="1" applyFont="1" applyBorder="1" applyAlignment="1">
      <alignment vertical="center"/>
    </xf>
    <xf numFmtId="10" fontId="44" fillId="46" borderId="67" xfId="2" applyNumberFormat="1" applyFont="1" applyFill="1" applyBorder="1" applyAlignment="1" applyProtection="1">
      <alignment vertical="center"/>
    </xf>
    <xf numFmtId="168" fontId="43" fillId="46" borderId="66" xfId="1" applyNumberFormat="1" applyFont="1" applyFill="1" applyBorder="1" applyAlignment="1">
      <alignment vertical="center"/>
    </xf>
    <xf numFmtId="168" fontId="43" fillId="46" borderId="59" xfId="1" applyNumberFormat="1" applyFont="1" applyFill="1" applyBorder="1" applyAlignment="1">
      <alignment vertical="center"/>
    </xf>
    <xf numFmtId="10" fontId="44" fillId="46" borderId="68" xfId="2" applyNumberFormat="1" applyFont="1" applyFill="1" applyBorder="1" applyAlignment="1" applyProtection="1">
      <alignment vertical="center"/>
    </xf>
    <xf numFmtId="168" fontId="43" fillId="46" borderId="3" xfId="1" applyNumberFormat="1" applyFont="1" applyFill="1" applyBorder="1" applyAlignment="1">
      <alignment vertical="center"/>
    </xf>
    <xf numFmtId="168" fontId="43" fillId="46" borderId="61" xfId="1" applyNumberFormat="1" applyFont="1" applyFill="1" applyBorder="1" applyAlignment="1">
      <alignment vertical="center"/>
    </xf>
    <xf numFmtId="10" fontId="44" fillId="46" borderId="80" xfId="2" applyNumberFormat="1" applyFont="1" applyFill="1" applyBorder="1" applyAlignment="1" applyProtection="1">
      <alignment vertical="center"/>
    </xf>
    <xf numFmtId="168" fontId="43" fillId="46" borderId="54" xfId="1" applyNumberFormat="1" applyFont="1" applyFill="1" applyBorder="1" applyAlignment="1">
      <alignment vertical="center"/>
    </xf>
    <xf numFmtId="168" fontId="43" fillId="46" borderId="84" xfId="1" applyNumberFormat="1" applyFont="1" applyFill="1" applyBorder="1" applyAlignment="1">
      <alignment vertical="center"/>
    </xf>
    <xf numFmtId="0" fontId="44" fillId="10" borderId="7" xfId="2" applyNumberFormat="1" applyFont="1" applyFill="1" applyBorder="1" applyAlignment="1" applyProtection="1">
      <alignment vertical="center"/>
    </xf>
    <xf numFmtId="168" fontId="9" fillId="10" borderId="7" xfId="1" applyNumberFormat="1" applyFont="1" applyFill="1" applyBorder="1" applyAlignment="1">
      <alignment vertical="center"/>
    </xf>
    <xf numFmtId="168" fontId="9" fillId="10" borderId="9" xfId="1" applyNumberFormat="1" applyFont="1" applyFill="1" applyBorder="1" applyAlignment="1">
      <alignment vertical="center"/>
    </xf>
    <xf numFmtId="168" fontId="9" fillId="10" borderId="79" xfId="1" applyNumberFormat="1" applyFont="1" applyFill="1" applyBorder="1" applyAlignment="1">
      <alignment vertical="center"/>
    </xf>
    <xf numFmtId="0" fontId="43" fillId="43" borderId="53" xfId="0" applyFont="1" applyFill="1" applyBorder="1" applyAlignment="1">
      <alignment horizontal="right" vertical="center" wrapText="1"/>
    </xf>
    <xf numFmtId="10" fontId="43" fillId="43" borderId="54" xfId="0" applyNumberFormat="1" applyFont="1" applyFill="1" applyBorder="1" applyAlignment="1">
      <alignment horizontal="right" vertical="center" wrapText="1"/>
    </xf>
    <xf numFmtId="168" fontId="43" fillId="43" borderId="54" xfId="0" applyNumberFormat="1" applyFont="1" applyFill="1" applyBorder="1" applyAlignment="1">
      <alignment vertical="center"/>
    </xf>
    <xf numFmtId="168" fontId="43" fillId="43" borderId="55" xfId="0" applyNumberFormat="1" applyFont="1" applyFill="1" applyBorder="1" applyAlignment="1">
      <alignment vertical="center"/>
    </xf>
    <xf numFmtId="168" fontId="43" fillId="43" borderId="84" xfId="0" applyNumberFormat="1" applyFont="1" applyFill="1" applyBorder="1" applyAlignment="1">
      <alignment vertical="center"/>
    </xf>
    <xf numFmtId="0" fontId="43" fillId="47" borderId="66" xfId="0" applyFont="1" applyFill="1" applyBorder="1" applyAlignment="1">
      <alignment horizontal="center" vertical="center" wrapText="1"/>
    </xf>
    <xf numFmtId="0" fontId="43" fillId="47" borderId="85" xfId="0" applyFont="1" applyFill="1" applyBorder="1" applyAlignment="1">
      <alignment horizontal="center" vertical="center" wrapText="1"/>
    </xf>
    <xf numFmtId="0" fontId="43" fillId="47" borderId="59" xfId="0" applyFont="1" applyFill="1" applyBorder="1" applyAlignment="1">
      <alignment horizontal="center" vertical="center" wrapText="1"/>
    </xf>
    <xf numFmtId="168" fontId="43" fillId="17" borderId="12" xfId="1" applyNumberFormat="1" applyFont="1" applyFill="1" applyBorder="1" applyAlignment="1">
      <alignment horizontal="center" vertical="center"/>
    </xf>
    <xf numFmtId="168" fontId="43" fillId="17" borderId="69" xfId="1" applyNumberFormat="1" applyFont="1" applyFill="1" applyBorder="1" applyAlignment="1">
      <alignment horizontal="center" vertical="center"/>
    </xf>
    <xf numFmtId="168" fontId="43" fillId="10" borderId="66" xfId="0" applyNumberFormat="1" applyFont="1" applyFill="1" applyBorder="1" applyAlignment="1">
      <alignment vertical="center"/>
    </xf>
    <xf numFmtId="168" fontId="43" fillId="10" borderId="59" xfId="0" applyNumberFormat="1" applyFont="1" applyFill="1" applyBorder="1" applyAlignment="1">
      <alignment vertical="center"/>
    </xf>
    <xf numFmtId="168" fontId="43" fillId="10" borderId="3" xfId="0" applyNumberFormat="1" applyFont="1" applyFill="1" applyBorder="1" applyAlignment="1">
      <alignment vertical="center"/>
    </xf>
    <xf numFmtId="168" fontId="43" fillId="10" borderId="61" xfId="0" applyNumberFormat="1" applyFont="1" applyFill="1" applyBorder="1" applyAlignment="1">
      <alignment vertical="center"/>
    </xf>
    <xf numFmtId="168" fontId="46" fillId="10" borderId="3" xfId="0" applyNumberFormat="1" applyFont="1" applyFill="1" applyBorder="1" applyAlignment="1">
      <alignment vertical="center"/>
    </xf>
    <xf numFmtId="168" fontId="46" fillId="10" borderId="6" xfId="0" applyNumberFormat="1" applyFont="1" applyFill="1" applyBorder="1" applyAlignment="1">
      <alignment vertical="center"/>
    </xf>
    <xf numFmtId="168" fontId="46" fillId="10" borderId="61" xfId="0" applyNumberFormat="1" applyFont="1" applyFill="1" applyBorder="1" applyAlignment="1">
      <alignment vertical="center"/>
    </xf>
    <xf numFmtId="168" fontId="46" fillId="10" borderId="12" xfId="0" applyNumberFormat="1" applyFont="1" applyFill="1" applyBorder="1" applyAlignment="1">
      <alignment vertical="center"/>
    </xf>
    <xf numFmtId="168" fontId="46" fillId="10" borderId="69" xfId="0" applyNumberFormat="1" applyFont="1" applyFill="1" applyBorder="1" applyAlignment="1">
      <alignment vertical="center"/>
    </xf>
    <xf numFmtId="168" fontId="46" fillId="10" borderId="16" xfId="0" applyNumberFormat="1" applyFont="1" applyFill="1" applyBorder="1" applyAlignment="1">
      <alignment vertical="center"/>
    </xf>
    <xf numFmtId="168" fontId="46" fillId="10" borderId="50" xfId="0" applyNumberFormat="1" applyFont="1" applyFill="1" applyBorder="1" applyAlignment="1">
      <alignment vertical="center"/>
    </xf>
    <xf numFmtId="0" fontId="43" fillId="18" borderId="27" xfId="0" applyFont="1" applyFill="1" applyBorder="1" applyAlignment="1">
      <alignment vertical="center" wrapText="1"/>
    </xf>
    <xf numFmtId="0" fontId="43" fillId="18" borderId="28" xfId="0" applyFont="1" applyFill="1" applyBorder="1" applyAlignment="1">
      <alignment vertical="center" wrapText="1"/>
    </xf>
    <xf numFmtId="173" fontId="43" fillId="18" borderId="28" xfId="0" applyNumberFormat="1" applyFont="1" applyFill="1" applyBorder="1" applyAlignment="1">
      <alignment horizontal="right" vertical="center" wrapText="1"/>
    </xf>
    <xf numFmtId="173" fontId="43" fillId="18" borderId="29" xfId="0" applyNumberFormat="1" applyFont="1" applyFill="1" applyBorder="1" applyAlignment="1">
      <alignment horizontal="right" vertical="center" wrapText="1"/>
    </xf>
    <xf numFmtId="0" fontId="43" fillId="18" borderId="33" xfId="0" applyFont="1" applyFill="1" applyBorder="1" applyAlignment="1">
      <alignment vertical="center" wrapText="1"/>
    </xf>
    <xf numFmtId="0" fontId="43" fillId="18" borderId="0" xfId="0" applyFont="1" applyFill="1" applyAlignment="1">
      <alignment vertical="center" wrapText="1"/>
    </xf>
    <xf numFmtId="173" fontId="43" fillId="18" borderId="0" xfId="0" applyNumberFormat="1" applyFont="1" applyFill="1" applyAlignment="1">
      <alignment horizontal="right" vertical="center" wrapText="1"/>
    </xf>
    <xf numFmtId="173" fontId="43" fillId="18" borderId="34" xfId="0" applyNumberFormat="1" applyFont="1" applyFill="1" applyBorder="1" applyAlignment="1">
      <alignment horizontal="right" vertical="center" wrapText="1"/>
    </xf>
    <xf numFmtId="0" fontId="43" fillId="22" borderId="27" xfId="0" applyFont="1" applyFill="1" applyBorder="1" applyAlignment="1">
      <alignment vertical="center" wrapText="1"/>
    </xf>
    <xf numFmtId="0" fontId="43" fillId="22" borderId="28" xfId="0" applyFont="1" applyFill="1" applyBorder="1" applyAlignment="1">
      <alignment vertical="center" wrapText="1"/>
    </xf>
    <xf numFmtId="173" fontId="28" fillId="22" borderId="28" xfId="0" applyNumberFormat="1" applyFont="1" applyFill="1" applyBorder="1" applyAlignment="1">
      <alignment horizontal="right" vertical="center" wrapText="1"/>
    </xf>
    <xf numFmtId="173" fontId="43" fillId="22" borderId="28" xfId="0" applyNumberFormat="1" applyFont="1" applyFill="1" applyBorder="1" applyAlignment="1">
      <alignment horizontal="right" vertical="center" wrapText="1"/>
    </xf>
    <xf numFmtId="173" fontId="43" fillId="22" borderId="29" xfId="0" applyNumberFormat="1" applyFont="1" applyFill="1" applyBorder="1" applyAlignment="1">
      <alignment horizontal="right" vertical="center" wrapText="1"/>
    </xf>
    <xf numFmtId="0" fontId="43" fillId="22" borderId="33" xfId="0" applyFont="1" applyFill="1" applyBorder="1" applyAlignment="1">
      <alignment vertical="center" wrapText="1"/>
    </xf>
    <xf numFmtId="0" fontId="43" fillId="22" borderId="0" xfId="0" applyFont="1" applyFill="1" applyAlignment="1">
      <alignment vertical="center" wrapText="1"/>
    </xf>
    <xf numFmtId="173" fontId="28" fillId="22" borderId="0" xfId="0" applyNumberFormat="1" applyFont="1" applyFill="1" applyAlignment="1">
      <alignment horizontal="right" vertical="center" wrapText="1"/>
    </xf>
    <xf numFmtId="173" fontId="43" fillId="22" borderId="0" xfId="0" applyNumberFormat="1" applyFont="1" applyFill="1" applyAlignment="1">
      <alignment horizontal="right" vertical="center" wrapText="1"/>
    </xf>
    <xf numFmtId="173" fontId="43" fillId="22" borderId="34" xfId="0" applyNumberFormat="1" applyFont="1" applyFill="1" applyBorder="1" applyAlignment="1">
      <alignment horizontal="right" vertical="center" wrapText="1"/>
    </xf>
    <xf numFmtId="0" fontId="43" fillId="22" borderId="36" xfId="0" applyFont="1" applyFill="1" applyBorder="1" applyAlignment="1">
      <alignment vertical="center" wrapText="1"/>
    </xf>
    <xf numFmtId="0" fontId="43" fillId="22" borderId="1" xfId="0" applyFont="1" applyFill="1" applyBorder="1" applyAlignment="1">
      <alignment vertical="center" wrapText="1"/>
    </xf>
    <xf numFmtId="173" fontId="28" fillId="22" borderId="1" xfId="0" applyNumberFormat="1" applyFont="1" applyFill="1" applyBorder="1" applyAlignment="1">
      <alignment horizontal="right" vertical="center" wrapText="1"/>
    </xf>
    <xf numFmtId="173" fontId="43" fillId="22" borderId="1" xfId="0" applyNumberFormat="1" applyFont="1" applyFill="1" applyBorder="1" applyAlignment="1">
      <alignment horizontal="right" vertical="center" wrapText="1"/>
    </xf>
    <xf numFmtId="173" fontId="43" fillId="22" borderId="26" xfId="0" applyNumberFormat="1" applyFont="1" applyFill="1" applyBorder="1" applyAlignment="1">
      <alignment horizontal="right" vertical="center" wrapText="1"/>
    </xf>
    <xf numFmtId="0" fontId="9" fillId="0" borderId="33" xfId="0" applyFont="1" applyBorder="1"/>
    <xf numFmtId="0" fontId="43" fillId="48" borderId="3" xfId="0" applyFont="1" applyFill="1" applyBorder="1" applyAlignment="1">
      <alignment horizontal="center" vertical="center"/>
    </xf>
    <xf numFmtId="0" fontId="43" fillId="48" borderId="3" xfId="0" applyFont="1" applyFill="1" applyBorder="1" applyAlignment="1">
      <alignment horizontal="center" vertical="center" wrapText="1"/>
    </xf>
    <xf numFmtId="0" fontId="9" fillId="48" borderId="3" xfId="0" applyFont="1" applyFill="1" applyBorder="1"/>
    <xf numFmtId="180" fontId="9" fillId="48" borderId="3" xfId="0" applyNumberFormat="1" applyFont="1" applyFill="1" applyBorder="1"/>
    <xf numFmtId="168" fontId="9" fillId="48" borderId="3" xfId="0" applyNumberFormat="1" applyFont="1" applyFill="1" applyBorder="1"/>
    <xf numFmtId="0" fontId="43" fillId="48" borderId="3" xfId="0" applyFont="1" applyFill="1" applyBorder="1"/>
    <xf numFmtId="0" fontId="47" fillId="0" borderId="0" xfId="3" applyFont="1" applyBorder="1" applyProtection="1"/>
    <xf numFmtId="0" fontId="48" fillId="6" borderId="3" xfId="0" applyFont="1" applyFill="1" applyBorder="1" applyAlignment="1">
      <alignment horizontal="right"/>
    </xf>
    <xf numFmtId="180" fontId="48" fillId="6" borderId="3" xfId="0" applyNumberFormat="1" applyFont="1" applyFill="1" applyBorder="1"/>
    <xf numFmtId="168" fontId="48" fillId="6" borderId="3" xfId="0" applyNumberFormat="1" applyFont="1" applyFill="1" applyBorder="1"/>
    <xf numFmtId="170" fontId="9" fillId="0" borderId="33" xfId="0" applyNumberFormat="1" applyFont="1" applyBorder="1"/>
    <xf numFmtId="170" fontId="9" fillId="0" borderId="0" xfId="0" applyNumberFormat="1" applyFont="1"/>
    <xf numFmtId="168" fontId="49" fillId="48" borderId="3" xfId="0" applyNumberFormat="1" applyFont="1" applyFill="1" applyBorder="1"/>
    <xf numFmtId="0" fontId="9" fillId="10" borderId="33" xfId="0" applyFont="1" applyFill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181" fontId="9" fillId="10" borderId="0" xfId="0" applyNumberFormat="1" applyFont="1" applyFill="1" applyAlignment="1">
      <alignment vertical="center"/>
    </xf>
    <xf numFmtId="182" fontId="9" fillId="48" borderId="3" xfId="0" applyNumberFormat="1" applyFont="1" applyFill="1" applyBorder="1"/>
    <xf numFmtId="4" fontId="9" fillId="48" borderId="3" xfId="0" applyNumberFormat="1" applyFont="1" applyFill="1" applyBorder="1"/>
    <xf numFmtId="0" fontId="9" fillId="10" borderId="0" xfId="0" applyFont="1" applyFill="1"/>
    <xf numFmtId="0" fontId="0" fillId="10" borderId="0" xfId="0" applyFill="1"/>
    <xf numFmtId="0" fontId="48" fillId="23" borderId="3" xfId="0" applyFont="1" applyFill="1" applyBorder="1" applyAlignment="1">
      <alignment horizontal="right"/>
    </xf>
    <xf numFmtId="180" fontId="9" fillId="23" borderId="3" xfId="0" applyNumberFormat="1" applyFont="1" applyFill="1" applyBorder="1"/>
    <xf numFmtId="4" fontId="9" fillId="23" borderId="3" xfId="0" applyNumberFormat="1" applyFont="1" applyFill="1" applyBorder="1"/>
    <xf numFmtId="168" fontId="48" fillId="23" borderId="3" xfId="0" applyNumberFormat="1" applyFont="1" applyFill="1" applyBorder="1"/>
    <xf numFmtId="182" fontId="9" fillId="23" borderId="3" xfId="0" applyNumberFormat="1" applyFont="1" applyFill="1" applyBorder="1"/>
    <xf numFmtId="0" fontId="23" fillId="48" borderId="3" xfId="0" applyFont="1" applyFill="1" applyBorder="1"/>
    <xf numFmtId="168" fontId="50" fillId="48" borderId="3" xfId="0" applyNumberFormat="1" applyFont="1" applyFill="1" applyBorder="1"/>
    <xf numFmtId="0" fontId="41" fillId="24" borderId="3" xfId="0" applyFont="1" applyFill="1" applyBorder="1" applyAlignment="1">
      <alignment horizontal="right" vertical="center" wrapText="1"/>
    </xf>
    <xf numFmtId="183" fontId="9" fillId="24" borderId="3" xfId="0" applyNumberFormat="1" applyFont="1" applyFill="1" applyBorder="1"/>
    <xf numFmtId="4" fontId="9" fillId="24" borderId="3" xfId="0" applyNumberFormat="1" applyFont="1" applyFill="1" applyBorder="1"/>
    <xf numFmtId="168" fontId="48" fillId="24" borderId="3" xfId="0" applyNumberFormat="1" applyFont="1" applyFill="1" applyBorder="1"/>
    <xf numFmtId="0" fontId="43" fillId="39" borderId="86" xfId="0" applyFont="1" applyFill="1" applyBorder="1" applyAlignment="1">
      <alignment horizontal="center" vertical="center" wrapText="1"/>
    </xf>
    <xf numFmtId="0" fontId="43" fillId="39" borderId="87" xfId="0" applyFont="1" applyFill="1" applyBorder="1" applyAlignment="1">
      <alignment horizontal="center" vertical="center" wrapText="1"/>
    </xf>
    <xf numFmtId="168" fontId="43" fillId="41" borderId="10" xfId="1" applyNumberFormat="1" applyFont="1" applyFill="1" applyBorder="1" applyAlignment="1">
      <alignment horizontal="center" vertical="center"/>
    </xf>
    <xf numFmtId="168" fontId="43" fillId="41" borderId="56" xfId="1" applyNumberFormat="1" applyFont="1" applyFill="1" applyBorder="1" applyAlignment="1">
      <alignment horizontal="center" vertical="center"/>
    </xf>
    <xf numFmtId="168" fontId="43" fillId="10" borderId="10" xfId="1" applyNumberFormat="1" applyFont="1" applyFill="1" applyBorder="1"/>
    <xf numFmtId="168" fontId="43" fillId="10" borderId="56" xfId="1" applyNumberFormat="1" applyFont="1" applyFill="1" applyBorder="1"/>
    <xf numFmtId="2" fontId="25" fillId="8" borderId="10" xfId="0" applyNumberFormat="1" applyFont="1" applyFill="1" applyBorder="1" applyAlignment="1">
      <alignment horizontal="right" vertical="center"/>
    </xf>
    <xf numFmtId="2" fontId="25" fillId="8" borderId="56" xfId="0" applyNumberFormat="1" applyFont="1" applyFill="1" applyBorder="1" applyAlignment="1">
      <alignment horizontal="right" vertical="center"/>
    </xf>
    <xf numFmtId="168" fontId="43" fillId="42" borderId="10" xfId="1" applyNumberFormat="1" applyFont="1" applyFill="1" applyBorder="1" applyAlignment="1">
      <alignment horizontal="center" vertical="center"/>
    </xf>
    <xf numFmtId="168" fontId="43" fillId="42" borderId="56" xfId="1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vertical="center"/>
    </xf>
    <xf numFmtId="0" fontId="25" fillId="3" borderId="56" xfId="0" applyFont="1" applyFill="1" applyBorder="1" applyAlignment="1">
      <alignment vertical="center"/>
    </xf>
    <xf numFmtId="168" fontId="43" fillId="10" borderId="10" xfId="1" applyNumberFormat="1" applyFont="1" applyFill="1" applyBorder="1" applyAlignment="1">
      <alignment vertical="center"/>
    </xf>
    <xf numFmtId="168" fontId="43" fillId="10" borderId="56" xfId="1" applyNumberFormat="1" applyFont="1" applyFill="1" applyBorder="1" applyAlignment="1">
      <alignment vertical="center"/>
    </xf>
    <xf numFmtId="4" fontId="23" fillId="0" borderId="10" xfId="0" applyNumberFormat="1" applyFont="1" applyBorder="1" applyAlignment="1">
      <alignment vertical="center"/>
    </xf>
    <xf numFmtId="4" fontId="23" fillId="0" borderId="56" xfId="0" applyNumberFormat="1" applyFont="1" applyBorder="1" applyAlignment="1">
      <alignment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2" fontId="23" fillId="0" borderId="10" xfId="0" applyNumberFormat="1" applyFont="1" applyBorder="1" applyAlignment="1">
      <alignment horizontal="right" vertical="center"/>
    </xf>
    <xf numFmtId="2" fontId="23" fillId="0" borderId="56" xfId="0" applyNumberFormat="1" applyFont="1" applyBorder="1" applyAlignment="1">
      <alignment horizontal="right" vertical="center"/>
    </xf>
    <xf numFmtId="4" fontId="25" fillId="8" borderId="10" xfId="0" applyNumberFormat="1" applyFont="1" applyFill="1" applyBorder="1" applyAlignment="1">
      <alignment horizontal="right" vertical="center"/>
    </xf>
    <xf numFmtId="4" fontId="25" fillId="8" borderId="56" xfId="0" applyNumberFormat="1" applyFont="1" applyFill="1" applyBorder="1" applyAlignment="1">
      <alignment horizontal="right" vertical="center"/>
    </xf>
    <xf numFmtId="168" fontId="43" fillId="43" borderId="10" xfId="0" applyNumberFormat="1" applyFont="1" applyFill="1" applyBorder="1" applyAlignment="1">
      <alignment vertical="center"/>
    </xf>
    <xf numFmtId="168" fontId="43" fillId="43" borderId="56" xfId="0" applyNumberFormat="1" applyFont="1" applyFill="1" applyBorder="1" applyAlignment="1">
      <alignment vertical="center"/>
    </xf>
    <xf numFmtId="170" fontId="44" fillId="10" borderId="3" xfId="2" applyNumberFormat="1" applyFont="1" applyFill="1" applyBorder="1" applyAlignment="1" applyProtection="1">
      <alignment wrapText="1"/>
    </xf>
    <xf numFmtId="170" fontId="44" fillId="10" borderId="3" xfId="2" applyNumberFormat="1" applyFont="1" applyFill="1" applyBorder="1" applyAlignment="1" applyProtection="1">
      <alignment vertical="center" wrapText="1"/>
    </xf>
    <xf numFmtId="168" fontId="43" fillId="10" borderId="10" xfId="1" applyNumberFormat="1" applyFont="1" applyFill="1" applyBorder="1" applyAlignment="1">
      <alignment horizontal="center"/>
    </xf>
    <xf numFmtId="173" fontId="44" fillId="10" borderId="3" xfId="2" applyNumberFormat="1" applyFont="1" applyFill="1" applyBorder="1" applyAlignment="1" applyProtection="1">
      <alignment vertical="center" wrapText="1"/>
    </xf>
    <xf numFmtId="168" fontId="43" fillId="45" borderId="10" xfId="1" applyNumberFormat="1" applyFont="1" applyFill="1" applyBorder="1" applyAlignment="1">
      <alignment horizontal="right" vertical="center"/>
    </xf>
    <xf numFmtId="168" fontId="43" fillId="45" borderId="56" xfId="1" applyNumberFormat="1" applyFont="1" applyFill="1" applyBorder="1" applyAlignment="1">
      <alignment horizontal="right" vertical="center"/>
    </xf>
    <xf numFmtId="168" fontId="9" fillId="0" borderId="10" xfId="1" applyNumberFormat="1" applyFont="1" applyBorder="1" applyAlignment="1">
      <alignment vertical="center"/>
    </xf>
    <xf numFmtId="168" fontId="9" fillId="0" borderId="56" xfId="1" applyNumberFormat="1" applyFont="1" applyBorder="1" applyAlignment="1">
      <alignment vertical="center"/>
    </xf>
    <xf numFmtId="168" fontId="9" fillId="0" borderId="10" xfId="1" applyNumberFormat="1" applyFont="1" applyBorder="1" applyAlignment="1">
      <alignment horizontal="right" vertical="center"/>
    </xf>
    <xf numFmtId="168" fontId="9" fillId="0" borderId="56" xfId="1" applyNumberFormat="1" applyFont="1" applyBorder="1" applyAlignment="1">
      <alignment horizontal="right" vertical="center"/>
    </xf>
    <xf numFmtId="168" fontId="9" fillId="0" borderId="82" xfId="1" applyNumberFormat="1" applyFont="1" applyBorder="1" applyAlignment="1">
      <alignment vertical="center"/>
    </xf>
    <xf numFmtId="168" fontId="9" fillId="0" borderId="88" xfId="1" applyNumberFormat="1" applyFont="1" applyBorder="1" applyAlignment="1">
      <alignment vertical="center"/>
    </xf>
    <xf numFmtId="168" fontId="43" fillId="46" borderId="86" xfId="1" applyNumberFormat="1" applyFont="1" applyFill="1" applyBorder="1" applyAlignment="1">
      <alignment vertical="center"/>
    </xf>
    <xf numFmtId="168" fontId="43" fillId="46" borderId="87" xfId="1" applyNumberFormat="1" applyFont="1" applyFill="1" applyBorder="1" applyAlignment="1">
      <alignment vertical="center"/>
    </xf>
    <xf numFmtId="168" fontId="43" fillId="46" borderId="10" xfId="1" applyNumberFormat="1" applyFont="1" applyFill="1" applyBorder="1" applyAlignment="1">
      <alignment vertical="center"/>
    </xf>
    <xf numFmtId="168" fontId="43" fillId="46" borderId="56" xfId="1" applyNumberFormat="1" applyFont="1" applyFill="1" applyBorder="1" applyAlignment="1">
      <alignment vertical="center"/>
    </xf>
    <xf numFmtId="168" fontId="43" fillId="46" borderId="82" xfId="1" applyNumberFormat="1" applyFont="1" applyFill="1" applyBorder="1" applyAlignment="1">
      <alignment vertical="center"/>
    </xf>
    <xf numFmtId="168" fontId="43" fillId="46" borderId="88" xfId="1" applyNumberFormat="1" applyFont="1" applyFill="1" applyBorder="1" applyAlignment="1">
      <alignment vertical="center"/>
    </xf>
    <xf numFmtId="0" fontId="43" fillId="47" borderId="86" xfId="0" applyFont="1" applyFill="1" applyBorder="1" applyAlignment="1">
      <alignment horizontal="center" vertical="center" wrapText="1"/>
    </xf>
    <xf numFmtId="0" fontId="43" fillId="47" borderId="87" xfId="0" applyFont="1" applyFill="1" applyBorder="1" applyAlignment="1">
      <alignment horizontal="center" vertical="center" wrapText="1"/>
    </xf>
    <xf numFmtId="168" fontId="43" fillId="17" borderId="82" xfId="1" applyNumberFormat="1" applyFont="1" applyFill="1" applyBorder="1" applyAlignment="1">
      <alignment horizontal="center" vertical="center"/>
    </xf>
    <xf numFmtId="168" fontId="43" fillId="17" borderId="88" xfId="1" applyNumberFormat="1" applyFont="1" applyFill="1" applyBorder="1" applyAlignment="1">
      <alignment horizontal="center" vertical="center"/>
    </xf>
    <xf numFmtId="168" fontId="43" fillId="10" borderId="86" xfId="0" applyNumberFormat="1" applyFont="1" applyFill="1" applyBorder="1" applyAlignment="1">
      <alignment vertical="center"/>
    </xf>
    <xf numFmtId="168" fontId="43" fillId="10" borderId="87" xfId="0" applyNumberFormat="1" applyFont="1" applyFill="1" applyBorder="1" applyAlignment="1">
      <alignment vertical="center"/>
    </xf>
    <xf numFmtId="168" fontId="43" fillId="10" borderId="10" xfId="0" applyNumberFormat="1" applyFont="1" applyFill="1" applyBorder="1" applyAlignment="1">
      <alignment vertical="center"/>
    </xf>
    <xf numFmtId="168" fontId="43" fillId="10" borderId="56" xfId="0" applyNumberFormat="1" applyFont="1" applyFill="1" applyBorder="1" applyAlignment="1">
      <alignment vertical="center"/>
    </xf>
    <xf numFmtId="168" fontId="46" fillId="10" borderId="10" xfId="0" applyNumberFormat="1" applyFont="1" applyFill="1" applyBorder="1" applyAlignment="1">
      <alignment vertical="center"/>
    </xf>
    <xf numFmtId="168" fontId="46" fillId="10" borderId="56" xfId="0" applyNumberFormat="1" applyFont="1" applyFill="1" applyBorder="1" applyAlignment="1">
      <alignment vertical="center"/>
    </xf>
    <xf numFmtId="168" fontId="46" fillId="10" borderId="82" xfId="0" applyNumberFormat="1" applyFont="1" applyFill="1" applyBorder="1" applyAlignment="1">
      <alignment vertical="center"/>
    </xf>
    <xf numFmtId="168" fontId="46" fillId="10" borderId="88" xfId="0" applyNumberFormat="1" applyFont="1" applyFill="1" applyBorder="1" applyAlignment="1">
      <alignment vertical="center"/>
    </xf>
    <xf numFmtId="173" fontId="43" fillId="18" borderId="1" xfId="0" applyNumberFormat="1" applyFont="1" applyFill="1" applyBorder="1" applyAlignment="1">
      <alignment horizontal="right" vertical="center" wrapText="1"/>
    </xf>
    <xf numFmtId="173" fontId="43" fillId="18" borderId="26" xfId="0" applyNumberFormat="1" applyFont="1" applyFill="1" applyBorder="1" applyAlignment="1">
      <alignment horizontal="right" vertical="center" wrapText="1"/>
    </xf>
    <xf numFmtId="173" fontId="28" fillId="22" borderId="29" xfId="0" applyNumberFormat="1" applyFont="1" applyFill="1" applyBorder="1" applyAlignment="1">
      <alignment horizontal="right" vertical="center" wrapText="1"/>
    </xf>
    <xf numFmtId="173" fontId="28" fillId="22" borderId="34" xfId="0" applyNumberFormat="1" applyFont="1" applyFill="1" applyBorder="1" applyAlignment="1">
      <alignment horizontal="right" vertical="center" wrapText="1"/>
    </xf>
    <xf numFmtId="173" fontId="28" fillId="22" borderId="26" xfId="0" applyNumberFormat="1" applyFont="1" applyFill="1" applyBorder="1" applyAlignment="1">
      <alignment horizontal="right" vertical="center" wrapText="1"/>
    </xf>
    <xf numFmtId="10" fontId="8" fillId="0" borderId="56" xfId="0" applyNumberFormat="1" applyFont="1" applyBorder="1" applyAlignment="1" applyProtection="1">
      <alignment horizontal="center" vertical="center"/>
      <protection locked="0"/>
    </xf>
    <xf numFmtId="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7" xfId="1" applyFont="1" applyBorder="1" applyAlignment="1">
      <alignment horizontal="center" vertical="center"/>
    </xf>
    <xf numFmtId="164" fontId="14" fillId="0" borderId="79" xfId="1" applyFont="1" applyBorder="1" applyAlignment="1">
      <alignment horizontal="center" vertical="center"/>
    </xf>
    <xf numFmtId="164" fontId="12" fillId="0" borderId="0" xfId="1"/>
    <xf numFmtId="164" fontId="25" fillId="26" borderId="20" xfId="1" applyFont="1" applyFill="1" applyBorder="1" applyAlignment="1">
      <alignment horizontal="center" vertical="center"/>
    </xf>
    <xf numFmtId="168" fontId="43" fillId="10" borderId="56" xfId="1" applyNumberFormat="1" applyFont="1" applyFill="1" applyBorder="1" applyAlignment="1">
      <alignment horizontal="center"/>
    </xf>
    <xf numFmtId="10" fontId="15" fillId="0" borderId="56" xfId="0" applyNumberFormat="1" applyFont="1" applyBorder="1" applyAlignment="1" applyProtection="1">
      <alignment horizontal="center" vertical="center"/>
      <protection locked="0"/>
    </xf>
    <xf numFmtId="4" fontId="16" fillId="0" borderId="10" xfId="0" applyNumberFormat="1" applyFont="1" applyBorder="1" applyAlignment="1" applyProtection="1">
      <alignment horizontal="right" vertical="center"/>
      <protection locked="0"/>
    </xf>
    <xf numFmtId="164" fontId="16" fillId="0" borderId="10" xfId="1" applyFont="1" applyBorder="1" applyAlignment="1">
      <alignment horizontal="center" vertical="center"/>
    </xf>
    <xf numFmtId="164" fontId="16" fillId="0" borderId="7" xfId="1" applyFont="1" applyBorder="1" applyAlignment="1">
      <alignment horizontal="center" vertical="center"/>
    </xf>
    <xf numFmtId="164" fontId="16" fillId="0" borderId="79" xfId="1" applyFont="1" applyBorder="1" applyAlignment="1">
      <alignment horizontal="center" vertical="center"/>
    </xf>
    <xf numFmtId="164" fontId="16" fillId="0" borderId="3" xfId="1" applyFont="1" applyBorder="1" applyAlignment="1">
      <alignment horizontal="center" vertical="center"/>
    </xf>
    <xf numFmtId="164" fontId="16" fillId="0" borderId="61" xfId="1" applyFont="1" applyBorder="1" applyAlignment="1">
      <alignment horizontal="center" vertical="center"/>
    </xf>
    <xf numFmtId="164" fontId="16" fillId="0" borderId="12" xfId="1" applyFont="1" applyBorder="1" applyAlignment="1">
      <alignment horizontal="center" vertical="center"/>
    </xf>
    <xf numFmtId="164" fontId="16" fillId="0" borderId="69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0" fontId="18" fillId="12" borderId="19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5" borderId="19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6" borderId="40" xfId="0" applyFont="1" applyFill="1" applyBorder="1" applyAlignment="1">
      <alignment horizontal="center" vertical="center"/>
    </xf>
    <xf numFmtId="0" fontId="18" fillId="16" borderId="19" xfId="0" applyFont="1" applyFill="1" applyBorder="1" applyAlignment="1">
      <alignment horizontal="center" vertical="center"/>
    </xf>
    <xf numFmtId="0" fontId="18" fillId="16" borderId="41" xfId="0" applyFont="1" applyFill="1" applyBorder="1" applyAlignment="1">
      <alignment horizontal="center" vertical="center"/>
    </xf>
    <xf numFmtId="0" fontId="19" fillId="10" borderId="44" xfId="0" applyFont="1" applyFill="1" applyBorder="1" applyAlignment="1">
      <alignment horizontal="left" vertical="top"/>
    </xf>
    <xf numFmtId="0" fontId="23" fillId="10" borderId="3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horizontal="center" vertical="center"/>
    </xf>
    <xf numFmtId="170" fontId="17" fillId="0" borderId="58" xfId="0" applyNumberFormat="1" applyFont="1" applyBorder="1" applyAlignment="1">
      <alignment horizontal="center" vertical="center"/>
    </xf>
    <xf numFmtId="0" fontId="25" fillId="19" borderId="21" xfId="0" applyFont="1" applyFill="1" applyBorder="1" applyAlignment="1">
      <alignment horizontal="center" vertical="center"/>
    </xf>
    <xf numFmtId="0" fontId="25" fillId="20" borderId="21" xfId="0" applyFont="1" applyFill="1" applyBorder="1" applyAlignment="1">
      <alignment horizontal="center" vertical="center"/>
    </xf>
    <xf numFmtId="0" fontId="25" fillId="21" borderId="21" xfId="0" applyFont="1" applyFill="1" applyBorder="1" applyAlignment="1">
      <alignment horizontal="center" vertical="center"/>
    </xf>
    <xf numFmtId="0" fontId="25" fillId="22" borderId="21" xfId="0" applyFont="1" applyFill="1" applyBorder="1" applyAlignment="1" applyProtection="1">
      <alignment horizontal="center" vertical="center"/>
      <protection locked="0"/>
    </xf>
    <xf numFmtId="0" fontId="25" fillId="22" borderId="22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6" borderId="29" xfId="0" applyFont="1" applyFill="1" applyBorder="1" applyAlignment="1">
      <alignment horizontal="center" vertical="center" wrapText="1"/>
    </xf>
    <xf numFmtId="0" fontId="28" fillId="16" borderId="19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28" fillId="27" borderId="19" xfId="0" applyFont="1" applyFill="1" applyBorder="1" applyAlignment="1">
      <alignment horizontal="center" vertical="center" wrapText="1"/>
    </xf>
    <xf numFmtId="0" fontId="33" fillId="21" borderId="19" xfId="0" applyFont="1" applyFill="1" applyBorder="1" applyAlignment="1">
      <alignment horizontal="center" vertical="center"/>
    </xf>
    <xf numFmtId="0" fontId="36" fillId="2" borderId="70" xfId="0" applyFont="1" applyFill="1" applyBorder="1" applyAlignment="1">
      <alignment horizontal="center" vertical="center"/>
    </xf>
    <xf numFmtId="4" fontId="34" fillId="2" borderId="73" xfId="0" applyNumberFormat="1" applyFont="1" applyFill="1" applyBorder="1" applyAlignment="1">
      <alignment horizontal="center" vertical="center"/>
    </xf>
    <xf numFmtId="0" fontId="25" fillId="19" borderId="75" xfId="0" applyFont="1" applyFill="1" applyBorder="1" applyAlignment="1">
      <alignment horizontal="center" vertical="center"/>
    </xf>
    <xf numFmtId="0" fontId="25" fillId="20" borderId="76" xfId="0" applyFont="1" applyFill="1" applyBorder="1" applyAlignment="1">
      <alignment horizontal="center" vertical="center"/>
    </xf>
    <xf numFmtId="0" fontId="25" fillId="21" borderId="7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33" borderId="20" xfId="0" applyFont="1" applyFill="1" applyBorder="1" applyAlignment="1" applyProtection="1">
      <alignment horizontal="center" vertical="center"/>
      <protection locked="0"/>
    </xf>
    <xf numFmtId="0" fontId="8" fillId="34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8" fillId="23" borderId="21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0" fontId="29" fillId="35" borderId="20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26" borderId="28" xfId="0" applyFont="1" applyFill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0" fontId="42" fillId="10" borderId="38" xfId="0" applyFont="1" applyFill="1" applyBorder="1" applyAlignment="1">
      <alignment horizontal="center" vertical="center"/>
    </xf>
    <xf numFmtId="165" fontId="5" fillId="38" borderId="65" xfId="0" applyNumberFormat="1" applyFont="1" applyFill="1" applyBorder="1" applyAlignment="1">
      <alignment horizontal="center" vertical="center"/>
    </xf>
    <xf numFmtId="165" fontId="5" fillId="38" borderId="67" xfId="0" applyNumberFormat="1" applyFont="1" applyFill="1" applyBorder="1" applyAlignment="1">
      <alignment horizontal="center" vertical="center"/>
    </xf>
    <xf numFmtId="178" fontId="2" fillId="38" borderId="44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0" fontId="43" fillId="40" borderId="45" xfId="0" applyFont="1" applyFill="1" applyBorder="1" applyAlignment="1">
      <alignment horizontal="left" vertical="center" wrapText="1"/>
    </xf>
    <xf numFmtId="0" fontId="9" fillId="10" borderId="44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43" fillId="47" borderId="65" xfId="0" applyFont="1" applyFill="1" applyBorder="1" applyAlignment="1">
      <alignment horizontal="center" vertical="center" wrapText="1"/>
    </xf>
    <xf numFmtId="0" fontId="43" fillId="17" borderId="53" xfId="0" applyFont="1" applyFill="1" applyBorder="1" applyAlignment="1">
      <alignment horizontal="left" vertical="center" wrapText="1"/>
    </xf>
    <xf numFmtId="0" fontId="43" fillId="10" borderId="65" xfId="0" applyFont="1" applyFill="1" applyBorder="1" applyAlignment="1">
      <alignment horizontal="left" vertical="center" wrapText="1"/>
    </xf>
    <xf numFmtId="0" fontId="43" fillId="10" borderId="44" xfId="0" applyFont="1" applyFill="1" applyBorder="1" applyAlignment="1">
      <alignment horizontal="left" vertical="center" wrapText="1"/>
    </xf>
    <xf numFmtId="0" fontId="43" fillId="10" borderId="44" xfId="0" applyFont="1" applyFill="1" applyBorder="1" applyAlignment="1">
      <alignment horizontal="center" vertical="center" wrapText="1"/>
    </xf>
    <xf numFmtId="0" fontId="43" fillId="10" borderId="46" xfId="0" applyFont="1" applyFill="1" applyBorder="1" applyAlignment="1">
      <alignment horizontal="left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25" fillId="23" borderId="3" xfId="0" applyFont="1" applyFill="1" applyBorder="1" applyAlignment="1">
      <alignment horizontal="center" vertical="center" wrapText="1"/>
    </xf>
    <xf numFmtId="0" fontId="25" fillId="24" borderId="3" xfId="0" applyFont="1" applyFill="1" applyBorder="1" applyAlignment="1">
      <alignment horizontal="center" vertical="center" wrapText="1"/>
    </xf>
    <xf numFmtId="0" fontId="43" fillId="40" borderId="10" xfId="0" applyFont="1" applyFill="1" applyBorder="1" applyAlignment="1">
      <alignment horizontal="left" vertical="center" wrapText="1"/>
    </xf>
    <xf numFmtId="0" fontId="43" fillId="40" borderId="78" xfId="0" applyFont="1" applyFill="1" applyBorder="1" applyAlignment="1">
      <alignment horizontal="left" vertical="center" wrapText="1"/>
    </xf>
    <xf numFmtId="0" fontId="43" fillId="40" borderId="57" xfId="0" applyFont="1" applyFill="1" applyBorder="1" applyAlignment="1">
      <alignment horizontal="left" vertical="center" wrapText="1"/>
    </xf>
    <xf numFmtId="165" fontId="2" fillId="38" borderId="68" xfId="0" applyNumberFormat="1" applyFont="1" applyFill="1" applyBorder="1" applyAlignment="1">
      <alignment horizontal="center" vertical="center"/>
    </xf>
  </cellXfs>
  <cellStyles count="5">
    <cellStyle name="Hiperlink" xfId="3" builtinId="8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1C1C1"/>
      <rgbColor rgb="FFA9D18E"/>
      <rgbColor rgb="FFFACFD6"/>
      <rgbColor rgb="FF5EB91E"/>
      <rgbColor rgb="FFFCE4D6"/>
      <rgbColor rgb="FF58AA38"/>
      <rgbColor rgb="FFB4C7E7"/>
      <rgbColor rgb="FF8FAADC"/>
      <rgbColor rgb="FFC0C0C0"/>
      <rgbColor rgb="FF808080"/>
      <rgbColor rgb="FF8EA9DB"/>
      <rgbColor rgb="FFA1467E"/>
      <rgbColor rgb="FFFFFFCC"/>
      <rgbColor rgb="FFDEEBF7"/>
      <rgbColor rgb="FFD9D9D9"/>
      <rgbColor rgb="FFFD7264"/>
      <rgbColor rgb="FF0B509F"/>
      <rgbColor rgb="FFCCCCFF"/>
      <rgbColor rgb="FFFFF2CC"/>
      <rgbColor rgb="FFB4C6E7"/>
      <rgbColor rgb="FFFFE699"/>
      <rgbColor rgb="FFA9D08E"/>
      <rgbColor rgb="FFCCCCCC"/>
      <rgbColor rgb="FFDBDBDB"/>
      <rgbColor rgb="FFA6A6A6"/>
      <rgbColor rgb="FFDDDDDD"/>
      <rgbColor rgb="FF00CCFF"/>
      <rgbColor rgb="FFD9E1F2"/>
      <rgbColor rgb="FFC6E0B4"/>
      <rgbColor rgb="FFFFFF99"/>
      <rgbColor rgb="FF9BC2E6"/>
      <rgbColor rgb="FFFF9999"/>
      <rgbColor rgb="FFCC90F4"/>
      <rgbColor rgb="FFFFCCCC"/>
      <rgbColor rgb="FF729FCF"/>
      <rgbColor rgb="FF5B9BD5"/>
      <rgbColor rgb="FFBBE33D"/>
      <rgbColor rgb="FFFFCC00"/>
      <rgbColor rgb="FFF4B183"/>
      <rgbColor rgb="FFF64A12"/>
      <rgbColor rgb="FF5680B6"/>
      <rgbColor rgb="FF8497B0"/>
      <rgbColor rgb="FFB4C7DC"/>
      <rgbColor rgb="FF349864"/>
      <rgbColor rgb="FFD6DCE4"/>
      <rgbColor rgb="FF3D4C2F"/>
      <rgbColor rgb="FF824802"/>
      <rgbColor rgb="FFBF819E"/>
      <rgbColor rgb="FFADB9C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br/compras/pt-br/agente-publico/cadernos-tecnicos-e-valores-limites/cadernos-tecnicos-e-valores-limites-2019" TargetMode="External"/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LZ1048509"/>
  <sheetViews>
    <sheetView topLeftCell="E1" zoomScale="96" zoomScaleNormal="96" workbookViewId="0">
      <selection activeCell="I16" sqref="I16"/>
    </sheetView>
  </sheetViews>
  <sheetFormatPr defaultRowHeight="14.25" x14ac:dyDescent="0.2"/>
  <cols>
    <col min="1" max="1" width="4.375" style="1" customWidth="1"/>
    <col min="2" max="2" width="41.875" style="1" customWidth="1"/>
    <col min="3" max="4" width="11.875" style="1" customWidth="1"/>
    <col min="5" max="13" width="11.875" style="2" customWidth="1"/>
    <col min="14" max="14" width="27.125" style="2" customWidth="1"/>
    <col min="15" max="15" width="10.75" style="2" customWidth="1"/>
    <col min="16" max="16" width="8.875" style="1" customWidth="1"/>
    <col min="17" max="17" width="10.375" style="1" customWidth="1"/>
    <col min="18" max="18" width="6.625" style="1" customWidth="1"/>
    <col min="19" max="19" width="6.25" style="1" customWidth="1"/>
    <col min="20" max="21" width="11.125" style="1" customWidth="1"/>
    <col min="22" max="22" width="12.5" style="1" customWidth="1"/>
    <col min="23" max="23" width="3.75" style="1" customWidth="1"/>
    <col min="24" max="24" width="8.125" style="1" customWidth="1"/>
    <col min="25" max="25" width="8" style="1" customWidth="1"/>
    <col min="26" max="1014" width="10.5" style="1" customWidth="1"/>
    <col min="1015" max="1025" width="10.5" customWidth="1"/>
  </cols>
  <sheetData>
    <row r="1" spans="1:13" ht="23.25" x14ac:dyDescent="0.2">
      <c r="A1" s="3"/>
      <c r="B1" s="667" t="s">
        <v>0</v>
      </c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</row>
    <row r="2" spans="1:13" x14ac:dyDescent="0.2">
      <c r="B2" s="4"/>
      <c r="C2" s="4"/>
      <c r="D2" s="4"/>
      <c r="E2" s="4"/>
    </row>
    <row r="3" spans="1:13" ht="26.1" customHeight="1" x14ac:dyDescent="0.2">
      <c r="B3" s="5" t="s">
        <v>1</v>
      </c>
      <c r="C3" s="668" t="s">
        <v>2</v>
      </c>
      <c r="D3" s="668"/>
      <c r="E3" s="6">
        <v>22</v>
      </c>
    </row>
    <row r="4" spans="1:13" x14ac:dyDescent="0.2">
      <c r="C4" s="669" t="s">
        <v>3</v>
      </c>
      <c r="D4" s="669"/>
      <c r="E4" s="7">
        <v>30</v>
      </c>
    </row>
    <row r="6" spans="1:13" ht="17.100000000000001" customHeight="1" x14ac:dyDescent="0.2">
      <c r="A6" s="3"/>
      <c r="B6" s="670" t="s">
        <v>4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</row>
    <row r="7" spans="1:13" x14ac:dyDescent="0.2">
      <c r="B7" s="8" t="s">
        <v>5</v>
      </c>
      <c r="C7" s="671" t="s">
        <v>6</v>
      </c>
      <c r="D7" s="671"/>
      <c r="E7" s="10" t="s">
        <v>7</v>
      </c>
      <c r="F7" s="9" t="s">
        <v>8</v>
      </c>
      <c r="H7" s="671" t="s">
        <v>6</v>
      </c>
      <c r="I7" s="671"/>
      <c r="J7" s="10" t="s">
        <v>7</v>
      </c>
      <c r="K7" s="9" t="s">
        <v>8</v>
      </c>
    </row>
    <row r="8" spans="1:13" x14ac:dyDescent="0.2">
      <c r="C8" s="672" t="s">
        <v>9</v>
      </c>
      <c r="D8" s="672"/>
      <c r="E8" s="12">
        <v>44562</v>
      </c>
      <c r="F8" s="13" t="s">
        <v>10</v>
      </c>
      <c r="H8" s="672" t="s">
        <v>11</v>
      </c>
      <c r="I8" s="672"/>
      <c r="J8" s="12">
        <v>44593</v>
      </c>
      <c r="K8" s="13" t="s">
        <v>10</v>
      </c>
    </row>
    <row r="9" spans="1:13" x14ac:dyDescent="0.2">
      <c r="C9" s="673" t="s">
        <v>12</v>
      </c>
      <c r="D9" s="673"/>
      <c r="E9" s="673"/>
      <c r="F9" s="673"/>
      <c r="H9" s="673" t="s">
        <v>12</v>
      </c>
      <c r="I9" s="673"/>
      <c r="J9" s="673"/>
      <c r="K9" s="673"/>
    </row>
    <row r="10" spans="1:13" x14ac:dyDescent="0.2">
      <c r="B10" s="674" t="s">
        <v>13</v>
      </c>
      <c r="C10" s="6">
        <v>44</v>
      </c>
      <c r="D10" s="6">
        <v>40</v>
      </c>
      <c r="E10" s="6">
        <v>30</v>
      </c>
      <c r="F10" s="6">
        <v>20</v>
      </c>
      <c r="H10" s="6">
        <v>44</v>
      </c>
      <c r="I10" s="6">
        <v>40</v>
      </c>
      <c r="J10" s="6">
        <v>30</v>
      </c>
      <c r="K10" s="6">
        <v>20</v>
      </c>
    </row>
    <row r="11" spans="1:13" x14ac:dyDescent="0.2">
      <c r="B11" s="674"/>
      <c r="C11" s="14">
        <v>1314.09</v>
      </c>
      <c r="D11" s="15">
        <f>C11/C10*D10</f>
        <v>1194.6272727272726</v>
      </c>
      <c r="E11" s="15">
        <f>C11/C10*E10</f>
        <v>895.97045454545446</v>
      </c>
      <c r="F11" s="15">
        <f>C11/C10*F10</f>
        <v>597.31363636363631</v>
      </c>
      <c r="H11" s="14">
        <v>1314.09</v>
      </c>
      <c r="I11" s="15">
        <f>H11/H10*I10</f>
        <v>1194.6272727272726</v>
      </c>
      <c r="J11" s="15">
        <f>H11/H10*J10</f>
        <v>895.97045454545446</v>
      </c>
      <c r="K11" s="15">
        <f>H11/H10*K10</f>
        <v>597.31363636363631</v>
      </c>
    </row>
    <row r="12" spans="1:13" x14ac:dyDescent="0.2">
      <c r="B12" s="8" t="s">
        <v>14</v>
      </c>
      <c r="C12" s="16">
        <f>C11*1.4012</f>
        <v>1841.3029079999999</v>
      </c>
      <c r="D12" s="15">
        <f>C12/C10*D10</f>
        <v>1673.9117345454545</v>
      </c>
      <c r="E12" s="15">
        <f>C12/C10*E10</f>
        <v>1255.4338009090909</v>
      </c>
      <c r="F12" s="15">
        <f>C12/C10*F10</f>
        <v>836.95586727272723</v>
      </c>
      <c r="H12" s="16">
        <f>H11*1.4012</f>
        <v>1841.3029079999999</v>
      </c>
      <c r="I12" s="15">
        <f>H12/H10*I10</f>
        <v>1673.9117345454545</v>
      </c>
      <c r="J12" s="15">
        <f>H12/H10*J10</f>
        <v>1255.4338009090909</v>
      </c>
      <c r="K12" s="15">
        <f>H12/H10*K10</f>
        <v>836.95586727272723</v>
      </c>
    </row>
    <row r="13" spans="1:13" x14ac:dyDescent="0.2">
      <c r="B13" s="8" t="s">
        <v>15</v>
      </c>
      <c r="C13" s="16">
        <v>1669.75</v>
      </c>
      <c r="D13" s="15">
        <f>C13/C10*D10</f>
        <v>1517.9545454545453</v>
      </c>
      <c r="E13" s="15">
        <f>C13/C10*E10</f>
        <v>1138.465909090909</v>
      </c>
      <c r="F13" s="15">
        <f>C13/C10*F10</f>
        <v>758.97727272727263</v>
      </c>
      <c r="H13" s="16">
        <v>1669.75</v>
      </c>
      <c r="I13" s="15">
        <f>H13/H10*I10</f>
        <v>1517.9545454545453</v>
      </c>
      <c r="J13" s="15">
        <f>H13/H10*J10</f>
        <v>1138.465909090909</v>
      </c>
      <c r="K13" s="15">
        <f>H13/H10*K10</f>
        <v>758.97727272727263</v>
      </c>
    </row>
    <row r="14" spans="1:13" x14ac:dyDescent="0.2">
      <c r="E14" s="2" t="s">
        <v>16</v>
      </c>
      <c r="H14" s="2" t="s">
        <v>17</v>
      </c>
    </row>
    <row r="15" spans="1:13" x14ac:dyDescent="0.2">
      <c r="B15" s="17" t="s">
        <v>18</v>
      </c>
      <c r="C15" s="18">
        <v>183.8</v>
      </c>
      <c r="D15" s="19"/>
    </row>
    <row r="16" spans="1:13" x14ac:dyDescent="0.2">
      <c r="B16" s="20" t="s">
        <v>19</v>
      </c>
    </row>
    <row r="17" spans="1:15" ht="15.75" x14ac:dyDescent="0.2">
      <c r="A17" s="3"/>
      <c r="B17" s="670" t="s">
        <v>20</v>
      </c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</row>
    <row r="18" spans="1:15" x14ac:dyDescent="0.2">
      <c r="B18" s="21" t="s">
        <v>21</v>
      </c>
      <c r="C18" s="22" t="s">
        <v>22</v>
      </c>
      <c r="D18" s="23" t="s">
        <v>23</v>
      </c>
      <c r="E18" s="24" t="s">
        <v>24</v>
      </c>
      <c r="H18" s="22" t="s">
        <v>22</v>
      </c>
      <c r="I18" s="23" t="s">
        <v>23</v>
      </c>
      <c r="J18" s="23"/>
      <c r="K18" s="24" t="s">
        <v>24</v>
      </c>
    </row>
    <row r="19" spans="1:15" x14ac:dyDescent="0.2">
      <c r="B19" s="25" t="s">
        <v>25</v>
      </c>
      <c r="C19" s="26">
        <f>20.18*$E3</f>
        <v>443.96</v>
      </c>
      <c r="D19" s="27">
        <v>0.19</v>
      </c>
      <c r="E19" s="28">
        <f>ROUND(C19*(1-D19),2)</f>
        <v>359.61</v>
      </c>
      <c r="H19" s="26">
        <f>20.18*$E3</f>
        <v>443.96</v>
      </c>
      <c r="I19" s="27">
        <v>0.19</v>
      </c>
      <c r="J19" s="27"/>
      <c r="K19" s="28">
        <f>ROUND(H19*(1-I19),2)</f>
        <v>359.61</v>
      </c>
    </row>
    <row r="20" spans="1:15" ht="17.100000000000001" customHeight="1" x14ac:dyDescent="0.2">
      <c r="B20" s="5" t="s">
        <v>26</v>
      </c>
      <c r="C20" s="11">
        <f>10.09*$E3</f>
        <v>221.98</v>
      </c>
      <c r="D20" s="29">
        <f>D19</f>
        <v>0.19</v>
      </c>
      <c r="E20" s="28">
        <f>ROUND(C20*(1-D20),2)</f>
        <v>179.8</v>
      </c>
      <c r="H20" s="11">
        <f>10.09*$E3</f>
        <v>221.98</v>
      </c>
      <c r="I20" s="29">
        <f>I19</f>
        <v>0.19</v>
      </c>
      <c r="J20" s="29"/>
      <c r="K20" s="28">
        <f>ROUND(H20*(1-I20),2)</f>
        <v>179.8</v>
      </c>
    </row>
    <row r="21" spans="1:15" x14ac:dyDescent="0.2">
      <c r="B21" s="5" t="s">
        <v>27</v>
      </c>
      <c r="C21" s="11"/>
      <c r="D21" s="29">
        <v>0.06</v>
      </c>
      <c r="E21" s="11"/>
      <c r="H21" s="11"/>
      <c r="I21" s="29">
        <v>0.06</v>
      </c>
      <c r="J21" s="29"/>
      <c r="K21" s="11"/>
    </row>
    <row r="22" spans="1:15" ht="12.95" customHeight="1" x14ac:dyDescent="0.2">
      <c r="B22" s="5" t="s">
        <v>28</v>
      </c>
      <c r="C22" s="11"/>
      <c r="D22" s="29"/>
      <c r="E22" s="11"/>
      <c r="H22" s="11"/>
      <c r="I22" s="29"/>
      <c r="J22" s="29"/>
      <c r="K22" s="11"/>
    </row>
    <row r="23" spans="1:15" x14ac:dyDescent="0.2">
      <c r="B23" s="5" t="s">
        <v>29</v>
      </c>
      <c r="C23" s="15"/>
      <c r="D23" s="11"/>
      <c r="E23" s="15"/>
      <c r="H23" s="15"/>
      <c r="I23" s="11"/>
      <c r="J23" s="11"/>
      <c r="K23" s="15"/>
    </row>
    <row r="24" spans="1:15" x14ac:dyDescent="0.2">
      <c r="B24" s="30" t="s">
        <v>30</v>
      </c>
      <c r="C24" s="31"/>
      <c r="D24" s="15"/>
      <c r="E24" s="15"/>
      <c r="H24" s="31"/>
      <c r="I24" s="15"/>
      <c r="J24" s="15"/>
      <c r="K24" s="15"/>
    </row>
    <row r="25" spans="1:15" x14ac:dyDescent="0.2">
      <c r="B25" s="30"/>
      <c r="C25" s="32"/>
      <c r="D25" s="11"/>
      <c r="E25" s="15"/>
      <c r="H25" s="32"/>
      <c r="I25" s="11"/>
      <c r="J25" s="11"/>
      <c r="K25" s="15"/>
    </row>
    <row r="26" spans="1:15" ht="12.95" customHeight="1" x14ac:dyDescent="0.2">
      <c r="B26" s="33" t="s">
        <v>31</v>
      </c>
      <c r="C26" s="34"/>
      <c r="D26" s="29"/>
      <c r="E26" s="34"/>
      <c r="H26" s="34"/>
      <c r="I26" s="29"/>
      <c r="J26" s="29"/>
      <c r="K26" s="34"/>
    </row>
    <row r="27" spans="1:15" ht="12.95" customHeight="1" x14ac:dyDescent="0.2">
      <c r="B27" s="5" t="s">
        <v>32</v>
      </c>
      <c r="C27" s="35">
        <v>17.32</v>
      </c>
      <c r="D27" s="29"/>
      <c r="E27" s="34">
        <f>C27</f>
        <v>17.32</v>
      </c>
      <c r="H27" s="36">
        <v>17.32</v>
      </c>
      <c r="I27" s="29"/>
      <c r="J27" s="29"/>
      <c r="K27" s="34">
        <f>H27</f>
        <v>17.32</v>
      </c>
    </row>
    <row r="29" spans="1:15" x14ac:dyDescent="0.2">
      <c r="D29" s="2"/>
      <c r="K29" s="37"/>
    </row>
    <row r="30" spans="1:15" ht="15.75" x14ac:dyDescent="0.2">
      <c r="A30" s="3"/>
      <c r="B30" s="670" t="s">
        <v>33</v>
      </c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  <c r="N30" s="1"/>
      <c r="O30" s="1"/>
    </row>
    <row r="31" spans="1:15" x14ac:dyDescent="0.2">
      <c r="B31" s="675" t="s">
        <v>34</v>
      </c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</row>
    <row r="32" spans="1:15" x14ac:dyDescent="0.2">
      <c r="B32" s="676" t="s">
        <v>35</v>
      </c>
      <c r="C32" s="676"/>
      <c r="D32" s="676"/>
      <c r="E32" s="676"/>
      <c r="F32" s="676"/>
      <c r="G32" s="676"/>
      <c r="H32" s="676"/>
      <c r="I32" s="676"/>
      <c r="J32" s="676"/>
      <c r="K32" s="676"/>
      <c r="L32" s="676"/>
      <c r="M32" s="676"/>
    </row>
    <row r="33" spans="1:15" x14ac:dyDescent="0.2">
      <c r="B33" s="675" t="s">
        <v>36</v>
      </c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</row>
    <row r="34" spans="1:15" x14ac:dyDescent="0.2">
      <c r="B34" s="677" t="s">
        <v>37</v>
      </c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</row>
    <row r="35" spans="1:15" x14ac:dyDescent="0.2">
      <c r="B35" s="675" t="s">
        <v>38</v>
      </c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</row>
    <row r="36" spans="1:15" x14ac:dyDescent="0.2">
      <c r="B36" s="678" t="s">
        <v>39</v>
      </c>
      <c r="C36" s="678"/>
      <c r="D36" s="678"/>
      <c r="E36" s="678"/>
      <c r="F36" s="678"/>
      <c r="G36" s="678"/>
      <c r="H36" s="678"/>
      <c r="I36" s="678"/>
      <c r="J36" s="678"/>
      <c r="K36" s="678"/>
      <c r="L36" s="678"/>
      <c r="M36" s="678"/>
    </row>
    <row r="37" spans="1:15" x14ac:dyDescent="0.2">
      <c r="B37" s="677" t="s">
        <v>40</v>
      </c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</row>
    <row r="38" spans="1:15" ht="26.1" customHeight="1" x14ac:dyDescent="0.2">
      <c r="B38" s="679" t="s">
        <v>41</v>
      </c>
      <c r="C38" s="679"/>
      <c r="D38" s="679"/>
      <c r="E38" s="679"/>
      <c r="F38" s="679"/>
      <c r="G38" s="679"/>
      <c r="H38" s="679"/>
      <c r="I38" s="679"/>
      <c r="J38" s="679"/>
      <c r="K38" s="679"/>
      <c r="L38" s="679"/>
      <c r="M38" s="679"/>
    </row>
    <row r="39" spans="1:15" x14ac:dyDescent="0.2">
      <c r="B39" s="675" t="s">
        <v>42</v>
      </c>
      <c r="C39" s="675"/>
      <c r="D39" s="675"/>
      <c r="E39" s="675"/>
      <c r="F39" s="675"/>
      <c r="G39" s="675"/>
      <c r="H39" s="675"/>
      <c r="I39" s="675"/>
      <c r="J39" s="675"/>
      <c r="K39" s="675"/>
      <c r="L39" s="675"/>
      <c r="M39" s="675"/>
    </row>
    <row r="40" spans="1:15" x14ac:dyDescent="0.2">
      <c r="B40" s="677" t="s">
        <v>43</v>
      </c>
      <c r="C40" s="677"/>
      <c r="D40" s="677"/>
      <c r="E40" s="677"/>
      <c r="F40" s="677"/>
      <c r="G40" s="677"/>
      <c r="H40" s="677"/>
      <c r="I40" s="677"/>
      <c r="J40" s="677"/>
      <c r="K40" s="677"/>
      <c r="L40" s="677"/>
      <c r="M40" s="677"/>
      <c r="O40" s="37"/>
    </row>
    <row r="41" spans="1:15" x14ac:dyDescent="0.2">
      <c r="D41" s="2"/>
      <c r="O41" s="37"/>
    </row>
    <row r="42" spans="1:15" ht="15.75" x14ac:dyDescent="0.2">
      <c r="A42" s="3"/>
      <c r="B42" s="670" t="s">
        <v>44</v>
      </c>
      <c r="C42" s="670"/>
      <c r="D42" s="670"/>
      <c r="E42" s="670"/>
      <c r="F42" s="670"/>
      <c r="G42" s="670"/>
      <c r="H42" s="670"/>
      <c r="I42" s="670"/>
      <c r="J42" s="670"/>
      <c r="K42" s="670"/>
      <c r="L42" s="670"/>
      <c r="M42" s="670"/>
      <c r="N42" s="37"/>
      <c r="O42" s="37"/>
    </row>
    <row r="43" spans="1:15" x14ac:dyDescent="0.2">
      <c r="B43" s="675" t="s">
        <v>45</v>
      </c>
      <c r="C43" s="675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37"/>
      <c r="O43" s="37"/>
    </row>
    <row r="44" spans="1:15" ht="26.1" customHeight="1" x14ac:dyDescent="0.2">
      <c r="B44" s="38" t="s">
        <v>46</v>
      </c>
      <c r="C44" s="680" t="s">
        <v>47</v>
      </c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37"/>
      <c r="O44" s="37"/>
    </row>
    <row r="45" spans="1:15" ht="26.1" customHeight="1" x14ac:dyDescent="0.2">
      <c r="B45" s="39" t="s">
        <v>48</v>
      </c>
      <c r="C45" s="681" t="s">
        <v>49</v>
      </c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37"/>
      <c r="O45" s="37"/>
    </row>
    <row r="46" spans="1:15" x14ac:dyDescent="0.2">
      <c r="B46" s="40"/>
      <c r="C46" s="682" t="s">
        <v>50</v>
      </c>
      <c r="D46" s="682"/>
      <c r="E46" s="41">
        <v>1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x14ac:dyDescent="0.2">
      <c r="C47" s="682" t="s">
        <v>51</v>
      </c>
      <c r="D47" s="682"/>
      <c r="E47" s="41">
        <v>3.4931999999999999</v>
      </c>
      <c r="F47" s="37"/>
      <c r="G47" s="37" t="s">
        <v>52</v>
      </c>
      <c r="H47" s="37"/>
      <c r="I47" s="37"/>
      <c r="J47" s="37"/>
      <c r="K47" s="37"/>
      <c r="L47" s="37"/>
      <c r="M47" s="37"/>
      <c r="N47" s="37"/>
      <c r="O47" s="37"/>
    </row>
    <row r="48" spans="1:15" x14ac:dyDescent="0.2">
      <c r="C48" s="682" t="s">
        <v>53</v>
      </c>
      <c r="D48" s="682"/>
      <c r="E48" s="41">
        <v>0.26879999999999998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2:15" x14ac:dyDescent="0.2">
      <c r="C49" s="682" t="s">
        <v>54</v>
      </c>
      <c r="D49" s="682"/>
      <c r="E49" s="41">
        <v>4.2700000000000002E-2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2:15" x14ac:dyDescent="0.2">
      <c r="C50" s="682" t="s">
        <v>55</v>
      </c>
      <c r="D50" s="682"/>
      <c r="E50" s="41">
        <v>3.5499999999999997E-2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2:15" x14ac:dyDescent="0.2">
      <c r="C51" s="682" t="s">
        <v>56</v>
      </c>
      <c r="D51" s="682"/>
      <c r="E51" s="42">
        <v>0.02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2:15" x14ac:dyDescent="0.2">
      <c r="C52" s="682" t="s">
        <v>57</v>
      </c>
      <c r="D52" s="682"/>
      <c r="E52" s="42">
        <v>4.0000000000000001E-3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2:15" x14ac:dyDescent="0.2">
      <c r="C53" s="682" t="s">
        <v>58</v>
      </c>
      <c r="D53" s="682"/>
      <c r="E53" s="41">
        <v>9.7999999999999997E-3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2:15" x14ac:dyDescent="0.2">
      <c r="C54" s="683" t="s">
        <v>59</v>
      </c>
      <c r="D54" s="683"/>
      <c r="E54" s="43">
        <f>SUM(E46:E53)</f>
        <v>4.8739999999999988</v>
      </c>
      <c r="F54" s="1"/>
      <c r="G54" s="1"/>
      <c r="H54" s="1"/>
      <c r="I54" s="1"/>
      <c r="J54" s="1"/>
      <c r="K54" s="1"/>
      <c r="L54" s="1"/>
      <c r="M54" s="1"/>
      <c r="N54" s="37"/>
      <c r="O54" s="37"/>
    </row>
    <row r="55" spans="2:15" x14ac:dyDescent="0.2">
      <c r="B55" s="44" t="s">
        <v>60</v>
      </c>
      <c r="C55" s="684" t="s">
        <v>61</v>
      </c>
      <c r="D55" s="684"/>
      <c r="E55" s="684"/>
      <c r="F55" s="684"/>
      <c r="G55" s="684"/>
      <c r="H55" s="684"/>
      <c r="I55" s="684"/>
      <c r="J55" s="684"/>
      <c r="K55" s="684"/>
      <c r="L55" s="684"/>
      <c r="M55" s="684"/>
      <c r="N55" s="37"/>
      <c r="O55" s="37"/>
    </row>
    <row r="56" spans="2:15" x14ac:dyDescent="0.2">
      <c r="B56" s="677" t="s">
        <v>62</v>
      </c>
      <c r="C56" s="677"/>
      <c r="D56" s="677"/>
      <c r="E56" s="677"/>
      <c r="F56" s="45">
        <v>1.4999999999999999E-2</v>
      </c>
      <c r="G56" s="46"/>
      <c r="H56" s="46"/>
      <c r="I56" s="46"/>
      <c r="J56" s="46"/>
      <c r="K56" s="46"/>
      <c r="L56" s="46"/>
      <c r="M56" s="47"/>
      <c r="N56" s="37"/>
      <c r="O56" s="37"/>
    </row>
    <row r="57" spans="2:15" ht="12.75" customHeight="1" x14ac:dyDescent="0.2">
      <c r="B57" s="48" t="s">
        <v>63</v>
      </c>
      <c r="C57" s="49">
        <v>0.51670000000000005</v>
      </c>
      <c r="D57" s="46"/>
      <c r="E57" s="46"/>
      <c r="F57" s="46"/>
      <c r="G57" s="46"/>
      <c r="H57" s="46"/>
      <c r="I57" s="46"/>
      <c r="J57" s="46"/>
      <c r="K57" s="46"/>
      <c r="L57" s="46"/>
      <c r="M57" s="47"/>
      <c r="N57" s="37"/>
      <c r="O57" s="37"/>
    </row>
    <row r="58" spans="2:15" ht="26.1" customHeight="1" x14ac:dyDescent="0.2">
      <c r="B58" s="50" t="s">
        <v>64</v>
      </c>
      <c r="C58" s="685" t="s">
        <v>65</v>
      </c>
      <c r="D58" s="685"/>
      <c r="E58" s="685"/>
      <c r="F58" s="685"/>
      <c r="G58" s="685"/>
      <c r="H58" s="685"/>
      <c r="I58" s="685"/>
      <c r="J58" s="685"/>
      <c r="K58" s="685"/>
      <c r="L58" s="685"/>
      <c r="M58" s="685"/>
      <c r="N58" s="37"/>
      <c r="O58" s="37"/>
    </row>
    <row r="59" spans="2:15" ht="12.75" customHeight="1" x14ac:dyDescent="0.2">
      <c r="B59" s="51" t="s">
        <v>66</v>
      </c>
      <c r="C59" s="52">
        <v>0.96589999999999998</v>
      </c>
      <c r="D59" s="53"/>
      <c r="E59" s="53"/>
      <c r="F59" s="53"/>
      <c r="G59" s="53"/>
      <c r="H59" s="53"/>
      <c r="I59" s="53"/>
      <c r="J59" s="53"/>
      <c r="K59" s="53"/>
      <c r="L59" s="53"/>
      <c r="M59" s="54"/>
      <c r="N59" s="37"/>
      <c r="O59" s="37"/>
    </row>
    <row r="60" spans="2:15" x14ac:dyDescent="0.2">
      <c r="B60" s="686" t="s">
        <v>67</v>
      </c>
      <c r="C60" s="686"/>
      <c r="D60" s="686"/>
      <c r="E60" s="686"/>
      <c r="F60" s="686"/>
      <c r="G60" s="686"/>
      <c r="H60" s="686"/>
      <c r="I60" s="686"/>
      <c r="J60" s="686"/>
      <c r="K60" s="686"/>
      <c r="L60" s="686"/>
      <c r="M60" s="686"/>
      <c r="N60" s="37"/>
      <c r="O60" s="37"/>
    </row>
    <row r="61" spans="2:15" ht="33" customHeight="1" x14ac:dyDescent="0.2">
      <c r="B61" s="55" t="s">
        <v>68</v>
      </c>
      <c r="C61" s="687" t="s">
        <v>69</v>
      </c>
      <c r="D61" s="687"/>
      <c r="E61" s="687"/>
      <c r="F61" s="687"/>
      <c r="G61" s="687"/>
      <c r="H61" s="687"/>
      <c r="I61" s="687"/>
      <c r="J61" s="687"/>
      <c r="K61" s="687"/>
      <c r="L61" s="687"/>
      <c r="M61" s="687"/>
      <c r="N61" s="37"/>
      <c r="O61" s="37"/>
    </row>
    <row r="62" spans="2:15" ht="12.75" customHeight="1" x14ac:dyDescent="0.2">
      <c r="B62" s="56" t="s">
        <v>70</v>
      </c>
      <c r="C62" s="57">
        <v>0.48330000000000001</v>
      </c>
      <c r="D62" s="58"/>
      <c r="E62" s="58"/>
      <c r="F62" s="58"/>
      <c r="G62" s="58"/>
      <c r="H62" s="58"/>
      <c r="I62" s="58"/>
      <c r="J62" s="58"/>
      <c r="K62" s="58"/>
      <c r="L62" s="58"/>
      <c r="M62" s="59"/>
      <c r="N62" s="37"/>
      <c r="O62" s="37"/>
    </row>
    <row r="63" spans="2:15" ht="12.75" customHeight="1" x14ac:dyDescent="0.2">
      <c r="B63" s="51" t="s">
        <v>71</v>
      </c>
      <c r="C63" s="52">
        <v>3.2000000000000002E-3</v>
      </c>
      <c r="D63" s="60"/>
      <c r="E63" s="53"/>
      <c r="F63" s="53"/>
      <c r="G63" s="53"/>
      <c r="H63" s="53"/>
      <c r="I63" s="53"/>
      <c r="J63" s="53"/>
      <c r="K63" s="53"/>
      <c r="L63" s="53"/>
      <c r="M63" s="54"/>
      <c r="N63" s="37"/>
      <c r="O63" s="37"/>
    </row>
    <row r="64" spans="2:15" ht="12.75" customHeight="1" x14ac:dyDescent="0.2">
      <c r="B64" s="61"/>
      <c r="C64" s="62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37"/>
      <c r="O64" s="37"/>
    </row>
    <row r="65" spans="1:15" ht="12.75" customHeight="1" x14ac:dyDescent="0.2">
      <c r="A65" s="3"/>
      <c r="B65" s="688" t="s">
        <v>72</v>
      </c>
      <c r="C65" s="688"/>
      <c r="D65" s="688"/>
      <c r="E65" s="688"/>
      <c r="F65" s="688"/>
      <c r="G65" s="688"/>
      <c r="H65" s="688"/>
      <c r="I65" s="688"/>
      <c r="J65" s="688"/>
      <c r="K65" s="688"/>
      <c r="L65" s="688"/>
      <c r="M65" s="688"/>
      <c r="N65" s="37"/>
      <c r="O65" s="37"/>
    </row>
    <row r="66" spans="1:15" ht="12.75" customHeight="1" x14ac:dyDescent="0.2">
      <c r="B66" s="63" t="s">
        <v>73</v>
      </c>
      <c r="C66" s="64">
        <v>0.03</v>
      </c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37"/>
      <c r="O66" s="37"/>
    </row>
    <row r="67" spans="1:15" ht="12.75" customHeight="1" x14ac:dyDescent="0.2">
      <c r="B67" s="39" t="s">
        <v>74</v>
      </c>
      <c r="C67" s="64">
        <v>6.7900000000000002E-2</v>
      </c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37"/>
      <c r="O67" s="37"/>
    </row>
    <row r="68" spans="1:15" x14ac:dyDescent="0.2">
      <c r="N68" s="37"/>
      <c r="O68" s="37"/>
    </row>
    <row r="69" spans="1:15" ht="15.75" x14ac:dyDescent="0.2">
      <c r="A69" s="3"/>
      <c r="B69" s="670" t="s">
        <v>75</v>
      </c>
      <c r="C69" s="670"/>
      <c r="D69" s="670"/>
      <c r="E69" s="670"/>
      <c r="F69" s="670"/>
      <c r="G69" s="670"/>
      <c r="H69" s="670"/>
      <c r="I69" s="670"/>
      <c r="J69" s="670"/>
      <c r="K69" s="670"/>
      <c r="L69" s="670"/>
      <c r="M69" s="670"/>
    </row>
    <row r="70" spans="1:15" x14ac:dyDescent="0.2">
      <c r="B70" s="65" t="s">
        <v>76</v>
      </c>
      <c r="C70" s="66" t="s">
        <v>77</v>
      </c>
      <c r="D70" s="66" t="s">
        <v>78</v>
      </c>
      <c r="E70" s="67" t="s">
        <v>79</v>
      </c>
      <c r="F70" s="68" t="s">
        <v>80</v>
      </c>
      <c r="H70" s="689" t="s">
        <v>81</v>
      </c>
      <c r="I70" s="689"/>
      <c r="J70" s="66" t="s">
        <v>77</v>
      </c>
      <c r="K70" s="66" t="s">
        <v>78</v>
      </c>
      <c r="L70" s="67" t="s">
        <v>79</v>
      </c>
      <c r="M70" s="68" t="s">
        <v>80</v>
      </c>
    </row>
    <row r="71" spans="1:15" x14ac:dyDescent="0.2">
      <c r="B71" s="69" t="s">
        <v>82</v>
      </c>
      <c r="C71" s="70">
        <v>0.04</v>
      </c>
      <c r="D71" s="71">
        <v>5.5</v>
      </c>
      <c r="E71" s="72">
        <f>SUM('Prod. GEXCAX'!P4:U4,'Prod. GEXCAX'!Y4)</f>
        <v>2</v>
      </c>
      <c r="F71" s="73">
        <f t="shared" ref="F71:F82" si="0">E71*D71</f>
        <v>11</v>
      </c>
      <c r="H71" s="690" t="s">
        <v>83</v>
      </c>
      <c r="I71" s="690"/>
      <c r="J71" s="70">
        <v>0.02</v>
      </c>
      <c r="K71" s="71">
        <v>4.25</v>
      </c>
      <c r="L71" s="72">
        <f>SUM('Prod. GEXIJU'!P4:V4,'Prod. GEXIJU'!Z4)</f>
        <v>3</v>
      </c>
      <c r="M71" s="73">
        <f>L71*K71</f>
        <v>12.75</v>
      </c>
    </row>
    <row r="72" spans="1:15" x14ac:dyDescent="0.2">
      <c r="B72" s="74" t="s">
        <v>84</v>
      </c>
      <c r="C72" s="70">
        <v>0.03</v>
      </c>
      <c r="D72" s="71">
        <v>3.9</v>
      </c>
      <c r="E72" s="72">
        <f>SUM('Prod. GEXCAX'!P5:U5)</f>
        <v>4</v>
      </c>
      <c r="F72" s="73">
        <f t="shared" si="0"/>
        <v>15.6</v>
      </c>
      <c r="H72" s="691" t="s">
        <v>85</v>
      </c>
      <c r="I72" s="691"/>
      <c r="J72" s="70">
        <v>0.03</v>
      </c>
      <c r="K72" s="71">
        <v>3.75</v>
      </c>
      <c r="L72" s="72">
        <f>SUM('Prod. GEXIJU'!P5:V5)</f>
        <v>1</v>
      </c>
      <c r="M72" s="73">
        <f>L72*K72</f>
        <v>3.75</v>
      </c>
    </row>
    <row r="73" spans="1:15" x14ac:dyDescent="0.2">
      <c r="B73" s="74" t="s">
        <v>86</v>
      </c>
      <c r="C73" s="70">
        <v>0.03</v>
      </c>
      <c r="D73" s="71">
        <v>3.5</v>
      </c>
      <c r="E73" s="72">
        <f>SUM('Prod. GEXCAX'!P6:U6)</f>
        <v>2</v>
      </c>
      <c r="F73" s="73">
        <f t="shared" si="0"/>
        <v>7</v>
      </c>
      <c r="H73" s="691" t="s">
        <v>87</v>
      </c>
      <c r="I73" s="691"/>
      <c r="J73" s="70">
        <v>0.03</v>
      </c>
      <c r="K73" s="71" t="s">
        <v>88</v>
      </c>
      <c r="L73" s="72">
        <f>SUM('Prod. GEXIJU'!P6:V6)</f>
        <v>2</v>
      </c>
      <c r="M73" s="73" t="s">
        <v>88</v>
      </c>
    </row>
    <row r="74" spans="1:15" x14ac:dyDescent="0.2">
      <c r="B74" s="74" t="s">
        <v>89</v>
      </c>
      <c r="C74" s="70">
        <v>0.04</v>
      </c>
      <c r="D74" s="71">
        <v>5.5</v>
      </c>
      <c r="E74" s="72">
        <f>SUM('Prod. GEXCAX'!P7:U7)</f>
        <v>6</v>
      </c>
      <c r="F74" s="73">
        <f t="shared" si="0"/>
        <v>33</v>
      </c>
      <c r="H74" s="691" t="s">
        <v>90</v>
      </c>
      <c r="I74" s="691"/>
      <c r="J74" s="70">
        <v>0.03</v>
      </c>
      <c r="K74" s="71">
        <v>3.6</v>
      </c>
      <c r="L74" s="72">
        <f>SUM('Prod. GEXIJU'!P7:V7)</f>
        <v>3</v>
      </c>
      <c r="M74" s="73">
        <f>L74*K74</f>
        <v>10.8</v>
      </c>
    </row>
    <row r="75" spans="1:15" x14ac:dyDescent="0.2">
      <c r="B75" s="74" t="s">
        <v>91</v>
      </c>
      <c r="C75" s="70">
        <v>0.02</v>
      </c>
      <c r="D75" s="71">
        <v>3.9</v>
      </c>
      <c r="E75" s="72">
        <f>SUM('Prod. GEXCAX'!P8:U8)</f>
        <v>2</v>
      </c>
      <c r="F75" s="73">
        <f t="shared" si="0"/>
        <v>7.8</v>
      </c>
      <c r="H75" s="691" t="s">
        <v>92</v>
      </c>
      <c r="I75" s="691"/>
      <c r="J75" s="70">
        <v>0.02</v>
      </c>
      <c r="K75" s="71" t="s">
        <v>88</v>
      </c>
      <c r="L75" s="72">
        <f>SUM('Prod. GEXIJU'!P8:V8)</f>
        <v>3</v>
      </c>
      <c r="M75" s="73" t="s">
        <v>88</v>
      </c>
    </row>
    <row r="76" spans="1:15" x14ac:dyDescent="0.2">
      <c r="B76" s="74" t="s">
        <v>93</v>
      </c>
      <c r="C76" s="70">
        <v>0.03</v>
      </c>
      <c r="D76" s="71">
        <v>3.3</v>
      </c>
      <c r="E76" s="72">
        <f>SUM('Prod. GEXCAX'!P9:U9)</f>
        <v>2</v>
      </c>
      <c r="F76" s="73">
        <f t="shared" si="0"/>
        <v>6.6</v>
      </c>
      <c r="H76" s="691" t="s">
        <v>94</v>
      </c>
      <c r="I76" s="691"/>
      <c r="J76" s="70">
        <v>0.02</v>
      </c>
      <c r="K76" s="71">
        <v>4.25</v>
      </c>
      <c r="L76" s="72">
        <f>SUM('Prod. GEXIJU'!P9:V9)</f>
        <v>3</v>
      </c>
      <c r="M76" s="73">
        <f t="shared" ref="M76:M83" si="1">L76*K76</f>
        <v>12.75</v>
      </c>
    </row>
    <row r="77" spans="1:15" x14ac:dyDescent="0.2">
      <c r="B77" s="74" t="s">
        <v>95</v>
      </c>
      <c r="C77" s="70">
        <v>0.03</v>
      </c>
      <c r="D77" s="71">
        <v>3.5</v>
      </c>
      <c r="E77" s="72">
        <f>SUM('Prod. GEXCAX'!P10:U10)</f>
        <v>3</v>
      </c>
      <c r="F77" s="73">
        <f t="shared" si="0"/>
        <v>10.5</v>
      </c>
      <c r="H77" s="691" t="s">
        <v>96</v>
      </c>
      <c r="I77" s="691"/>
      <c r="J77" s="70">
        <v>0.03</v>
      </c>
      <c r="K77" s="71">
        <v>3</v>
      </c>
      <c r="L77" s="72">
        <f>SUM('Prod. GEXIJU'!P10:V10)</f>
        <v>3</v>
      </c>
      <c r="M77" s="73">
        <f t="shared" si="1"/>
        <v>9</v>
      </c>
    </row>
    <row r="78" spans="1:15" x14ac:dyDescent="0.2">
      <c r="B78" s="74" t="s">
        <v>97</v>
      </c>
      <c r="C78" s="70">
        <v>0.03</v>
      </c>
      <c r="D78" s="71">
        <v>2.97</v>
      </c>
      <c r="E78" s="72">
        <f>SUM('Prod. GEXCAX'!P11:U11)</f>
        <v>1</v>
      </c>
      <c r="F78" s="73">
        <f t="shared" si="0"/>
        <v>2.97</v>
      </c>
      <c r="H78" s="691" t="s">
        <v>98</v>
      </c>
      <c r="I78" s="691"/>
      <c r="J78" s="70">
        <v>0.04</v>
      </c>
      <c r="K78" s="71">
        <v>4.5</v>
      </c>
      <c r="L78" s="72">
        <f>SUM('Prod. GEXIJU'!P11:V11)</f>
        <v>2</v>
      </c>
      <c r="M78" s="73">
        <f t="shared" si="1"/>
        <v>9</v>
      </c>
    </row>
    <row r="79" spans="1:15" x14ac:dyDescent="0.2">
      <c r="B79" s="74" t="s">
        <v>99</v>
      </c>
      <c r="C79" s="70">
        <v>0.03</v>
      </c>
      <c r="D79" s="71">
        <v>3.5</v>
      </c>
      <c r="E79" s="72">
        <f>SUM('Prod. GEXCAX'!P12:U12)</f>
        <v>2</v>
      </c>
      <c r="F79" s="73">
        <f t="shared" si="0"/>
        <v>7</v>
      </c>
      <c r="H79" s="691" t="s">
        <v>100</v>
      </c>
      <c r="I79" s="691"/>
      <c r="J79" s="70">
        <v>0.03</v>
      </c>
      <c r="K79" s="71">
        <v>4</v>
      </c>
      <c r="L79" s="72">
        <f>SUM('Prod. GEXIJU'!P12:V12)</f>
        <v>3</v>
      </c>
      <c r="M79" s="73">
        <f t="shared" si="1"/>
        <v>12</v>
      </c>
    </row>
    <row r="80" spans="1:15" x14ac:dyDescent="0.2">
      <c r="B80" s="74" t="s">
        <v>101</v>
      </c>
      <c r="C80" s="70">
        <v>0.03</v>
      </c>
      <c r="D80" s="71">
        <v>1.8</v>
      </c>
      <c r="E80" s="72">
        <f>SUM('Prod. GEXCAX'!P13:U13)</f>
        <v>1</v>
      </c>
      <c r="F80" s="73">
        <f t="shared" si="0"/>
        <v>1.8</v>
      </c>
      <c r="H80" s="691" t="s">
        <v>102</v>
      </c>
      <c r="I80" s="691"/>
      <c r="J80" s="70">
        <v>0.03</v>
      </c>
      <c r="K80" s="71">
        <v>3.75</v>
      </c>
      <c r="L80" s="72">
        <f>SUM('Prod. GEXIJU'!P13:V13)</f>
        <v>3</v>
      </c>
      <c r="M80" s="73">
        <f t="shared" si="1"/>
        <v>11.25</v>
      </c>
    </row>
    <row r="81" spans="2:13" x14ac:dyDescent="0.2">
      <c r="B81" s="74" t="s">
        <v>103</v>
      </c>
      <c r="C81" s="70">
        <v>0.02</v>
      </c>
      <c r="D81" s="71">
        <v>3.8</v>
      </c>
      <c r="E81" s="72">
        <f>SUM('Prod. GEXCAX'!P14:U14)</f>
        <v>1</v>
      </c>
      <c r="F81" s="73">
        <f t="shared" si="0"/>
        <v>3.8</v>
      </c>
      <c r="H81" s="691" t="s">
        <v>104</v>
      </c>
      <c r="I81" s="691"/>
      <c r="J81" s="70">
        <v>0.03</v>
      </c>
      <c r="K81" s="71">
        <v>3.75</v>
      </c>
      <c r="L81" s="72">
        <f>SUM('Prod. GEXIJU'!P14:V14)</f>
        <v>3</v>
      </c>
      <c r="M81" s="73">
        <f t="shared" si="1"/>
        <v>11.25</v>
      </c>
    </row>
    <row r="82" spans="2:13" x14ac:dyDescent="0.2">
      <c r="B82" s="74" t="s">
        <v>105</v>
      </c>
      <c r="C82" s="70">
        <v>0.04</v>
      </c>
      <c r="D82" s="71">
        <v>5.5</v>
      </c>
      <c r="E82" s="72">
        <f>SUM('Prod. GEXCAX'!P15:U15)</f>
        <v>1</v>
      </c>
      <c r="F82" s="73">
        <f t="shared" si="0"/>
        <v>5.5</v>
      </c>
      <c r="H82" s="691" t="s">
        <v>106</v>
      </c>
      <c r="I82" s="691"/>
      <c r="J82" s="70">
        <v>0.03</v>
      </c>
      <c r="K82" s="71">
        <v>3</v>
      </c>
      <c r="L82" s="72">
        <f>SUM('Prod. GEXIJU'!P15:V15)</f>
        <v>2</v>
      </c>
      <c r="M82" s="73">
        <f t="shared" si="1"/>
        <v>6</v>
      </c>
    </row>
    <row r="83" spans="2:13" x14ac:dyDescent="0.2">
      <c r="B83" s="75" t="s">
        <v>107</v>
      </c>
      <c r="D83" s="76">
        <f>AVERAGE(D71:D82)</f>
        <v>3.8891666666666662</v>
      </c>
      <c r="E83" s="72">
        <f>SUM(E71:E82)</f>
        <v>27</v>
      </c>
      <c r="F83" s="73">
        <f>SUM(F71:F82)</f>
        <v>112.56999999999998</v>
      </c>
      <c r="H83" s="691" t="s">
        <v>108</v>
      </c>
      <c r="I83" s="691"/>
      <c r="J83" s="70">
        <v>0.02</v>
      </c>
      <c r="K83" s="71">
        <v>5</v>
      </c>
      <c r="L83" s="72">
        <f>SUM('Prod. GEXIJU'!P16:V16)</f>
        <v>3</v>
      </c>
      <c r="M83" s="73">
        <f t="shared" si="1"/>
        <v>15</v>
      </c>
    </row>
    <row r="84" spans="2:13" x14ac:dyDescent="0.2">
      <c r="B84" s="77" t="s">
        <v>109</v>
      </c>
      <c r="C84" s="78"/>
      <c r="D84" s="79">
        <f>F83/E83</f>
        <v>4.1692592592592588</v>
      </c>
      <c r="E84" s="80"/>
      <c r="F84" s="80"/>
      <c r="H84" s="691" t="s">
        <v>110</v>
      </c>
      <c r="I84" s="691"/>
      <c r="J84" s="70">
        <v>0.02</v>
      </c>
      <c r="K84" s="71" t="s">
        <v>88</v>
      </c>
      <c r="L84" s="72">
        <f>SUM('Prod. GEXIJU'!P17:V17)</f>
        <v>1</v>
      </c>
      <c r="M84" s="73" t="s">
        <v>88</v>
      </c>
    </row>
    <row r="85" spans="2:13" x14ac:dyDescent="0.2">
      <c r="E85" s="81"/>
      <c r="F85" s="82"/>
      <c r="H85" s="691" t="s">
        <v>111</v>
      </c>
      <c r="I85" s="691"/>
      <c r="J85" s="70">
        <v>0.02</v>
      </c>
      <c r="K85" s="71">
        <v>3.1</v>
      </c>
      <c r="L85" s="72">
        <f>SUM('Prod. GEXIJU'!P18:V18)</f>
        <v>1</v>
      </c>
      <c r="M85" s="73">
        <f>L85*K85</f>
        <v>3.1</v>
      </c>
    </row>
    <row r="86" spans="2:13" x14ac:dyDescent="0.2">
      <c r="E86" s="81"/>
      <c r="F86" s="82"/>
      <c r="H86" s="691" t="s">
        <v>112</v>
      </c>
      <c r="I86" s="691"/>
      <c r="J86" s="70">
        <v>0.03</v>
      </c>
      <c r="K86" s="71" t="s">
        <v>88</v>
      </c>
      <c r="L86" s="72">
        <f>SUM('Prod. GEXIJU'!P19:V19)</f>
        <v>1</v>
      </c>
      <c r="M86" s="73" t="s">
        <v>88</v>
      </c>
    </row>
    <row r="87" spans="2:13" x14ac:dyDescent="0.2">
      <c r="B87" s="65" t="s">
        <v>113</v>
      </c>
      <c r="C87" s="66" t="s">
        <v>77</v>
      </c>
      <c r="D87" s="66" t="s">
        <v>78</v>
      </c>
      <c r="E87" s="67" t="s">
        <v>79</v>
      </c>
      <c r="F87" s="68" t="s">
        <v>80</v>
      </c>
      <c r="H87" s="691" t="s">
        <v>114</v>
      </c>
      <c r="I87" s="691"/>
      <c r="J87" s="70">
        <v>0.03</v>
      </c>
      <c r="K87" s="71" t="s">
        <v>88</v>
      </c>
      <c r="L87" s="72">
        <f>SUM('Prod. GEXIJU'!P20:V20)</f>
        <v>1</v>
      </c>
      <c r="M87" s="73" t="s">
        <v>88</v>
      </c>
    </row>
    <row r="88" spans="2:13" x14ac:dyDescent="0.2">
      <c r="B88" s="83" t="s">
        <v>115</v>
      </c>
      <c r="C88" s="70">
        <v>0.02</v>
      </c>
      <c r="D88" s="84">
        <v>4.3</v>
      </c>
      <c r="E88" s="72">
        <f>SUM('Prod. GEXPSF'!P4:U4,'Prod. GEXPSF'!Y4)</f>
        <v>2</v>
      </c>
      <c r="F88" s="73">
        <f t="shared" ref="F88:F94" si="2">E88*D88</f>
        <v>8.6</v>
      </c>
      <c r="H88" s="692" t="s">
        <v>107</v>
      </c>
      <c r="I88" s="692"/>
      <c r="K88" s="76">
        <f>AVERAGE(K71:K87)</f>
        <v>3.8291666666666671</v>
      </c>
      <c r="L88" s="72">
        <f>SUM(L71:L87)-L73-L75-L84-L86-L87</f>
        <v>30</v>
      </c>
      <c r="M88" s="73">
        <f>SUM(M71:M87)</f>
        <v>116.64999999999999</v>
      </c>
    </row>
    <row r="89" spans="2:13" x14ac:dyDescent="0.2">
      <c r="B89" s="85" t="s">
        <v>116</v>
      </c>
      <c r="C89" s="70">
        <v>0.03</v>
      </c>
      <c r="D89" s="84">
        <v>3.75</v>
      </c>
      <c r="E89" s="72">
        <f>SUM('Prod. GEXPSF'!P5:U5)</f>
        <v>5</v>
      </c>
      <c r="F89" s="73">
        <f t="shared" si="2"/>
        <v>18.75</v>
      </c>
      <c r="H89" s="693" t="s">
        <v>109</v>
      </c>
      <c r="I89" s="693"/>
      <c r="J89" s="78"/>
      <c r="K89" s="79">
        <f>M88/L88</f>
        <v>3.8883333333333332</v>
      </c>
      <c r="L89" s="86"/>
      <c r="M89" s="87"/>
    </row>
    <row r="90" spans="2:13" x14ac:dyDescent="0.2">
      <c r="B90" s="85" t="s">
        <v>117</v>
      </c>
      <c r="C90" s="70">
        <v>0.03</v>
      </c>
      <c r="D90" s="84">
        <v>3.6</v>
      </c>
      <c r="E90" s="72">
        <f>SUM('Prod. GEXPSF'!P6:U6)</f>
        <v>5</v>
      </c>
      <c r="F90" s="73">
        <f t="shared" si="2"/>
        <v>18</v>
      </c>
      <c r="L90" s="88"/>
      <c r="M90" s="88"/>
    </row>
    <row r="91" spans="2:13" x14ac:dyDescent="0.2">
      <c r="B91" s="85" t="s">
        <v>118</v>
      </c>
      <c r="C91" s="70">
        <v>0.02</v>
      </c>
      <c r="D91" s="84">
        <v>2.4</v>
      </c>
      <c r="E91" s="72">
        <f>SUM('Prod. GEXPSF'!P7:U7)</f>
        <v>1</v>
      </c>
      <c r="F91" s="73">
        <f t="shared" si="2"/>
        <v>2.4</v>
      </c>
    </row>
    <row r="92" spans="2:13" x14ac:dyDescent="0.2">
      <c r="B92" s="85" t="s">
        <v>119</v>
      </c>
      <c r="C92" s="70">
        <v>0.03</v>
      </c>
      <c r="D92" s="84">
        <v>2.75</v>
      </c>
      <c r="E92" s="72">
        <f>SUM('Prod. GEXPSF'!P8:U8)</f>
        <v>2</v>
      </c>
      <c r="F92" s="73">
        <f t="shared" si="2"/>
        <v>5.5</v>
      </c>
    </row>
    <row r="93" spans="2:13" x14ac:dyDescent="0.2">
      <c r="B93" s="85" t="s">
        <v>120</v>
      </c>
      <c r="C93" s="70">
        <v>0.02</v>
      </c>
      <c r="D93" s="84">
        <v>4.75</v>
      </c>
      <c r="E93" s="72">
        <f>SUM('Prod. GEXPSF'!P9:U9)</f>
        <v>7</v>
      </c>
      <c r="F93" s="73">
        <f t="shared" si="2"/>
        <v>33.25</v>
      </c>
    </row>
    <row r="94" spans="2:13" x14ac:dyDescent="0.2">
      <c r="B94" s="85" t="s">
        <v>121</v>
      </c>
      <c r="C94" s="70">
        <v>0.03</v>
      </c>
      <c r="D94" s="84">
        <v>3</v>
      </c>
      <c r="E94" s="72">
        <f>SUM('Prod. GEXPSF'!P10:U10)</f>
        <v>3</v>
      </c>
      <c r="F94" s="73">
        <f t="shared" si="2"/>
        <v>9</v>
      </c>
    </row>
    <row r="95" spans="2:13" x14ac:dyDescent="0.2">
      <c r="B95" s="85" t="s">
        <v>122</v>
      </c>
      <c r="C95" s="70">
        <v>0.02</v>
      </c>
      <c r="D95" s="84" t="s">
        <v>88</v>
      </c>
      <c r="E95" s="72">
        <f>SUM('Prod. GEXPSF'!P11:U11)</f>
        <v>1</v>
      </c>
      <c r="F95" s="73" t="s">
        <v>88</v>
      </c>
    </row>
    <row r="96" spans="2:13" x14ac:dyDescent="0.2">
      <c r="B96" s="85" t="s">
        <v>123</v>
      </c>
      <c r="C96" s="70">
        <v>0.03</v>
      </c>
      <c r="D96" s="84" t="s">
        <v>88</v>
      </c>
      <c r="E96" s="72">
        <f>SUM('Prod. GEXPSF'!P12:U12)</f>
        <v>2</v>
      </c>
      <c r="F96" s="73" t="s">
        <v>88</v>
      </c>
    </row>
    <row r="97" spans="2:6" x14ac:dyDescent="0.2">
      <c r="B97" s="85" t="s">
        <v>124</v>
      </c>
      <c r="C97" s="70">
        <v>0.02</v>
      </c>
      <c r="D97" s="84">
        <v>4.2</v>
      </c>
      <c r="E97" s="72">
        <f>SUM('Prod. GEXPSF'!P13:U13)</f>
        <v>1</v>
      </c>
      <c r="F97" s="73">
        <f>E97*D97</f>
        <v>4.2</v>
      </c>
    </row>
    <row r="98" spans="2:6" x14ac:dyDescent="0.2">
      <c r="B98" s="85" t="s">
        <v>125</v>
      </c>
      <c r="C98" s="70">
        <v>2.5000000000000001E-2</v>
      </c>
      <c r="D98" s="84" t="s">
        <v>88</v>
      </c>
      <c r="E98" s="72">
        <f>SUM('Prod. GEXPSF'!P14:U14)</f>
        <v>1</v>
      </c>
      <c r="F98" s="73" t="s">
        <v>88</v>
      </c>
    </row>
    <row r="99" spans="2:6" x14ac:dyDescent="0.2">
      <c r="B99" s="85" t="s">
        <v>126</v>
      </c>
      <c r="C99" s="70">
        <v>0.04</v>
      </c>
      <c r="D99" s="84" t="s">
        <v>88</v>
      </c>
      <c r="E99" s="72">
        <f>SUM('Prod. GEXPSF'!P15:U15)</f>
        <v>1</v>
      </c>
      <c r="F99" s="73" t="s">
        <v>88</v>
      </c>
    </row>
    <row r="100" spans="2:6" x14ac:dyDescent="0.2">
      <c r="B100" s="85" t="s">
        <v>127</v>
      </c>
      <c r="C100" s="70">
        <v>0.04</v>
      </c>
      <c r="D100" s="84" t="s">
        <v>88</v>
      </c>
      <c r="E100" s="72">
        <f>SUM('Prod. GEXPSF'!P16:U16)</f>
        <v>1</v>
      </c>
      <c r="F100" s="73" t="s">
        <v>88</v>
      </c>
    </row>
    <row r="101" spans="2:6" x14ac:dyDescent="0.2">
      <c r="B101" s="75" t="s">
        <v>107</v>
      </c>
      <c r="D101" s="76">
        <f>AVERAGE(D88:D100)</f>
        <v>3.59375</v>
      </c>
      <c r="E101" s="72">
        <f>SUM(E88:E100)-E95-E96-E98-E99-E100</f>
        <v>26</v>
      </c>
      <c r="F101" s="73">
        <f>SUM(F88:F100)</f>
        <v>99.7</v>
      </c>
    </row>
    <row r="102" spans="2:6" x14ac:dyDescent="0.2">
      <c r="B102" s="77" t="s">
        <v>109</v>
      </c>
      <c r="C102" s="78"/>
      <c r="D102" s="79">
        <f>F101/E101</f>
        <v>3.8346153846153848</v>
      </c>
      <c r="E102" s="86"/>
      <c r="F102" s="87"/>
    </row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</sheetData>
  <mergeCells count="63">
    <mergeCell ref="H88:I88"/>
    <mergeCell ref="H89:I89"/>
    <mergeCell ref="H83:I83"/>
    <mergeCell ref="H84:I84"/>
    <mergeCell ref="H85:I85"/>
    <mergeCell ref="H86:I86"/>
    <mergeCell ref="H87:I87"/>
    <mergeCell ref="H78:I78"/>
    <mergeCell ref="H79:I79"/>
    <mergeCell ref="H80:I80"/>
    <mergeCell ref="H81:I81"/>
    <mergeCell ref="H82:I82"/>
    <mergeCell ref="H73:I73"/>
    <mergeCell ref="H74:I74"/>
    <mergeCell ref="H75:I75"/>
    <mergeCell ref="H76:I76"/>
    <mergeCell ref="H77:I77"/>
    <mergeCell ref="B65:M65"/>
    <mergeCell ref="B69:M69"/>
    <mergeCell ref="H70:I70"/>
    <mergeCell ref="H71:I71"/>
    <mergeCell ref="H72:I72"/>
    <mergeCell ref="C55:M55"/>
    <mergeCell ref="B56:E56"/>
    <mergeCell ref="C58:M58"/>
    <mergeCell ref="B60:M60"/>
    <mergeCell ref="C61:M61"/>
    <mergeCell ref="C50:D50"/>
    <mergeCell ref="C51:D51"/>
    <mergeCell ref="C52:D52"/>
    <mergeCell ref="C53:D53"/>
    <mergeCell ref="C54:D54"/>
    <mergeCell ref="C45:M45"/>
    <mergeCell ref="C46:D46"/>
    <mergeCell ref="C47:D47"/>
    <mergeCell ref="C48:D48"/>
    <mergeCell ref="C49:D49"/>
    <mergeCell ref="B39:M39"/>
    <mergeCell ref="B40:M40"/>
    <mergeCell ref="B42:M42"/>
    <mergeCell ref="B43:M43"/>
    <mergeCell ref="C44:M44"/>
    <mergeCell ref="B34:M34"/>
    <mergeCell ref="B35:M35"/>
    <mergeCell ref="B36:M36"/>
    <mergeCell ref="B37:M37"/>
    <mergeCell ref="B38:M38"/>
    <mergeCell ref="B17:M17"/>
    <mergeCell ref="B30:M30"/>
    <mergeCell ref="B31:M31"/>
    <mergeCell ref="B32:M32"/>
    <mergeCell ref="B33:M33"/>
    <mergeCell ref="C8:D8"/>
    <mergeCell ref="H8:I8"/>
    <mergeCell ref="C9:F9"/>
    <mergeCell ref="H9:K9"/>
    <mergeCell ref="B10:B11"/>
    <mergeCell ref="B1:M1"/>
    <mergeCell ref="C3:D3"/>
    <mergeCell ref="C4:D4"/>
    <mergeCell ref="B6:M6"/>
    <mergeCell ref="C7:D7"/>
    <mergeCell ref="H7:I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</sheetPr>
  <dimension ref="A1:ALH177"/>
  <sheetViews>
    <sheetView zoomScaleNormal="100" workbookViewId="0">
      <pane xSplit="1" topLeftCell="B1" activePane="topRight" state="frozen"/>
      <selection pane="topRight" activeCell="D18" sqref="D18:N18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996" width="10.625" customWidth="1"/>
    <col min="997" max="1025" width="10.5" customWidth="1"/>
  </cols>
  <sheetData>
    <row r="1" spans="1:25" ht="15" customHeight="1" x14ac:dyDescent="0.2">
      <c r="A1" s="287"/>
      <c r="B1" s="287"/>
      <c r="C1" s="730" t="s">
        <v>335</v>
      </c>
      <c r="D1" s="730"/>
      <c r="E1" s="730"/>
      <c r="F1" s="730"/>
      <c r="G1" s="730"/>
      <c r="H1" s="730"/>
      <c r="I1" s="731" t="s">
        <v>336</v>
      </c>
      <c r="J1" s="731"/>
      <c r="K1" s="731"/>
      <c r="L1" s="732" t="s">
        <v>337</v>
      </c>
      <c r="M1" s="732"/>
      <c r="N1" s="732"/>
      <c r="O1" s="287"/>
      <c r="P1" s="287"/>
      <c r="Q1" s="287"/>
      <c r="R1" s="287"/>
      <c r="S1" s="287"/>
      <c r="T1" s="287"/>
      <c r="U1" s="287"/>
      <c r="V1" s="733"/>
      <c r="W1" s="733"/>
      <c r="X1" s="733"/>
      <c r="Y1" s="287"/>
    </row>
    <row r="2" spans="1:25" ht="45.95" customHeight="1" x14ac:dyDescent="0.2">
      <c r="A2" s="734" t="s">
        <v>343</v>
      </c>
      <c r="B2" s="734" t="s">
        <v>344</v>
      </c>
      <c r="C2" s="735" t="s">
        <v>444</v>
      </c>
      <c r="D2" s="716" t="s">
        <v>345</v>
      </c>
      <c r="E2" s="716" t="s">
        <v>346</v>
      </c>
      <c r="F2" s="717" t="s">
        <v>347</v>
      </c>
      <c r="G2" s="715" t="s">
        <v>348</v>
      </c>
      <c r="H2" s="736" t="s">
        <v>445</v>
      </c>
      <c r="I2" s="737" t="s">
        <v>350</v>
      </c>
      <c r="J2" s="718" t="s">
        <v>446</v>
      </c>
      <c r="K2" s="738" t="s">
        <v>352</v>
      </c>
      <c r="L2" s="739" t="s">
        <v>353</v>
      </c>
      <c r="M2" s="720" t="s">
        <v>354</v>
      </c>
      <c r="N2" s="740" t="s">
        <v>355</v>
      </c>
      <c r="O2" s="741" t="s">
        <v>447</v>
      </c>
      <c r="P2" s="742" t="s">
        <v>448</v>
      </c>
      <c r="Q2" s="742"/>
      <c r="R2" s="742"/>
      <c r="S2" s="742"/>
      <c r="T2" s="743" t="s">
        <v>449</v>
      </c>
      <c r="U2" s="743"/>
      <c r="V2" s="304" t="s">
        <v>450</v>
      </c>
      <c r="W2" s="305" t="s">
        <v>451</v>
      </c>
      <c r="X2" s="306" t="s">
        <v>452</v>
      </c>
      <c r="Y2" s="307" t="s">
        <v>453</v>
      </c>
    </row>
    <row r="3" spans="1:25" x14ac:dyDescent="0.2">
      <c r="A3" s="734"/>
      <c r="B3" s="734"/>
      <c r="C3" s="734"/>
      <c r="D3" s="716"/>
      <c r="E3" s="716"/>
      <c r="F3" s="717"/>
      <c r="G3" s="715"/>
      <c r="H3" s="736"/>
      <c r="I3" s="737"/>
      <c r="J3" s="718"/>
      <c r="K3" s="738"/>
      <c r="L3" s="739"/>
      <c r="M3" s="720"/>
      <c r="N3" s="740"/>
      <c r="O3" s="741"/>
      <c r="P3" s="308" t="s">
        <v>454</v>
      </c>
      <c r="Q3" s="308" t="s">
        <v>455</v>
      </c>
      <c r="R3" s="308" t="s">
        <v>456</v>
      </c>
      <c r="S3" s="309" t="s">
        <v>457</v>
      </c>
      <c r="T3" s="310" t="s">
        <v>458</v>
      </c>
      <c r="U3" s="310" t="s">
        <v>459</v>
      </c>
      <c r="V3" s="311" t="s">
        <v>460</v>
      </c>
      <c r="W3" s="312" t="s">
        <v>460</v>
      </c>
      <c r="X3" s="313" t="s">
        <v>461</v>
      </c>
      <c r="Y3" s="307" t="s">
        <v>458</v>
      </c>
    </row>
    <row r="4" spans="1:25" x14ac:dyDescent="0.2">
      <c r="A4" s="83" t="s">
        <v>115</v>
      </c>
      <c r="B4" s="658">
        <f>'Resumo Proposta'!D37</f>
        <v>0.02</v>
      </c>
      <c r="C4" s="659"/>
      <c r="D4" s="660"/>
      <c r="E4" s="317">
        <f t="shared" ref="E4:E16" si="0">$E$18*(1-H4/$H$18)</f>
        <v>800</v>
      </c>
      <c r="F4" s="661"/>
      <c r="G4" s="661"/>
      <c r="H4" s="661"/>
      <c r="I4" s="661"/>
      <c r="J4" s="661"/>
      <c r="K4" s="661"/>
      <c r="L4" s="661"/>
      <c r="M4" s="661"/>
      <c r="N4" s="662"/>
      <c r="O4" s="321">
        <f t="shared" ref="O4:O16" si="1">D4/$D$18+E4/$E$18+F4/$F$18+G4/$G$18+H4/$H$18+I4/$I$18+J4/$J$18+K4/$K$18+M4/$M$18*16*1/188.76+N4/$N$18*16*1/188.76</f>
        <v>1</v>
      </c>
      <c r="P4" s="321">
        <v>1</v>
      </c>
      <c r="Q4" s="321"/>
      <c r="R4" s="321"/>
      <c r="S4" s="321"/>
      <c r="T4" s="322"/>
      <c r="U4" s="322"/>
      <c r="V4" s="323">
        <v>6</v>
      </c>
      <c r="W4" s="324">
        <v>6</v>
      </c>
      <c r="X4" s="325">
        <v>22</v>
      </c>
      <c r="Y4" s="326">
        <v>1</v>
      </c>
    </row>
    <row r="5" spans="1:25" x14ac:dyDescent="0.2">
      <c r="A5" s="85" t="s">
        <v>116</v>
      </c>
      <c r="B5" s="658">
        <f>'Resumo Proposta'!D38</f>
        <v>0.03</v>
      </c>
      <c r="C5" s="659">
        <v>2368.44</v>
      </c>
      <c r="D5" s="660">
        <f>C5-E5-F5-G5-H5</f>
        <v>136.9500000000001</v>
      </c>
      <c r="E5" s="660">
        <f t="shared" si="0"/>
        <v>500.44000000000005</v>
      </c>
      <c r="F5" s="663">
        <v>1326.82</v>
      </c>
      <c r="G5" s="663">
        <v>329.34</v>
      </c>
      <c r="H5" s="663">
        <v>74.89</v>
      </c>
      <c r="I5" s="663">
        <v>918.7</v>
      </c>
      <c r="J5" s="663"/>
      <c r="K5" s="663"/>
      <c r="L5" s="663">
        <f>N5-M5</f>
        <v>0</v>
      </c>
      <c r="M5" s="663">
        <v>343.54</v>
      </c>
      <c r="N5" s="664">
        <v>343.54</v>
      </c>
      <c r="O5" s="321">
        <f t="shared" si="1"/>
        <v>2.921127563628557</v>
      </c>
      <c r="P5" s="332">
        <v>1</v>
      </c>
      <c r="Q5" s="333"/>
      <c r="R5" s="333"/>
      <c r="S5" s="333">
        <v>2</v>
      </c>
      <c r="T5" s="334"/>
      <c r="U5" s="334">
        <v>2</v>
      </c>
      <c r="V5" s="335">
        <v>6</v>
      </c>
      <c r="W5" s="336">
        <v>6</v>
      </c>
      <c r="X5" s="337"/>
      <c r="Y5" s="338"/>
    </row>
    <row r="6" spans="1:25" x14ac:dyDescent="0.2">
      <c r="A6" s="85" t="s">
        <v>117</v>
      </c>
      <c r="B6" s="658">
        <f>'Resumo Proposta'!D39</f>
        <v>0.03</v>
      </c>
      <c r="C6" s="659">
        <v>2634.12</v>
      </c>
      <c r="D6" s="660">
        <f>C6-E6-F6-G6-H6</f>
        <v>711.69999999999993</v>
      </c>
      <c r="E6" s="660">
        <f t="shared" si="0"/>
        <v>492.44000000000005</v>
      </c>
      <c r="F6" s="663">
        <v>1078.3</v>
      </c>
      <c r="G6" s="663">
        <v>274.79000000000002</v>
      </c>
      <c r="H6" s="663">
        <v>76.89</v>
      </c>
      <c r="I6" s="663">
        <v>473.07</v>
      </c>
      <c r="J6" s="663"/>
      <c r="K6" s="663"/>
      <c r="L6" s="663">
        <f>N6-M6</f>
        <v>0</v>
      </c>
      <c r="M6" s="663">
        <v>658.53</v>
      </c>
      <c r="N6" s="664">
        <v>658.53</v>
      </c>
      <c r="O6" s="321">
        <f t="shared" si="1"/>
        <v>3.3741807628456071</v>
      </c>
      <c r="P6" s="332">
        <v>1</v>
      </c>
      <c r="Q6" s="333">
        <v>1</v>
      </c>
      <c r="R6" s="333"/>
      <c r="S6" s="333">
        <v>1</v>
      </c>
      <c r="T6" s="334"/>
      <c r="U6" s="334">
        <v>2</v>
      </c>
      <c r="V6" s="335">
        <v>6</v>
      </c>
      <c r="W6" s="336">
        <v>6</v>
      </c>
      <c r="X6" s="339"/>
      <c r="Y6" s="338"/>
    </row>
    <row r="7" spans="1:25" x14ac:dyDescent="0.2">
      <c r="A7" s="85" t="s">
        <v>118</v>
      </c>
      <c r="B7" s="658">
        <f>'Resumo Proposta'!D40</f>
        <v>0.02</v>
      </c>
      <c r="C7" s="659"/>
      <c r="D7" s="660"/>
      <c r="E7" s="660">
        <f t="shared" si="0"/>
        <v>800</v>
      </c>
      <c r="F7" s="663"/>
      <c r="G7" s="663"/>
      <c r="H7" s="663"/>
      <c r="I7" s="663"/>
      <c r="J7" s="663"/>
      <c r="K7" s="663"/>
      <c r="L7" s="663"/>
      <c r="M7" s="663"/>
      <c r="N7" s="664"/>
      <c r="O7" s="321">
        <f t="shared" si="1"/>
        <v>1</v>
      </c>
      <c r="P7" s="321">
        <v>1</v>
      </c>
      <c r="Q7" s="321"/>
      <c r="R7" s="321"/>
      <c r="S7" s="321"/>
      <c r="T7" s="322"/>
      <c r="U7" s="322"/>
      <c r="V7" s="335">
        <v>6</v>
      </c>
      <c r="W7" s="336">
        <v>6</v>
      </c>
      <c r="X7" s="339"/>
      <c r="Y7" s="338"/>
    </row>
    <row r="8" spans="1:25" x14ac:dyDescent="0.2">
      <c r="A8" s="85" t="s">
        <v>119</v>
      </c>
      <c r="B8" s="658">
        <f>'Resumo Proposta'!D41</f>
        <v>0.03</v>
      </c>
      <c r="C8" s="659">
        <v>1548.98</v>
      </c>
      <c r="D8" s="660">
        <f>C8-E8-F8-G8-H8</f>
        <v>-220.93000000000006</v>
      </c>
      <c r="E8" s="660">
        <f t="shared" si="0"/>
        <v>603.56000000000006</v>
      </c>
      <c r="F8" s="663">
        <v>869.07</v>
      </c>
      <c r="G8" s="663">
        <v>248.17</v>
      </c>
      <c r="H8" s="663">
        <v>49.11</v>
      </c>
      <c r="I8" s="663">
        <v>751.02</v>
      </c>
      <c r="J8" s="663"/>
      <c r="K8" s="663"/>
      <c r="L8" s="663">
        <f>N8-M8</f>
        <v>0</v>
      </c>
      <c r="M8" s="663">
        <v>333.85</v>
      </c>
      <c r="N8" s="664">
        <v>333.85</v>
      </c>
      <c r="O8" s="321">
        <f t="shared" si="1"/>
        <v>2.0132512805177281</v>
      </c>
      <c r="P8" s="332">
        <v>1</v>
      </c>
      <c r="Q8" s="333">
        <v>1</v>
      </c>
      <c r="R8" s="333"/>
      <c r="S8" s="333"/>
      <c r="T8" s="334"/>
      <c r="U8" s="334"/>
      <c r="V8" s="335">
        <v>6</v>
      </c>
      <c r="W8" s="336">
        <v>6</v>
      </c>
      <c r="X8" s="339"/>
      <c r="Y8" s="338"/>
    </row>
    <row r="9" spans="1:25" x14ac:dyDescent="0.2">
      <c r="A9" s="85" t="s">
        <v>120</v>
      </c>
      <c r="B9" s="658">
        <f>'Resumo Proposta'!D42</f>
        <v>0.02</v>
      </c>
      <c r="C9" s="659">
        <v>1452.69</v>
      </c>
      <c r="D9" s="660">
        <f>C9-E9-F9-G9-H9</f>
        <v>431.50000000000011</v>
      </c>
      <c r="E9" s="660">
        <f t="shared" si="0"/>
        <v>443.36</v>
      </c>
      <c r="F9" s="661">
        <f>717.97/2</f>
        <v>358.98500000000001</v>
      </c>
      <c r="G9" s="661">
        <f>259.37/2</f>
        <v>129.685</v>
      </c>
      <c r="H9" s="661">
        <f>178.32/2</f>
        <v>89.16</v>
      </c>
      <c r="I9" s="661">
        <f>880.68/2</f>
        <v>440.34</v>
      </c>
      <c r="J9" s="661"/>
      <c r="K9" s="661"/>
      <c r="L9" s="661">
        <f>N9-M9</f>
        <v>0</v>
      </c>
      <c r="M9" s="661">
        <f>536.86/2</f>
        <v>268.43</v>
      </c>
      <c r="N9" s="662">
        <f>536.86/2</f>
        <v>268.43</v>
      </c>
      <c r="O9" s="321">
        <f t="shared" si="1"/>
        <v>2.2116116262923686</v>
      </c>
      <c r="P9" s="332">
        <v>1</v>
      </c>
      <c r="Q9" s="333"/>
      <c r="R9" s="333"/>
      <c r="S9" s="333">
        <v>3</v>
      </c>
      <c r="T9" s="334">
        <v>1</v>
      </c>
      <c r="U9" s="334">
        <v>2</v>
      </c>
      <c r="V9" s="335">
        <v>6</v>
      </c>
      <c r="W9" s="336">
        <v>6</v>
      </c>
      <c r="X9" s="339"/>
      <c r="Y9" s="338"/>
    </row>
    <row r="10" spans="1:25" x14ac:dyDescent="0.2">
      <c r="A10" s="85" t="s">
        <v>121</v>
      </c>
      <c r="B10" s="658">
        <f>'Resumo Proposta'!D43</f>
        <v>0.03</v>
      </c>
      <c r="C10" s="659">
        <v>1912.23</v>
      </c>
      <c r="D10" s="660">
        <f>C10-E10-F10-G10-H10</f>
        <v>-196.13000000000011</v>
      </c>
      <c r="E10" s="660">
        <f t="shared" si="0"/>
        <v>572.44000000000005</v>
      </c>
      <c r="F10" s="663">
        <v>1361.14</v>
      </c>
      <c r="G10" s="663">
        <v>117.89</v>
      </c>
      <c r="H10" s="663">
        <v>56.89</v>
      </c>
      <c r="I10" s="663">
        <v>711.41</v>
      </c>
      <c r="J10" s="663"/>
      <c r="K10" s="663"/>
      <c r="L10" s="663">
        <f>N10-M10</f>
        <v>0</v>
      </c>
      <c r="M10" s="663">
        <v>434.32</v>
      </c>
      <c r="N10" s="664">
        <v>434.32</v>
      </c>
      <c r="O10" s="321">
        <f t="shared" si="1"/>
        <v>2.2703359440001787</v>
      </c>
      <c r="P10" s="321">
        <v>1</v>
      </c>
      <c r="Q10" s="321">
        <v>1</v>
      </c>
      <c r="R10" s="321"/>
      <c r="S10" s="321"/>
      <c r="T10" s="322"/>
      <c r="U10" s="322">
        <v>1</v>
      </c>
      <c r="V10" s="335">
        <v>6</v>
      </c>
      <c r="W10" s="336">
        <v>6</v>
      </c>
      <c r="X10" s="339"/>
      <c r="Y10" s="338"/>
    </row>
    <row r="11" spans="1:25" x14ac:dyDescent="0.2">
      <c r="A11" s="85" t="s">
        <v>122</v>
      </c>
      <c r="B11" s="658">
        <f>'Resumo Proposta'!D44</f>
        <v>0.02</v>
      </c>
      <c r="C11" s="659"/>
      <c r="D11" s="660"/>
      <c r="E11" s="660">
        <f>($E$18*30/40)*(1-H11/$H$18)</f>
        <v>600</v>
      </c>
      <c r="F11" s="663"/>
      <c r="G11" s="663"/>
      <c r="H11" s="663"/>
      <c r="I11" s="663"/>
      <c r="J11" s="663"/>
      <c r="K11" s="663"/>
      <c r="L11" s="663"/>
      <c r="M11" s="663"/>
      <c r="N11" s="664"/>
      <c r="O11" s="321">
        <f t="shared" si="1"/>
        <v>0.75</v>
      </c>
      <c r="P11" s="332"/>
      <c r="Q11" s="333"/>
      <c r="R11" s="333">
        <v>1</v>
      </c>
      <c r="S11" s="333"/>
      <c r="T11" s="334"/>
      <c r="U11" s="334"/>
      <c r="V11" s="335">
        <v>6</v>
      </c>
      <c r="W11" s="336">
        <v>6</v>
      </c>
      <c r="X11" s="339"/>
      <c r="Y11" s="338"/>
    </row>
    <row r="12" spans="1:25" x14ac:dyDescent="0.2">
      <c r="A12" s="85" t="s">
        <v>123</v>
      </c>
      <c r="B12" s="658">
        <f>'Resumo Proposta'!D45</f>
        <v>0.03</v>
      </c>
      <c r="C12" s="659"/>
      <c r="D12" s="660"/>
      <c r="E12" s="660">
        <f t="shared" si="0"/>
        <v>800</v>
      </c>
      <c r="F12" s="663"/>
      <c r="G12" s="663"/>
      <c r="H12" s="663"/>
      <c r="I12" s="663"/>
      <c r="J12" s="663"/>
      <c r="K12" s="663"/>
      <c r="L12" s="663"/>
      <c r="M12" s="663"/>
      <c r="N12" s="664"/>
      <c r="O12" s="321">
        <f t="shared" si="1"/>
        <v>1</v>
      </c>
      <c r="P12" s="332">
        <v>1</v>
      </c>
      <c r="Q12" s="333"/>
      <c r="R12" s="333"/>
      <c r="S12" s="333"/>
      <c r="T12" s="334"/>
      <c r="U12" s="334">
        <v>1</v>
      </c>
      <c r="V12" s="335">
        <v>6</v>
      </c>
      <c r="W12" s="336">
        <v>6</v>
      </c>
      <c r="X12" s="339"/>
      <c r="Y12" s="338"/>
    </row>
    <row r="13" spans="1:25" x14ac:dyDescent="0.2">
      <c r="A13" s="85" t="s">
        <v>124</v>
      </c>
      <c r="B13" s="658">
        <f>'Resumo Proposta'!D46</f>
        <v>0.02</v>
      </c>
      <c r="C13" s="659"/>
      <c r="D13" s="660"/>
      <c r="E13" s="660">
        <f>($E$18*30/40)*(1-H13/$H$18)</f>
        <v>600</v>
      </c>
      <c r="F13" s="663"/>
      <c r="G13" s="663"/>
      <c r="H13" s="663"/>
      <c r="I13" s="663"/>
      <c r="J13" s="663"/>
      <c r="K13" s="663"/>
      <c r="L13" s="663"/>
      <c r="M13" s="663"/>
      <c r="N13" s="664"/>
      <c r="O13" s="321">
        <f t="shared" si="1"/>
        <v>0.75</v>
      </c>
      <c r="P13" s="321"/>
      <c r="Q13" s="321"/>
      <c r="R13" s="321">
        <v>1</v>
      </c>
      <c r="S13" s="321"/>
      <c r="T13" s="322"/>
      <c r="U13" s="322"/>
      <c r="V13" s="335">
        <v>6</v>
      </c>
      <c r="W13" s="336">
        <v>6</v>
      </c>
      <c r="X13" s="339"/>
      <c r="Y13" s="338"/>
    </row>
    <row r="14" spans="1:25" x14ac:dyDescent="0.2">
      <c r="A14" s="85" t="s">
        <v>125</v>
      </c>
      <c r="B14" s="658">
        <f>'Resumo Proposta'!D47</f>
        <v>2.5000000000000001E-2</v>
      </c>
      <c r="C14" s="659"/>
      <c r="D14" s="660"/>
      <c r="E14" s="660">
        <f>($E$18*30/40)*(1-H14/$H$18)</f>
        <v>600</v>
      </c>
      <c r="F14" s="663"/>
      <c r="G14" s="663"/>
      <c r="H14" s="663"/>
      <c r="I14" s="663"/>
      <c r="J14" s="663"/>
      <c r="K14" s="663"/>
      <c r="L14" s="663"/>
      <c r="M14" s="663"/>
      <c r="N14" s="664"/>
      <c r="O14" s="321">
        <f t="shared" si="1"/>
        <v>0.75</v>
      </c>
      <c r="P14" s="332"/>
      <c r="Q14" s="333"/>
      <c r="R14" s="333">
        <v>1</v>
      </c>
      <c r="S14" s="333"/>
      <c r="T14" s="334"/>
      <c r="U14" s="334"/>
      <c r="V14" s="335">
        <v>6</v>
      </c>
      <c r="W14" s="336">
        <v>6</v>
      </c>
      <c r="X14" s="339"/>
      <c r="Y14" s="338"/>
    </row>
    <row r="15" spans="1:25" x14ac:dyDescent="0.2">
      <c r="A15" s="85" t="s">
        <v>126</v>
      </c>
      <c r="B15" s="658">
        <f>'Resumo Proposta'!D48</f>
        <v>0.04</v>
      </c>
      <c r="C15" s="659"/>
      <c r="D15" s="660"/>
      <c r="E15" s="660">
        <f t="shared" si="0"/>
        <v>800</v>
      </c>
      <c r="F15" s="663"/>
      <c r="G15" s="663"/>
      <c r="H15" s="663"/>
      <c r="I15" s="663"/>
      <c r="J15" s="663"/>
      <c r="K15" s="663"/>
      <c r="L15" s="663"/>
      <c r="M15" s="663"/>
      <c r="N15" s="664"/>
      <c r="O15" s="321">
        <f t="shared" si="1"/>
        <v>1</v>
      </c>
      <c r="P15" s="332">
        <v>1</v>
      </c>
      <c r="Q15" s="333"/>
      <c r="R15" s="333"/>
      <c r="S15" s="333"/>
      <c r="T15" s="334"/>
      <c r="U15" s="334"/>
      <c r="V15" s="335">
        <v>6</v>
      </c>
      <c r="W15" s="336">
        <v>6</v>
      </c>
      <c r="X15" s="339"/>
      <c r="Y15" s="338"/>
    </row>
    <row r="16" spans="1:25" x14ac:dyDescent="0.2">
      <c r="A16" s="85" t="s">
        <v>127</v>
      </c>
      <c r="B16" s="658">
        <f>'Resumo Proposta'!D49</f>
        <v>0.04</v>
      </c>
      <c r="C16" s="659"/>
      <c r="D16" s="660"/>
      <c r="E16" s="660">
        <f t="shared" si="0"/>
        <v>800</v>
      </c>
      <c r="F16" s="665"/>
      <c r="G16" s="665"/>
      <c r="H16" s="665"/>
      <c r="I16" s="665"/>
      <c r="J16" s="665"/>
      <c r="K16" s="665"/>
      <c r="L16" s="665"/>
      <c r="M16" s="665"/>
      <c r="N16" s="666"/>
      <c r="O16" s="321">
        <f t="shared" si="1"/>
        <v>1</v>
      </c>
      <c r="P16" s="332">
        <v>1</v>
      </c>
      <c r="Q16" s="333"/>
      <c r="R16" s="333"/>
      <c r="S16" s="333"/>
      <c r="T16" s="334"/>
      <c r="U16" s="334"/>
      <c r="V16" s="335">
        <v>6</v>
      </c>
      <c r="W16" s="336">
        <v>6</v>
      </c>
      <c r="X16" s="339"/>
      <c r="Y16" s="338"/>
    </row>
    <row r="17" spans="1:996" x14ac:dyDescent="0.2">
      <c r="A17" s="344" t="s">
        <v>462</v>
      </c>
      <c r="B17" s="344"/>
      <c r="C17" s="344"/>
      <c r="D17" s="345">
        <f t="shared" ref="D17:Y17" si="2">SUM(D4:D16)</f>
        <v>863.09000000000015</v>
      </c>
      <c r="E17" s="345">
        <f t="shared" si="2"/>
        <v>8412.24</v>
      </c>
      <c r="F17" s="346">
        <f t="shared" si="2"/>
        <v>4994.3150000000005</v>
      </c>
      <c r="G17" s="346">
        <f t="shared" si="2"/>
        <v>1099.875</v>
      </c>
      <c r="H17" s="346">
        <f t="shared" si="2"/>
        <v>346.93999999999994</v>
      </c>
      <c r="I17" s="346">
        <f t="shared" si="2"/>
        <v>3294.54</v>
      </c>
      <c r="J17" s="346">
        <f t="shared" si="2"/>
        <v>0</v>
      </c>
      <c r="K17" s="346">
        <f t="shared" si="2"/>
        <v>0</v>
      </c>
      <c r="L17" s="346">
        <f t="shared" si="2"/>
        <v>0</v>
      </c>
      <c r="M17" s="346">
        <f t="shared" si="2"/>
        <v>2038.67</v>
      </c>
      <c r="N17" s="347">
        <f t="shared" si="2"/>
        <v>2038.67</v>
      </c>
      <c r="O17" s="348">
        <f t="shared" si="2"/>
        <v>20.040507177284439</v>
      </c>
      <c r="P17" s="350">
        <f t="shared" si="2"/>
        <v>10</v>
      </c>
      <c r="Q17" s="350">
        <f t="shared" si="2"/>
        <v>3</v>
      </c>
      <c r="R17" s="350">
        <f t="shared" si="2"/>
        <v>3</v>
      </c>
      <c r="S17" s="350">
        <f t="shared" si="2"/>
        <v>6</v>
      </c>
      <c r="T17" s="351">
        <f t="shared" si="2"/>
        <v>1</v>
      </c>
      <c r="U17" s="352">
        <f t="shared" si="2"/>
        <v>8</v>
      </c>
      <c r="V17" s="353">
        <f t="shared" si="2"/>
        <v>78</v>
      </c>
      <c r="W17" s="354">
        <f t="shared" si="2"/>
        <v>78</v>
      </c>
      <c r="X17" s="355">
        <f t="shared" si="2"/>
        <v>22</v>
      </c>
      <c r="Y17" s="356">
        <f t="shared" si="2"/>
        <v>1</v>
      </c>
      <c r="ALE17" s="257"/>
      <c r="ALF17" s="257"/>
      <c r="ALG17" s="257"/>
      <c r="ALH17" s="257"/>
    </row>
    <row r="18" spans="1:996" ht="15" x14ac:dyDescent="0.25">
      <c r="A18" s="357" t="s">
        <v>463</v>
      </c>
      <c r="B18" s="357"/>
      <c r="C18" s="357"/>
      <c r="D18" s="358">
        <v>800</v>
      </c>
      <c r="E18" s="358">
        <v>800</v>
      </c>
      <c r="F18" s="359">
        <v>1500</v>
      </c>
      <c r="G18" s="359">
        <v>1000</v>
      </c>
      <c r="H18" s="359">
        <v>200</v>
      </c>
      <c r="I18" s="359">
        <v>2400</v>
      </c>
      <c r="J18" s="359">
        <v>100000</v>
      </c>
      <c r="K18" s="359">
        <v>9000</v>
      </c>
      <c r="L18" s="359">
        <v>160</v>
      </c>
      <c r="M18" s="359">
        <v>380</v>
      </c>
      <c r="N18" s="360">
        <v>380</v>
      </c>
      <c r="O18" s="361"/>
      <c r="P18" s="362" t="s">
        <v>464</v>
      </c>
      <c r="Q18" s="363">
        <f>P17+Q17+R17+S17</f>
        <v>22</v>
      </c>
      <c r="R18" s="364"/>
      <c r="S18" s="364"/>
      <c r="T18" s="362" t="s">
        <v>464</v>
      </c>
      <c r="U18" s="365">
        <f>T17+U17</f>
        <v>9</v>
      </c>
      <c r="V18" s="366"/>
      <c r="W18" s="366"/>
      <c r="X18" s="366"/>
      <c r="Y18" s="289"/>
      <c r="ALH18" s="290"/>
    </row>
    <row r="19" spans="1:996" ht="15" x14ac:dyDescent="0.25">
      <c r="A19" s="367" t="s">
        <v>465</v>
      </c>
      <c r="B19" s="367"/>
      <c r="C19" s="367"/>
      <c r="D19" s="368">
        <f t="shared" ref="D19:K19" si="3">D17/D18</f>
        <v>1.0788625000000003</v>
      </c>
      <c r="E19" s="368">
        <f t="shared" si="3"/>
        <v>10.5153</v>
      </c>
      <c r="F19" s="369">
        <f t="shared" si="3"/>
        <v>3.3295433333333335</v>
      </c>
      <c r="G19" s="369">
        <f t="shared" si="3"/>
        <v>1.0998749999999999</v>
      </c>
      <c r="H19" s="369">
        <f t="shared" si="3"/>
        <v>1.7346999999999997</v>
      </c>
      <c r="I19" s="369">
        <f t="shared" si="3"/>
        <v>1.372725</v>
      </c>
      <c r="J19" s="369">
        <f t="shared" si="3"/>
        <v>0</v>
      </c>
      <c r="K19" s="369">
        <f t="shared" si="3"/>
        <v>0</v>
      </c>
      <c r="L19" s="369">
        <f>1/L18*8*1/1132.6*L17</f>
        <v>0</v>
      </c>
      <c r="M19" s="369">
        <f>1/M18*16*1/188.76*M17</f>
        <v>0.45475067197555241</v>
      </c>
      <c r="N19" s="370">
        <f>1/N18*16*1/188.76*N17</f>
        <v>0.45475067197555241</v>
      </c>
      <c r="O19" s="371">
        <f>SUM(D19:N19)-L19</f>
        <v>20.040507177284439</v>
      </c>
      <c r="P19" s="362" t="s">
        <v>466</v>
      </c>
      <c r="Q19" s="365">
        <f>P17+Q17+((R17+S17)*0.75)</f>
        <v>19.75</v>
      </c>
      <c r="R19" s="289"/>
      <c r="S19" s="289"/>
      <c r="T19" s="372"/>
      <c r="U19" s="289"/>
      <c r="V19" s="289"/>
      <c r="W19" s="289"/>
      <c r="X19" s="289"/>
      <c r="Y19" s="289"/>
      <c r="ALH19" s="290"/>
    </row>
    <row r="20" spans="1:996" ht="15" x14ac:dyDescent="0.25">
      <c r="A20" s="373" t="s">
        <v>467</v>
      </c>
      <c r="B20" s="373"/>
      <c r="C20" s="373"/>
      <c r="D20" s="374">
        <f t="shared" ref="D20:K20" si="4">D17/($O19*D18)</f>
        <v>5.3834091645288885E-2</v>
      </c>
      <c r="E20" s="374">
        <f t="shared" si="4"/>
        <v>0.52470228956674836</v>
      </c>
      <c r="F20" s="375">
        <f t="shared" si="4"/>
        <v>0.16614067218355194</v>
      </c>
      <c r="G20" s="375">
        <f t="shared" si="4"/>
        <v>5.4882593053667272E-2</v>
      </c>
      <c r="H20" s="375">
        <f t="shared" si="4"/>
        <v>8.6559685573539352E-2</v>
      </c>
      <c r="I20" s="375">
        <f t="shared" si="4"/>
        <v>6.8497517944853176E-2</v>
      </c>
      <c r="J20" s="375">
        <f t="shared" si="4"/>
        <v>0</v>
      </c>
      <c r="K20" s="375">
        <f t="shared" si="4"/>
        <v>0</v>
      </c>
      <c r="L20" s="375">
        <f>1/$O19*1/L18*16*1/188.76*L17</f>
        <v>0</v>
      </c>
      <c r="M20" s="375">
        <f>1/$O19*1/M18*16*1/188.76*M17</f>
        <v>2.2691575016175455E-2</v>
      </c>
      <c r="N20" s="375">
        <f>1/$O19*1/N18*16*1/188.76*N17</f>
        <v>2.2691575016175455E-2</v>
      </c>
      <c r="O20" s="376">
        <f>SUM(D20:N20)</f>
        <v>0.99999999999999978</v>
      </c>
      <c r="P20" s="289"/>
      <c r="Q20" s="289"/>
      <c r="R20" s="289"/>
      <c r="S20" s="289"/>
      <c r="T20" s="289"/>
      <c r="U20" s="289"/>
      <c r="V20" s="289"/>
      <c r="W20" s="289"/>
      <c r="X20" s="289"/>
      <c r="Y20" s="290"/>
      <c r="ALH20" s="290"/>
    </row>
    <row r="21" spans="1:996" ht="15" hidden="1" x14ac:dyDescent="0.25">
      <c r="A21" s="377" t="s">
        <v>468</v>
      </c>
      <c r="B21" s="377"/>
      <c r="C21" s="377"/>
      <c r="D21" s="378">
        <f>ROUND(1/D18,9)</f>
        <v>1.25E-3</v>
      </c>
      <c r="E21" s="378"/>
      <c r="F21" s="379">
        <f t="shared" ref="F21:K21" si="5">ROUND(1/F18,9)</f>
        <v>6.6666700000000002E-4</v>
      </c>
      <c r="G21" s="379">
        <f t="shared" si="5"/>
        <v>1E-3</v>
      </c>
      <c r="H21" s="379">
        <f t="shared" si="5"/>
        <v>5.0000000000000001E-3</v>
      </c>
      <c r="I21" s="379">
        <f t="shared" si="5"/>
        <v>4.1666700000000001E-4</v>
      </c>
      <c r="J21" s="379">
        <f t="shared" si="5"/>
        <v>1.0000000000000001E-5</v>
      </c>
      <c r="K21" s="379">
        <f t="shared" si="5"/>
        <v>1.11111E-4</v>
      </c>
      <c r="L21" s="380">
        <f>(1/L18)*(1/N26)*8</f>
        <v>4.8611111111111115E-5</v>
      </c>
      <c r="M21" s="380">
        <f>(1/M18)*(1/N25)*16</f>
        <v>2.4561403508771931E-4</v>
      </c>
      <c r="N21" s="381">
        <f>(1/N18)*(1/N25)*16</f>
        <v>2.4561403508771931E-4</v>
      </c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ALH21" s="290"/>
    </row>
    <row r="22" spans="1:996" ht="15" hidden="1" x14ac:dyDescent="0.25">
      <c r="A22" s="382" t="s">
        <v>469</v>
      </c>
      <c r="B22" s="382"/>
      <c r="C22" s="382"/>
      <c r="D22" s="383">
        <f>D21/$Y$17</f>
        <v>1.25E-3</v>
      </c>
      <c r="E22" s="383"/>
      <c r="F22" s="384">
        <f t="shared" ref="F22:N22" si="6">F21/$Y$17</f>
        <v>6.6666700000000002E-4</v>
      </c>
      <c r="G22" s="384">
        <f t="shared" si="6"/>
        <v>1E-3</v>
      </c>
      <c r="H22" s="384">
        <f t="shared" si="6"/>
        <v>5.0000000000000001E-3</v>
      </c>
      <c r="I22" s="384">
        <f t="shared" si="6"/>
        <v>4.1666700000000001E-4</v>
      </c>
      <c r="J22" s="384">
        <f t="shared" si="6"/>
        <v>1.0000000000000001E-5</v>
      </c>
      <c r="K22" s="384">
        <f t="shared" si="6"/>
        <v>1.11111E-4</v>
      </c>
      <c r="L22" s="385">
        <f t="shared" si="6"/>
        <v>4.8611111111111115E-5</v>
      </c>
      <c r="M22" s="385">
        <f t="shared" si="6"/>
        <v>2.4561403508771931E-4</v>
      </c>
      <c r="N22" s="386">
        <f t="shared" si="6"/>
        <v>2.4561403508771931E-4</v>
      </c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ALH22" s="290"/>
    </row>
    <row r="23" spans="1:996" ht="15" x14ac:dyDescent="0.25">
      <c r="A23" s="387" t="s">
        <v>470</v>
      </c>
      <c r="B23" s="387"/>
      <c r="C23" s="387"/>
      <c r="D23" s="388" t="s">
        <v>471</v>
      </c>
      <c r="E23" s="388" t="s">
        <v>471</v>
      </c>
      <c r="F23" s="389" t="s">
        <v>472</v>
      </c>
      <c r="G23" s="389" t="s">
        <v>473</v>
      </c>
      <c r="H23" s="389" t="s">
        <v>474</v>
      </c>
      <c r="I23" s="390" t="s">
        <v>475</v>
      </c>
      <c r="J23" s="390" t="s">
        <v>475</v>
      </c>
      <c r="K23" s="390" t="s">
        <v>476</v>
      </c>
      <c r="L23" s="391" t="s">
        <v>477</v>
      </c>
      <c r="M23" s="391" t="s">
        <v>478</v>
      </c>
      <c r="N23" s="392" t="s">
        <v>478</v>
      </c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ALH23" s="290"/>
    </row>
    <row r="24" spans="1:996" ht="15" hidden="1" x14ac:dyDescent="0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ALE24" s="257"/>
      <c r="ALF24" s="257"/>
      <c r="ALG24" s="257"/>
      <c r="ALH24" s="257"/>
    </row>
    <row r="25" spans="1:996" ht="15" hidden="1" x14ac:dyDescent="0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393">
        <f>30/7</f>
        <v>4.2857142857142856</v>
      </c>
      <c r="M25" s="393">
        <v>40</v>
      </c>
      <c r="N25" s="393">
        <f>L25*M25</f>
        <v>171.42857142857142</v>
      </c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ALE25" s="257"/>
      <c r="ALF25" s="257"/>
      <c r="ALG25" s="257"/>
      <c r="ALH25" s="257"/>
    </row>
    <row r="26" spans="1:996" ht="15" hidden="1" x14ac:dyDescent="0.25">
      <c r="A26" s="290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393"/>
      <c r="M26" s="393"/>
      <c r="N26" s="393">
        <f>N25*6</f>
        <v>1028.5714285714284</v>
      </c>
      <c r="O26" s="393" t="s">
        <v>479</v>
      </c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ALE26" s="257"/>
      <c r="ALF26" s="257"/>
      <c r="ALG26" s="257"/>
      <c r="ALH26" s="257"/>
    </row>
    <row r="177" spans="4:4" x14ac:dyDescent="0.2">
      <c r="D177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AMK198"/>
  <sheetViews>
    <sheetView zoomScale="75" zoomScaleNormal="75" workbookViewId="0">
      <pane ySplit="10" topLeftCell="A11" activePane="bottomLeft" state="frozen"/>
      <selection pane="bottomLeft" activeCell="M178" sqref="M178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44" t="s">
        <v>480</v>
      </c>
      <c r="B1" s="744"/>
      <c r="C1" s="744"/>
      <c r="D1" s="744"/>
      <c r="E1" s="744"/>
      <c r="F1" s="744"/>
      <c r="G1" s="744"/>
      <c r="H1" s="744"/>
      <c r="I1" s="744"/>
    </row>
    <row r="2" spans="1:9" ht="15.75" x14ac:dyDescent="0.2">
      <c r="A2" s="745" t="s">
        <v>481</v>
      </c>
      <c r="B2" s="745"/>
      <c r="C2" s="745"/>
      <c r="D2" s="745"/>
      <c r="E2" s="745"/>
      <c r="F2" s="745"/>
      <c r="G2" s="745"/>
      <c r="H2" s="745"/>
      <c r="I2" s="745"/>
    </row>
    <row r="3" spans="1:9" ht="15.75" customHeight="1" x14ac:dyDescent="0.2">
      <c r="A3" s="745" t="s">
        <v>482</v>
      </c>
      <c r="B3" s="745"/>
      <c r="C3" s="745"/>
      <c r="D3" s="745"/>
      <c r="E3" s="745"/>
      <c r="F3" s="745"/>
      <c r="G3" s="745"/>
      <c r="H3" s="745"/>
      <c r="I3" s="745"/>
    </row>
    <row r="4" spans="1:9" ht="24" x14ac:dyDescent="0.2">
      <c r="A4" s="394"/>
      <c r="B4" s="395"/>
      <c r="C4" s="746" t="s">
        <v>483</v>
      </c>
      <c r="D4" s="746"/>
      <c r="E4" s="747" t="s">
        <v>484</v>
      </c>
      <c r="F4" s="747"/>
      <c r="G4" s="397" t="s">
        <v>485</v>
      </c>
      <c r="H4" s="398" t="s">
        <v>486</v>
      </c>
      <c r="I4" s="399" t="s">
        <v>487</v>
      </c>
    </row>
    <row r="5" spans="1:9" x14ac:dyDescent="0.2">
      <c r="A5" s="400"/>
      <c r="B5" s="401" t="s">
        <v>488</v>
      </c>
      <c r="C5" s="748">
        <f>MC!$I11</f>
        <v>1194.6272727272726</v>
      </c>
      <c r="D5" s="748"/>
      <c r="E5" s="748">
        <f>MC!$J11</f>
        <v>895.97045454545446</v>
      </c>
      <c r="F5" s="748"/>
      <c r="G5" s="403">
        <f>MC!$K11</f>
        <v>597.31363636363631</v>
      </c>
      <c r="H5" s="404">
        <f>MC!$H13</f>
        <v>1669.75</v>
      </c>
      <c r="I5" s="404">
        <f>MC!$I12</f>
        <v>1673.9117345454545</v>
      </c>
    </row>
    <row r="6" spans="1:9" x14ac:dyDescent="0.2">
      <c r="A6" s="400"/>
      <c r="B6" s="401" t="s">
        <v>489</v>
      </c>
      <c r="C6" s="749">
        <f>MC!$J8</f>
        <v>44593</v>
      </c>
      <c r="D6" s="749"/>
      <c r="E6" s="773">
        <f>MC!$J8</f>
        <v>44593</v>
      </c>
      <c r="F6" s="773"/>
      <c r="G6" s="406">
        <f>MC!$J8</f>
        <v>44593</v>
      </c>
      <c r="H6" s="407">
        <f>MC!$J8</f>
        <v>44593</v>
      </c>
      <c r="I6" s="407">
        <f>MC!$J8</f>
        <v>44593</v>
      </c>
    </row>
    <row r="7" spans="1:9" x14ac:dyDescent="0.2">
      <c r="A7" s="400"/>
      <c r="B7" s="401" t="s">
        <v>490</v>
      </c>
      <c r="C7" s="749" t="str">
        <f>MC!$H8</f>
        <v>RS000043/2022</v>
      </c>
      <c r="D7" s="749"/>
      <c r="E7" s="773" t="str">
        <f>MC!$H8</f>
        <v>RS000043/2022</v>
      </c>
      <c r="F7" s="773"/>
      <c r="G7" s="406" t="str">
        <f>MC!$H8</f>
        <v>RS000043/2022</v>
      </c>
      <c r="H7" s="407" t="str">
        <f>MC!$H8</f>
        <v>RS000043/2022</v>
      </c>
      <c r="I7" s="407" t="str">
        <f>MC!$H8</f>
        <v>RS000043/2022</v>
      </c>
    </row>
    <row r="8" spans="1:9" x14ac:dyDescent="0.2">
      <c r="A8" s="400"/>
      <c r="B8" s="401" t="s">
        <v>491</v>
      </c>
      <c r="C8" s="750" t="str">
        <f>MC!$K8</f>
        <v>5143-20</v>
      </c>
      <c r="D8" s="750"/>
      <c r="E8" s="751" t="str">
        <f>MC!$K8</f>
        <v>5143-20</v>
      </c>
      <c r="F8" s="751"/>
      <c r="G8" s="409" t="str">
        <f>MC!$K8</f>
        <v>5143-20</v>
      </c>
      <c r="H8" s="410" t="str">
        <f>MC!$K8</f>
        <v>5143-20</v>
      </c>
      <c r="I8" s="410" t="str">
        <f>MC!$K8</f>
        <v>5143-20</v>
      </c>
    </row>
    <row r="9" spans="1:9" x14ac:dyDescent="0.2">
      <c r="A9" s="752"/>
      <c r="B9" s="752"/>
      <c r="C9" s="752"/>
      <c r="D9" s="752"/>
      <c r="E9" s="752"/>
      <c r="F9" s="752"/>
      <c r="G9" s="752"/>
      <c r="H9" s="752"/>
      <c r="I9" s="752"/>
    </row>
    <row r="10" spans="1:9" ht="56.1" customHeight="1" x14ac:dyDescent="0.2">
      <c r="A10" s="411" t="s">
        <v>492</v>
      </c>
      <c r="B10" s="412" t="s">
        <v>493</v>
      </c>
      <c r="C10" s="413" t="s">
        <v>494</v>
      </c>
      <c r="D10" s="413" t="s">
        <v>495</v>
      </c>
      <c r="E10" s="413" t="s">
        <v>496</v>
      </c>
      <c r="F10" s="413" t="s">
        <v>497</v>
      </c>
      <c r="G10" s="413" t="s">
        <v>498</v>
      </c>
      <c r="H10" s="413" t="s">
        <v>499</v>
      </c>
      <c r="I10" s="414" t="s">
        <v>500</v>
      </c>
    </row>
    <row r="11" spans="1:9" ht="14.25" customHeight="1" x14ac:dyDescent="0.2">
      <c r="A11" s="753" t="s">
        <v>501</v>
      </c>
      <c r="B11" s="753"/>
      <c r="C11" s="753"/>
      <c r="D11" s="753"/>
      <c r="E11" s="753"/>
      <c r="F11" s="753"/>
      <c r="G11" s="753"/>
      <c r="H11" s="753"/>
      <c r="I11" s="753"/>
    </row>
    <row r="12" spans="1:9" ht="15.75" customHeight="1" x14ac:dyDescent="0.2">
      <c r="A12" s="415" t="s">
        <v>502</v>
      </c>
      <c r="B12" s="416" t="s">
        <v>503</v>
      </c>
      <c r="C12" s="416" t="s">
        <v>504</v>
      </c>
      <c r="D12" s="416" t="s">
        <v>504</v>
      </c>
      <c r="E12" s="416" t="s">
        <v>504</v>
      </c>
      <c r="F12" s="416" t="s">
        <v>504</v>
      </c>
      <c r="G12" s="416" t="s">
        <v>504</v>
      </c>
      <c r="H12" s="416" t="s">
        <v>504</v>
      </c>
      <c r="I12" s="417" t="s">
        <v>504</v>
      </c>
    </row>
    <row r="13" spans="1:9" ht="15.75" customHeight="1" x14ac:dyDescent="0.2">
      <c r="A13" s="418" t="s">
        <v>505</v>
      </c>
      <c r="B13" s="419"/>
      <c r="C13" s="420">
        <f>C5</f>
        <v>1194.6272727272726</v>
      </c>
      <c r="D13" s="420">
        <f>C5</f>
        <v>1194.6272727272726</v>
      </c>
      <c r="E13" s="421">
        <f>E5</f>
        <v>895.97045454545446</v>
      </c>
      <c r="F13" s="421">
        <f>E5</f>
        <v>895.97045454545446</v>
      </c>
      <c r="G13" s="421">
        <f>G5</f>
        <v>597.31363636363631</v>
      </c>
      <c r="H13" s="421">
        <f>H5</f>
        <v>1669.75</v>
      </c>
      <c r="I13" s="422">
        <f>I5</f>
        <v>1673.9117345454545</v>
      </c>
    </row>
    <row r="14" spans="1:9" ht="15.75" customHeight="1" x14ac:dyDescent="0.2">
      <c r="A14" s="418" t="s">
        <v>506</v>
      </c>
      <c r="B14" s="423" t="s">
        <v>507</v>
      </c>
      <c r="C14" s="420">
        <f>C5*0.4</f>
        <v>477.85090909090906</v>
      </c>
      <c r="D14" s="420">
        <f>C5*0.2</f>
        <v>238.92545454545453</v>
      </c>
      <c r="E14" s="420">
        <f>E5*0.4</f>
        <v>358.38818181818181</v>
      </c>
      <c r="F14" s="420">
        <f>E5*0.2</f>
        <v>179.1940909090909</v>
      </c>
      <c r="G14" s="420">
        <f>G5*0.2</f>
        <v>119.46272727272726</v>
      </c>
      <c r="H14" s="424" t="s">
        <v>88</v>
      </c>
      <c r="I14" s="425" t="s">
        <v>88</v>
      </c>
    </row>
    <row r="15" spans="1:9" ht="15.75" customHeight="1" x14ac:dyDescent="0.2">
      <c r="A15" s="418" t="s">
        <v>508</v>
      </c>
      <c r="B15" s="426"/>
      <c r="C15" s="424" t="s">
        <v>88</v>
      </c>
      <c r="D15" s="424" t="s">
        <v>88</v>
      </c>
      <c r="E15" s="427" t="s">
        <v>88</v>
      </c>
      <c r="F15" s="427" t="s">
        <v>88</v>
      </c>
      <c r="G15" s="427" t="s">
        <v>88</v>
      </c>
      <c r="H15" s="427" t="s">
        <v>88</v>
      </c>
      <c r="I15" s="425" t="s">
        <v>88</v>
      </c>
    </row>
    <row r="16" spans="1:9" ht="15.75" customHeight="1" x14ac:dyDescent="0.2">
      <c r="A16" s="418" t="s">
        <v>509</v>
      </c>
      <c r="B16" s="426"/>
      <c r="C16" s="424" t="s">
        <v>88</v>
      </c>
      <c r="D16" s="424" t="s">
        <v>88</v>
      </c>
      <c r="E16" s="427" t="s">
        <v>88</v>
      </c>
      <c r="F16" s="427" t="s">
        <v>88</v>
      </c>
      <c r="G16" s="427" t="s">
        <v>88</v>
      </c>
      <c r="H16" s="427" t="s">
        <v>88</v>
      </c>
      <c r="I16" s="425" t="s">
        <v>88</v>
      </c>
    </row>
    <row r="17" spans="1:9" ht="15.75" customHeight="1" x14ac:dyDescent="0.2">
      <c r="A17" s="418" t="s">
        <v>510</v>
      </c>
      <c r="B17" s="426"/>
      <c r="C17" s="424" t="s">
        <v>88</v>
      </c>
      <c r="D17" s="424" t="s">
        <v>88</v>
      </c>
      <c r="E17" s="427" t="s">
        <v>88</v>
      </c>
      <c r="F17" s="427" t="s">
        <v>88</v>
      </c>
      <c r="G17" s="427" t="s">
        <v>88</v>
      </c>
      <c r="H17" s="427" t="s">
        <v>88</v>
      </c>
      <c r="I17" s="425" t="s">
        <v>88</v>
      </c>
    </row>
    <row r="18" spans="1:9" ht="15.75" customHeight="1" x14ac:dyDescent="0.2">
      <c r="A18" s="418" t="s">
        <v>511</v>
      </c>
      <c r="B18" s="428"/>
      <c r="C18" s="424" t="s">
        <v>88</v>
      </c>
      <c r="D18" s="424" t="s">
        <v>88</v>
      </c>
      <c r="E18" s="424" t="s">
        <v>88</v>
      </c>
      <c r="F18" s="424" t="s">
        <v>88</v>
      </c>
      <c r="G18" s="424" t="s">
        <v>88</v>
      </c>
      <c r="H18" s="427" t="s">
        <v>88</v>
      </c>
      <c r="I18" s="425" t="s">
        <v>88</v>
      </c>
    </row>
    <row r="19" spans="1:9" ht="15.75" customHeight="1" x14ac:dyDescent="0.2">
      <c r="A19" s="429" t="s">
        <v>512</v>
      </c>
      <c r="B19" s="430"/>
      <c r="C19" s="431">
        <f t="shared" ref="C19:I19" si="0">SUM(C13:C18)</f>
        <v>1672.4781818181816</v>
      </c>
      <c r="D19" s="432">
        <f t="shared" si="0"/>
        <v>1433.5527272727272</v>
      </c>
      <c r="E19" s="432">
        <f t="shared" si="0"/>
        <v>1254.3586363636364</v>
      </c>
      <c r="F19" s="432">
        <f t="shared" si="0"/>
        <v>1075.1645454545453</v>
      </c>
      <c r="G19" s="432">
        <f t="shared" si="0"/>
        <v>716.77636363636361</v>
      </c>
      <c r="H19" s="432">
        <f t="shared" si="0"/>
        <v>1669.75</v>
      </c>
      <c r="I19" s="433">
        <f t="shared" si="0"/>
        <v>1673.9117345454545</v>
      </c>
    </row>
    <row r="20" spans="1:9" ht="15.75" customHeight="1" x14ac:dyDescent="0.2">
      <c r="A20" s="754"/>
      <c r="B20" s="754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53" t="s">
        <v>513</v>
      </c>
      <c r="B21" s="753"/>
      <c r="C21" s="753"/>
      <c r="D21" s="753"/>
      <c r="E21" s="753"/>
      <c r="F21" s="753"/>
      <c r="G21" s="753"/>
      <c r="H21" s="753"/>
      <c r="I21" s="753"/>
    </row>
    <row r="22" spans="1:9" ht="28.35" customHeight="1" x14ac:dyDescent="0.2">
      <c r="A22" s="438" t="s">
        <v>514</v>
      </c>
      <c r="B22" s="439" t="s">
        <v>503</v>
      </c>
      <c r="C22" s="439" t="s">
        <v>504</v>
      </c>
      <c r="D22" s="439" t="s">
        <v>504</v>
      </c>
      <c r="E22" s="439" t="s">
        <v>504</v>
      </c>
      <c r="F22" s="439" t="s">
        <v>504</v>
      </c>
      <c r="G22" s="439" t="s">
        <v>504</v>
      </c>
      <c r="H22" s="439" t="s">
        <v>504</v>
      </c>
      <c r="I22" s="440" t="s">
        <v>504</v>
      </c>
    </row>
    <row r="23" spans="1:9" ht="15.75" customHeight="1" x14ac:dyDescent="0.2">
      <c r="A23" s="441" t="s">
        <v>515</v>
      </c>
      <c r="B23" s="442">
        <f>1/12</f>
        <v>8.3333333333333329E-2</v>
      </c>
      <c r="C23" s="420">
        <f t="shared" ref="C23:I23" si="1">ROUND($B23*C$19,2)</f>
        <v>139.37</v>
      </c>
      <c r="D23" s="420">
        <f t="shared" si="1"/>
        <v>119.46</v>
      </c>
      <c r="E23" s="420">
        <f t="shared" si="1"/>
        <v>104.53</v>
      </c>
      <c r="F23" s="420">
        <f t="shared" si="1"/>
        <v>89.6</v>
      </c>
      <c r="G23" s="420">
        <f t="shared" si="1"/>
        <v>59.73</v>
      </c>
      <c r="H23" s="420">
        <f t="shared" si="1"/>
        <v>139.15</v>
      </c>
      <c r="I23" s="422">
        <f t="shared" si="1"/>
        <v>139.49</v>
      </c>
    </row>
    <row r="24" spans="1:9" x14ac:dyDescent="0.2">
      <c r="A24" s="441" t="s">
        <v>516</v>
      </c>
      <c r="B24" s="442">
        <f>1/3*1/12</f>
        <v>2.7777777777777776E-2</v>
      </c>
      <c r="C24" s="420">
        <f t="shared" ref="C24:I24" si="2">C$19*$B$24</f>
        <v>46.457727272727261</v>
      </c>
      <c r="D24" s="420">
        <f t="shared" si="2"/>
        <v>39.82090909090909</v>
      </c>
      <c r="E24" s="420">
        <f t="shared" si="2"/>
        <v>34.843295454545455</v>
      </c>
      <c r="F24" s="420">
        <f t="shared" si="2"/>
        <v>29.865681818181812</v>
      </c>
      <c r="G24" s="420">
        <f t="shared" si="2"/>
        <v>19.910454545454545</v>
      </c>
      <c r="H24" s="420">
        <f t="shared" si="2"/>
        <v>46.381944444444443</v>
      </c>
      <c r="I24" s="422">
        <f t="shared" si="2"/>
        <v>46.497548181818175</v>
      </c>
    </row>
    <row r="25" spans="1:9" ht="14.25" customHeight="1" x14ac:dyDescent="0.2">
      <c r="A25" s="429" t="s">
        <v>512</v>
      </c>
      <c r="B25" s="443">
        <f t="shared" ref="B25:I25" si="3">SUM(B23:B24)</f>
        <v>0.1111111111111111</v>
      </c>
      <c r="C25" s="444">
        <f t="shared" si="3"/>
        <v>185.82772727272726</v>
      </c>
      <c r="D25" s="444">
        <f t="shared" si="3"/>
        <v>159.28090909090909</v>
      </c>
      <c r="E25" s="444">
        <f t="shared" si="3"/>
        <v>139.37329545454546</v>
      </c>
      <c r="F25" s="444">
        <f t="shared" si="3"/>
        <v>119.46568181818181</v>
      </c>
      <c r="G25" s="444">
        <f t="shared" si="3"/>
        <v>79.640454545454546</v>
      </c>
      <c r="H25" s="444">
        <f t="shared" si="3"/>
        <v>185.53194444444443</v>
      </c>
      <c r="I25" s="445">
        <f t="shared" si="3"/>
        <v>185.98754818181817</v>
      </c>
    </row>
    <row r="26" spans="1:9" x14ac:dyDescent="0.2">
      <c r="A26" s="438" t="s">
        <v>517</v>
      </c>
      <c r="B26" s="439" t="s">
        <v>503</v>
      </c>
      <c r="C26" s="439" t="s">
        <v>504</v>
      </c>
      <c r="D26" s="439" t="s">
        <v>504</v>
      </c>
      <c r="E26" s="439" t="s">
        <v>504</v>
      </c>
      <c r="F26" s="439" t="s">
        <v>504</v>
      </c>
      <c r="G26" s="439" t="s">
        <v>504</v>
      </c>
      <c r="H26" s="439" t="s">
        <v>504</v>
      </c>
      <c r="I26" s="440" t="s">
        <v>504</v>
      </c>
    </row>
    <row r="27" spans="1:9" ht="15.75" customHeight="1" x14ac:dyDescent="0.2">
      <c r="A27" s="438" t="s">
        <v>518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519</v>
      </c>
      <c r="B28" s="442">
        <v>0.2</v>
      </c>
      <c r="C28" s="449">
        <f>ROUND(($C$19+$C$25)*B28,2)</f>
        <v>371.66</v>
      </c>
      <c r="D28" s="449">
        <f t="shared" ref="D28:I35" si="4">ROUND((D$19+D$25)*$B28,2)</f>
        <v>318.57</v>
      </c>
      <c r="E28" s="449">
        <f t="shared" si="4"/>
        <v>278.75</v>
      </c>
      <c r="F28" s="449">
        <f t="shared" si="4"/>
        <v>238.93</v>
      </c>
      <c r="G28" s="449">
        <f t="shared" si="4"/>
        <v>159.28</v>
      </c>
      <c r="H28" s="449">
        <f t="shared" si="4"/>
        <v>371.06</v>
      </c>
      <c r="I28" s="450">
        <f t="shared" si="4"/>
        <v>371.98</v>
      </c>
    </row>
    <row r="29" spans="1:9" ht="15.75" customHeight="1" x14ac:dyDescent="0.2">
      <c r="A29" s="441" t="s">
        <v>520</v>
      </c>
      <c r="B29" s="442">
        <v>2.5000000000000001E-2</v>
      </c>
      <c r="C29" s="449">
        <f t="shared" ref="C29:C35" si="5">ROUND((C$19+C$25)*$B29,2)</f>
        <v>46.46</v>
      </c>
      <c r="D29" s="449">
        <f t="shared" si="4"/>
        <v>39.82</v>
      </c>
      <c r="E29" s="449">
        <f t="shared" si="4"/>
        <v>34.840000000000003</v>
      </c>
      <c r="F29" s="449">
        <f t="shared" si="4"/>
        <v>29.87</v>
      </c>
      <c r="G29" s="449">
        <f t="shared" si="4"/>
        <v>19.91</v>
      </c>
      <c r="H29" s="449">
        <f t="shared" si="4"/>
        <v>46.38</v>
      </c>
      <c r="I29" s="450">
        <f t="shared" si="4"/>
        <v>46.5</v>
      </c>
    </row>
    <row r="30" spans="1:9" ht="15.75" customHeight="1" x14ac:dyDescent="0.2">
      <c r="A30" s="441" t="s">
        <v>521</v>
      </c>
      <c r="B30" s="442">
        <v>0.03</v>
      </c>
      <c r="C30" s="449">
        <f t="shared" si="5"/>
        <v>55.75</v>
      </c>
      <c r="D30" s="449">
        <f t="shared" si="4"/>
        <v>47.79</v>
      </c>
      <c r="E30" s="449">
        <f t="shared" si="4"/>
        <v>41.81</v>
      </c>
      <c r="F30" s="449">
        <f t="shared" si="4"/>
        <v>35.840000000000003</v>
      </c>
      <c r="G30" s="449">
        <f t="shared" si="4"/>
        <v>23.89</v>
      </c>
      <c r="H30" s="449">
        <f t="shared" si="4"/>
        <v>55.66</v>
      </c>
      <c r="I30" s="450">
        <f t="shared" si="4"/>
        <v>55.8</v>
      </c>
    </row>
    <row r="31" spans="1:9" ht="15.75" customHeight="1" x14ac:dyDescent="0.2">
      <c r="A31" s="441" t="s">
        <v>522</v>
      </c>
      <c r="B31" s="442">
        <v>1.4999999999999999E-2</v>
      </c>
      <c r="C31" s="449">
        <f t="shared" si="5"/>
        <v>27.87</v>
      </c>
      <c r="D31" s="449">
        <f t="shared" si="4"/>
        <v>23.89</v>
      </c>
      <c r="E31" s="449">
        <f t="shared" si="4"/>
        <v>20.91</v>
      </c>
      <c r="F31" s="449">
        <f t="shared" si="4"/>
        <v>17.920000000000002</v>
      </c>
      <c r="G31" s="449">
        <f t="shared" si="4"/>
        <v>11.95</v>
      </c>
      <c r="H31" s="449">
        <f t="shared" si="4"/>
        <v>27.83</v>
      </c>
      <c r="I31" s="450">
        <f t="shared" si="4"/>
        <v>27.9</v>
      </c>
    </row>
    <row r="32" spans="1:9" ht="15.75" customHeight="1" x14ac:dyDescent="0.2">
      <c r="A32" s="441" t="s">
        <v>523</v>
      </c>
      <c r="B32" s="442">
        <v>0.01</v>
      </c>
      <c r="C32" s="449">
        <f t="shared" si="5"/>
        <v>18.579999999999998</v>
      </c>
      <c r="D32" s="449">
        <f t="shared" si="4"/>
        <v>15.93</v>
      </c>
      <c r="E32" s="449">
        <f t="shared" si="4"/>
        <v>13.94</v>
      </c>
      <c r="F32" s="449">
        <f t="shared" si="4"/>
        <v>11.95</v>
      </c>
      <c r="G32" s="449">
        <f t="shared" si="4"/>
        <v>7.96</v>
      </c>
      <c r="H32" s="449">
        <f t="shared" si="4"/>
        <v>18.55</v>
      </c>
      <c r="I32" s="450">
        <f t="shared" si="4"/>
        <v>18.600000000000001</v>
      </c>
    </row>
    <row r="33" spans="1:9" ht="15.75" customHeight="1" x14ac:dyDescent="0.2">
      <c r="A33" s="441" t="s">
        <v>524</v>
      </c>
      <c r="B33" s="442">
        <v>6.0000000000000001E-3</v>
      </c>
      <c r="C33" s="449">
        <f t="shared" si="5"/>
        <v>11.15</v>
      </c>
      <c r="D33" s="449">
        <f t="shared" si="4"/>
        <v>9.56</v>
      </c>
      <c r="E33" s="449">
        <f t="shared" si="4"/>
        <v>8.36</v>
      </c>
      <c r="F33" s="449">
        <f t="shared" si="4"/>
        <v>7.17</v>
      </c>
      <c r="G33" s="449">
        <f t="shared" si="4"/>
        <v>4.78</v>
      </c>
      <c r="H33" s="449">
        <f t="shared" si="4"/>
        <v>11.13</v>
      </c>
      <c r="I33" s="450">
        <f t="shared" si="4"/>
        <v>11.16</v>
      </c>
    </row>
    <row r="34" spans="1:9" ht="15.75" customHeight="1" x14ac:dyDescent="0.2">
      <c r="A34" s="441" t="s">
        <v>525</v>
      </c>
      <c r="B34" s="442">
        <v>2E-3</v>
      </c>
      <c r="C34" s="449">
        <f t="shared" si="5"/>
        <v>3.72</v>
      </c>
      <c r="D34" s="449">
        <f t="shared" si="4"/>
        <v>3.19</v>
      </c>
      <c r="E34" s="449">
        <f t="shared" si="4"/>
        <v>2.79</v>
      </c>
      <c r="F34" s="449">
        <f t="shared" si="4"/>
        <v>2.39</v>
      </c>
      <c r="G34" s="449">
        <f t="shared" si="4"/>
        <v>1.59</v>
      </c>
      <c r="H34" s="449">
        <f t="shared" si="4"/>
        <v>3.71</v>
      </c>
      <c r="I34" s="450">
        <f t="shared" si="4"/>
        <v>3.72</v>
      </c>
    </row>
    <row r="35" spans="1:9" ht="15.75" customHeight="1" x14ac:dyDescent="0.2">
      <c r="A35" s="441" t="s">
        <v>526</v>
      </c>
      <c r="B35" s="442">
        <v>0.08</v>
      </c>
      <c r="C35" s="449">
        <f t="shared" si="5"/>
        <v>148.66</v>
      </c>
      <c r="D35" s="449">
        <f t="shared" si="4"/>
        <v>127.43</v>
      </c>
      <c r="E35" s="449">
        <f t="shared" si="4"/>
        <v>111.5</v>
      </c>
      <c r="F35" s="449">
        <f t="shared" si="4"/>
        <v>95.57</v>
      </c>
      <c r="G35" s="449">
        <f t="shared" si="4"/>
        <v>63.71</v>
      </c>
      <c r="H35" s="449">
        <f t="shared" si="4"/>
        <v>148.41999999999999</v>
      </c>
      <c r="I35" s="450">
        <f t="shared" si="4"/>
        <v>148.79</v>
      </c>
    </row>
    <row r="36" spans="1:9" ht="15.75" customHeight="1" x14ac:dyDescent="0.2">
      <c r="A36" s="429" t="s">
        <v>512</v>
      </c>
      <c r="B36" s="443">
        <f t="shared" ref="B36:I36" si="6">SUM(B28:B35)</f>
        <v>0.36800000000000005</v>
      </c>
      <c r="C36" s="444">
        <f t="shared" si="6"/>
        <v>683.85</v>
      </c>
      <c r="D36" s="444">
        <f t="shared" si="6"/>
        <v>586.18000000000006</v>
      </c>
      <c r="E36" s="444">
        <f t="shared" si="6"/>
        <v>512.90000000000009</v>
      </c>
      <c r="F36" s="444">
        <f t="shared" si="6"/>
        <v>439.64</v>
      </c>
      <c r="G36" s="444">
        <f t="shared" si="6"/>
        <v>293.07</v>
      </c>
      <c r="H36" s="444">
        <f t="shared" si="6"/>
        <v>682.74</v>
      </c>
      <c r="I36" s="445">
        <f t="shared" si="6"/>
        <v>684.44999999999993</v>
      </c>
    </row>
    <row r="37" spans="1:9" ht="15.75" customHeight="1" x14ac:dyDescent="0.2">
      <c r="A37" s="438" t="s">
        <v>527</v>
      </c>
      <c r="B37" s="439" t="s">
        <v>528</v>
      </c>
      <c r="C37" s="439" t="s">
        <v>504</v>
      </c>
      <c r="D37" s="439" t="s">
        <v>504</v>
      </c>
      <c r="E37" s="439" t="s">
        <v>504</v>
      </c>
      <c r="F37" s="439" t="s">
        <v>504</v>
      </c>
      <c r="G37" s="439" t="s">
        <v>504</v>
      </c>
      <c r="H37" s="439" t="s">
        <v>504</v>
      </c>
      <c r="I37" s="440" t="s">
        <v>504</v>
      </c>
    </row>
    <row r="38" spans="1:9" ht="15.75" customHeight="1" x14ac:dyDescent="0.2">
      <c r="A38" s="441" t="s">
        <v>529</v>
      </c>
      <c r="B38" s="451">
        <f>MC!D102</f>
        <v>3.8346153846153848</v>
      </c>
      <c r="C38" s="420">
        <f t="shared" ref="C38:I38" si="7">ROUND(((2*22*$B$38)-0.06*C$13),2)</f>
        <v>97.05</v>
      </c>
      <c r="D38" s="420">
        <f t="shared" si="7"/>
        <v>97.05</v>
      </c>
      <c r="E38" s="420">
        <f t="shared" si="7"/>
        <v>114.96</v>
      </c>
      <c r="F38" s="420">
        <f t="shared" si="7"/>
        <v>114.96</v>
      </c>
      <c r="G38" s="420">
        <f t="shared" si="7"/>
        <v>132.88</v>
      </c>
      <c r="H38" s="420">
        <f t="shared" si="7"/>
        <v>68.540000000000006</v>
      </c>
      <c r="I38" s="422">
        <f t="shared" si="7"/>
        <v>68.290000000000006</v>
      </c>
    </row>
    <row r="39" spans="1:9" ht="15.75" customHeight="1" x14ac:dyDescent="0.2">
      <c r="A39" s="441" t="s">
        <v>530</v>
      </c>
      <c r="B39" s="452"/>
      <c r="C39" s="449">
        <f>MC!$K$19</f>
        <v>359.61</v>
      </c>
      <c r="D39" s="449">
        <f>MC!$K$19</f>
        <v>359.61</v>
      </c>
      <c r="E39" s="449">
        <f>MC!$K$20</f>
        <v>179.8</v>
      </c>
      <c r="F39" s="449">
        <f>MC!$K$20</f>
        <v>179.8</v>
      </c>
      <c r="G39" s="449">
        <f>MC!$K$20</f>
        <v>179.8</v>
      </c>
      <c r="H39" s="449">
        <f>MC!$K$19</f>
        <v>359.61</v>
      </c>
      <c r="I39" s="450">
        <f>MC!$K$19</f>
        <v>359.61</v>
      </c>
    </row>
    <row r="40" spans="1:9" ht="15.75" customHeight="1" x14ac:dyDescent="0.2">
      <c r="A40" s="441" t="s">
        <v>531</v>
      </c>
      <c r="B40" s="442"/>
      <c r="C40" s="453" t="s">
        <v>88</v>
      </c>
      <c r="D40" s="453" t="s">
        <v>88</v>
      </c>
      <c r="E40" s="453" t="s">
        <v>88</v>
      </c>
      <c r="F40" s="453" t="s">
        <v>88</v>
      </c>
      <c r="G40" s="453" t="s">
        <v>88</v>
      </c>
      <c r="H40" s="453" t="s">
        <v>88</v>
      </c>
      <c r="I40" s="454" t="s">
        <v>88</v>
      </c>
    </row>
    <row r="41" spans="1:9" ht="15.75" customHeight="1" x14ac:dyDescent="0.2">
      <c r="A41" s="441" t="s">
        <v>532</v>
      </c>
      <c r="B41" s="455"/>
      <c r="C41" s="453" t="s">
        <v>88</v>
      </c>
      <c r="D41" s="453" t="s">
        <v>88</v>
      </c>
      <c r="E41" s="453" t="s">
        <v>88</v>
      </c>
      <c r="F41" s="453" t="s">
        <v>88</v>
      </c>
      <c r="G41" s="453" t="s">
        <v>88</v>
      </c>
      <c r="H41" s="456" t="s">
        <v>88</v>
      </c>
      <c r="I41" s="454" t="s">
        <v>88</v>
      </c>
    </row>
    <row r="42" spans="1:9" ht="15.75" customHeight="1" x14ac:dyDescent="0.2">
      <c r="A42" s="441" t="s">
        <v>533</v>
      </c>
      <c r="B42" s="457">
        <f>MC!E27</f>
        <v>17.32</v>
      </c>
      <c r="C42" s="449">
        <f t="shared" ref="C42:I42" si="8">$B42</f>
        <v>17.32</v>
      </c>
      <c r="D42" s="449">
        <f t="shared" si="8"/>
        <v>17.32</v>
      </c>
      <c r="E42" s="449">
        <f t="shared" si="8"/>
        <v>17.32</v>
      </c>
      <c r="F42" s="449">
        <f t="shared" si="8"/>
        <v>17.32</v>
      </c>
      <c r="G42" s="449">
        <f t="shared" si="8"/>
        <v>17.32</v>
      </c>
      <c r="H42" s="449">
        <f t="shared" si="8"/>
        <v>17.32</v>
      </c>
      <c r="I42" s="450">
        <f t="shared" si="8"/>
        <v>17.32</v>
      </c>
    </row>
    <row r="43" spans="1:9" ht="15.75" customHeight="1" x14ac:dyDescent="0.2">
      <c r="A43" s="441" t="s">
        <v>534</v>
      </c>
      <c r="B43" s="442"/>
      <c r="C43" s="453" t="s">
        <v>88</v>
      </c>
      <c r="D43" s="453" t="s">
        <v>88</v>
      </c>
      <c r="E43" s="453" t="s">
        <v>88</v>
      </c>
      <c r="F43" s="453" t="s">
        <v>88</v>
      </c>
      <c r="G43" s="453" t="s">
        <v>88</v>
      </c>
      <c r="H43" s="456" t="s">
        <v>88</v>
      </c>
      <c r="I43" s="454" t="s">
        <v>88</v>
      </c>
    </row>
    <row r="44" spans="1:9" ht="15.75" customHeight="1" x14ac:dyDescent="0.2">
      <c r="A44" s="429" t="s">
        <v>512</v>
      </c>
      <c r="B44" s="430"/>
      <c r="C44" s="444">
        <f t="shared" ref="C44:I44" si="9">SUM(C38:C43)</f>
        <v>473.98</v>
      </c>
      <c r="D44" s="444">
        <f t="shared" si="9"/>
        <v>473.98</v>
      </c>
      <c r="E44" s="444">
        <f t="shared" si="9"/>
        <v>312.08</v>
      </c>
      <c r="F44" s="444">
        <f t="shared" si="9"/>
        <v>312.08</v>
      </c>
      <c r="G44" s="444">
        <f t="shared" si="9"/>
        <v>330</v>
      </c>
      <c r="H44" s="444">
        <f t="shared" si="9"/>
        <v>445.47</v>
      </c>
      <c r="I44" s="445">
        <f t="shared" si="9"/>
        <v>445.22</v>
      </c>
    </row>
    <row r="45" spans="1:9" x14ac:dyDescent="0.2">
      <c r="A45" s="415" t="s">
        <v>535</v>
      </c>
      <c r="B45" s="416" t="s">
        <v>503</v>
      </c>
      <c r="C45" s="416" t="s">
        <v>504</v>
      </c>
      <c r="D45" s="416" t="s">
        <v>504</v>
      </c>
      <c r="E45" s="416" t="s">
        <v>504</v>
      </c>
      <c r="F45" s="416" t="s">
        <v>504</v>
      </c>
      <c r="G45" s="416" t="s">
        <v>504</v>
      </c>
      <c r="H45" s="416" t="s">
        <v>504</v>
      </c>
      <c r="I45" s="417" t="s">
        <v>504</v>
      </c>
    </row>
    <row r="46" spans="1:9" ht="15.75" customHeight="1" x14ac:dyDescent="0.2">
      <c r="A46" s="441" t="s">
        <v>514</v>
      </c>
      <c r="B46" s="458">
        <f t="shared" ref="B46:I46" si="10">B25</f>
        <v>0.1111111111111111</v>
      </c>
      <c r="C46" s="459">
        <f t="shared" si="10"/>
        <v>185.82772727272726</v>
      </c>
      <c r="D46" s="459">
        <f t="shared" si="10"/>
        <v>159.28090909090909</v>
      </c>
      <c r="E46" s="459">
        <f t="shared" si="10"/>
        <v>139.37329545454546</v>
      </c>
      <c r="F46" s="459">
        <f t="shared" si="10"/>
        <v>119.46568181818181</v>
      </c>
      <c r="G46" s="459">
        <f t="shared" si="10"/>
        <v>79.640454545454546</v>
      </c>
      <c r="H46" s="459">
        <f t="shared" si="10"/>
        <v>185.53194444444443</v>
      </c>
      <c r="I46" s="460">
        <f t="shared" si="10"/>
        <v>185.98754818181817</v>
      </c>
    </row>
    <row r="47" spans="1:9" ht="15.75" customHeight="1" x14ac:dyDescent="0.2">
      <c r="A47" s="441" t="s">
        <v>536</v>
      </c>
      <c r="B47" s="458">
        <f t="shared" ref="B47:I47" si="11">B36</f>
        <v>0.36800000000000005</v>
      </c>
      <c r="C47" s="459">
        <f t="shared" si="11"/>
        <v>683.85</v>
      </c>
      <c r="D47" s="459">
        <f t="shared" si="11"/>
        <v>586.18000000000006</v>
      </c>
      <c r="E47" s="459">
        <f t="shared" si="11"/>
        <v>512.90000000000009</v>
      </c>
      <c r="F47" s="459">
        <f t="shared" si="11"/>
        <v>439.64</v>
      </c>
      <c r="G47" s="459">
        <f t="shared" si="11"/>
        <v>293.07</v>
      </c>
      <c r="H47" s="459">
        <f t="shared" si="11"/>
        <v>682.74</v>
      </c>
      <c r="I47" s="460">
        <f t="shared" si="11"/>
        <v>684.44999999999993</v>
      </c>
    </row>
    <row r="48" spans="1:9" ht="15.75" customHeight="1" x14ac:dyDescent="0.2">
      <c r="A48" s="441" t="s">
        <v>527</v>
      </c>
      <c r="B48" s="458"/>
      <c r="C48" s="459">
        <f t="shared" ref="C48:I48" si="12">C44</f>
        <v>473.98</v>
      </c>
      <c r="D48" s="459">
        <f t="shared" si="12"/>
        <v>473.98</v>
      </c>
      <c r="E48" s="459">
        <f t="shared" si="12"/>
        <v>312.08</v>
      </c>
      <c r="F48" s="459">
        <f t="shared" si="12"/>
        <v>312.08</v>
      </c>
      <c r="G48" s="459">
        <f t="shared" si="12"/>
        <v>330</v>
      </c>
      <c r="H48" s="459">
        <f t="shared" si="12"/>
        <v>445.47</v>
      </c>
      <c r="I48" s="460">
        <f t="shared" si="12"/>
        <v>445.22</v>
      </c>
    </row>
    <row r="49" spans="1:9" ht="15.75" customHeight="1" x14ac:dyDescent="0.2">
      <c r="A49" s="429" t="s">
        <v>512</v>
      </c>
      <c r="B49" s="430"/>
      <c r="C49" s="444">
        <f t="shared" ref="C49:I49" si="13">SUM(C46:C48)</f>
        <v>1343.6577272727272</v>
      </c>
      <c r="D49" s="431">
        <f t="shared" si="13"/>
        <v>1219.4409090909091</v>
      </c>
      <c r="E49" s="431">
        <f t="shared" si="13"/>
        <v>964.35329545454556</v>
      </c>
      <c r="F49" s="444">
        <f t="shared" si="13"/>
        <v>871.18568181818182</v>
      </c>
      <c r="G49" s="444">
        <f t="shared" si="13"/>
        <v>702.71045454545447</v>
      </c>
      <c r="H49" s="444">
        <f t="shared" si="13"/>
        <v>1313.7419444444445</v>
      </c>
      <c r="I49" s="445">
        <f t="shared" si="13"/>
        <v>1315.6575481818181</v>
      </c>
    </row>
    <row r="50" spans="1:9" ht="14.25" customHeight="1" x14ac:dyDescent="0.2">
      <c r="A50" s="754"/>
      <c r="B50" s="754"/>
      <c r="C50" s="754"/>
      <c r="D50" s="754"/>
      <c r="E50" s="754"/>
      <c r="F50" s="754"/>
      <c r="G50" s="754"/>
      <c r="H50" s="754"/>
      <c r="I50" s="754"/>
    </row>
    <row r="51" spans="1:9" s="461" customFormat="1" ht="12.75" customHeight="1" x14ac:dyDescent="0.2">
      <c r="A51" s="753" t="s">
        <v>537</v>
      </c>
      <c r="B51" s="753"/>
      <c r="C51" s="753"/>
      <c r="D51" s="753"/>
      <c r="E51" s="753"/>
      <c r="F51" s="753"/>
      <c r="G51" s="753"/>
      <c r="H51" s="753"/>
      <c r="I51" s="753"/>
    </row>
    <row r="52" spans="1:9" ht="15.75" customHeight="1" x14ac:dyDescent="0.2">
      <c r="A52" s="415" t="s">
        <v>538</v>
      </c>
      <c r="B52" s="416" t="s">
        <v>503</v>
      </c>
      <c r="C52" s="416" t="s">
        <v>504</v>
      </c>
      <c r="D52" s="416" t="s">
        <v>504</v>
      </c>
      <c r="E52" s="416" t="s">
        <v>504</v>
      </c>
      <c r="F52" s="416" t="s">
        <v>504</v>
      </c>
      <c r="G52" s="416" t="s">
        <v>504</v>
      </c>
      <c r="H52" s="416" t="s">
        <v>504</v>
      </c>
      <c r="I52" s="417" t="s">
        <v>504</v>
      </c>
    </row>
    <row r="53" spans="1:9" ht="15.75" customHeight="1" x14ac:dyDescent="0.2">
      <c r="A53" s="438" t="s">
        <v>539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540</v>
      </c>
      <c r="B54" s="458">
        <f>1/12*0.05</f>
        <v>4.1666666666666666E-3</v>
      </c>
      <c r="C54" s="465">
        <f t="shared" ref="C54:I54" si="14">C19*$B54</f>
        <v>6.9686590909090897</v>
      </c>
      <c r="D54" s="465">
        <f t="shared" si="14"/>
        <v>5.973136363636363</v>
      </c>
      <c r="E54" s="465">
        <f t="shared" si="14"/>
        <v>5.2264943181818184</v>
      </c>
      <c r="F54" s="465">
        <f t="shared" si="14"/>
        <v>4.479852272727272</v>
      </c>
      <c r="G54" s="465">
        <f t="shared" si="14"/>
        <v>2.9865681818181815</v>
      </c>
      <c r="H54" s="465">
        <f t="shared" si="14"/>
        <v>6.9572916666666664</v>
      </c>
      <c r="I54" s="466">
        <f t="shared" si="14"/>
        <v>6.9746322272727266</v>
      </c>
    </row>
    <row r="55" spans="1:9" x14ac:dyDescent="0.2">
      <c r="A55" s="441" t="s">
        <v>541</v>
      </c>
      <c r="B55" s="458">
        <f>B35*B54</f>
        <v>3.3333333333333332E-4</v>
      </c>
      <c r="C55" s="465">
        <f t="shared" ref="C55:I55" si="15">$B$55*C19</f>
        <v>0.55749272727272714</v>
      </c>
      <c r="D55" s="465">
        <f t="shared" si="15"/>
        <v>0.47785090909090905</v>
      </c>
      <c r="E55" s="465">
        <f t="shared" si="15"/>
        <v>0.41811954545454544</v>
      </c>
      <c r="F55" s="465">
        <f t="shared" si="15"/>
        <v>0.35838818181818177</v>
      </c>
      <c r="G55" s="465">
        <f t="shared" si="15"/>
        <v>0.23892545454545452</v>
      </c>
      <c r="H55" s="465">
        <f t="shared" si="15"/>
        <v>0.55658333333333332</v>
      </c>
      <c r="I55" s="466">
        <f t="shared" si="15"/>
        <v>0.55797057818181817</v>
      </c>
    </row>
    <row r="56" spans="1:9" x14ac:dyDescent="0.2">
      <c r="A56" s="441" t="s">
        <v>542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543</v>
      </c>
      <c r="B57" s="458">
        <f>1/12*1/30*7</f>
        <v>1.9444444444444441E-2</v>
      </c>
      <c r="C57" s="459">
        <f t="shared" ref="C57:I57" si="17">C19*$B57</f>
        <v>32.520409090909084</v>
      </c>
      <c r="D57" s="459">
        <f t="shared" si="17"/>
        <v>27.874636363636359</v>
      </c>
      <c r="E57" s="459">
        <f t="shared" si="17"/>
        <v>24.390306818181813</v>
      </c>
      <c r="F57" s="459">
        <f t="shared" si="17"/>
        <v>20.905977272727267</v>
      </c>
      <c r="G57" s="459">
        <f t="shared" si="17"/>
        <v>13.937318181818179</v>
      </c>
      <c r="H57" s="459">
        <f t="shared" si="17"/>
        <v>32.467361111111103</v>
      </c>
      <c r="I57" s="460">
        <f t="shared" si="17"/>
        <v>32.548283727272718</v>
      </c>
    </row>
    <row r="58" spans="1:9" x14ac:dyDescent="0.2">
      <c r="A58" s="441" t="s">
        <v>544</v>
      </c>
      <c r="B58" s="458">
        <f>B36*B57</f>
        <v>7.1555555555555556E-3</v>
      </c>
      <c r="C58" s="459">
        <f t="shared" ref="C58:I58" si="18">$B58*C19</f>
        <v>11.967510545454545</v>
      </c>
      <c r="D58" s="459">
        <f t="shared" si="18"/>
        <v>10.257866181818182</v>
      </c>
      <c r="E58" s="459">
        <f t="shared" si="18"/>
        <v>8.9756329090909102</v>
      </c>
      <c r="F58" s="459">
        <f t="shared" si="18"/>
        <v>7.693399636363635</v>
      </c>
      <c r="G58" s="459">
        <f t="shared" si="18"/>
        <v>5.1289330909090909</v>
      </c>
      <c r="H58" s="459">
        <f t="shared" si="18"/>
        <v>11.947988888888888</v>
      </c>
      <c r="I58" s="460">
        <f t="shared" si="18"/>
        <v>11.977768411636363</v>
      </c>
    </row>
    <row r="59" spans="1:9" x14ac:dyDescent="0.2">
      <c r="A59" s="441" t="s">
        <v>545</v>
      </c>
      <c r="B59" s="458">
        <f>B35*40/100*90/100*(1+1/12+1/12+1/3*1/12)</f>
        <v>3.4399999999999993E-2</v>
      </c>
      <c r="C59" s="459">
        <f t="shared" ref="C59:I59" si="19">C19*$B59</f>
        <v>57.533249454545434</v>
      </c>
      <c r="D59" s="459">
        <f t="shared" si="19"/>
        <v>49.314213818181805</v>
      </c>
      <c r="E59" s="459">
        <f t="shared" si="19"/>
        <v>43.149937090909084</v>
      </c>
      <c r="F59" s="459">
        <f t="shared" si="19"/>
        <v>36.985660363636349</v>
      </c>
      <c r="G59" s="459">
        <f t="shared" si="19"/>
        <v>24.657106909090903</v>
      </c>
      <c r="H59" s="459">
        <f t="shared" si="19"/>
        <v>57.439399999999985</v>
      </c>
      <c r="I59" s="460">
        <f t="shared" si="19"/>
        <v>57.582563668363619</v>
      </c>
    </row>
    <row r="60" spans="1:9" ht="14.25" customHeight="1" x14ac:dyDescent="0.2">
      <c r="A60" s="429" t="s">
        <v>512</v>
      </c>
      <c r="B60" s="443">
        <f t="shared" ref="B60:I60" si="20">SUM(B54:B59)</f>
        <v>6.5499999999999989E-2</v>
      </c>
      <c r="C60" s="431">
        <f t="shared" si="20"/>
        <v>109.54732090909087</v>
      </c>
      <c r="D60" s="431">
        <f t="shared" si="20"/>
        <v>93.897703636363616</v>
      </c>
      <c r="E60" s="431">
        <f t="shared" si="20"/>
        <v>82.160490681818175</v>
      </c>
      <c r="F60" s="431">
        <f t="shared" si="20"/>
        <v>70.423277727272705</v>
      </c>
      <c r="G60" s="431">
        <f t="shared" si="20"/>
        <v>46.948851818181808</v>
      </c>
      <c r="H60" s="432">
        <f t="shared" si="20"/>
        <v>109.36862499999998</v>
      </c>
      <c r="I60" s="433">
        <f t="shared" si="20"/>
        <v>109.64121861272724</v>
      </c>
    </row>
    <row r="61" spans="1:9" ht="14.25" customHeight="1" x14ac:dyDescent="0.2">
      <c r="A61" s="755"/>
      <c r="B61" s="755"/>
      <c r="C61" s="755"/>
      <c r="D61" s="755"/>
      <c r="E61" s="755"/>
      <c r="F61" s="755"/>
      <c r="G61" s="755"/>
      <c r="H61" s="755"/>
      <c r="I61" s="755"/>
    </row>
    <row r="62" spans="1:9" ht="15.75" customHeight="1" x14ac:dyDescent="0.2">
      <c r="A62" s="753" t="s">
        <v>546</v>
      </c>
      <c r="B62" s="753"/>
      <c r="C62" s="753"/>
      <c r="D62" s="753"/>
      <c r="E62" s="753"/>
      <c r="F62" s="753"/>
      <c r="G62" s="753"/>
      <c r="H62" s="753"/>
      <c r="I62" s="753"/>
    </row>
    <row r="63" spans="1:9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39" t="s">
        <v>504</v>
      </c>
      <c r="F63" s="439" t="s">
        <v>504</v>
      </c>
      <c r="G63" s="439" t="s">
        <v>504</v>
      </c>
      <c r="H63" s="439" t="s">
        <v>504</v>
      </c>
      <c r="I63" s="439" t="s">
        <v>504</v>
      </c>
    </row>
    <row r="64" spans="1:9" ht="14.25" customHeight="1" x14ac:dyDescent="0.2">
      <c r="A64" s="441" t="s">
        <v>46</v>
      </c>
      <c r="B64" s="442">
        <f>1/12</f>
        <v>8.3333333333333329E-2</v>
      </c>
      <c r="C64" s="449">
        <f t="shared" ref="C64:I67" si="21">$B64*(C$19+C$49+C$60)</f>
        <v>260.47360249999997</v>
      </c>
      <c r="D64" s="449">
        <f t="shared" si="21"/>
        <v>228.90761166666664</v>
      </c>
      <c r="E64" s="449">
        <f t="shared" si="21"/>
        <v>191.73936854166669</v>
      </c>
      <c r="F64" s="449">
        <f t="shared" si="21"/>
        <v>168.06445874999997</v>
      </c>
      <c r="G64" s="449">
        <f t="shared" si="21"/>
        <v>122.20297249999999</v>
      </c>
      <c r="H64" s="449">
        <f t="shared" si="21"/>
        <v>257.73838078703704</v>
      </c>
      <c r="I64" s="450">
        <f t="shared" si="21"/>
        <v>258.26754177833328</v>
      </c>
    </row>
    <row r="65" spans="1:9" x14ac:dyDescent="0.2">
      <c r="A65" s="441" t="s">
        <v>547</v>
      </c>
      <c r="B65" s="442">
        <f>MC!E54/30/12</f>
        <v>1.3538888888888885E-2</v>
      </c>
      <c r="C65" s="449">
        <f t="shared" si="21"/>
        <v>42.31827795283332</v>
      </c>
      <c r="D65" s="449">
        <f t="shared" si="21"/>
        <v>37.189856642111096</v>
      </c>
      <c r="E65" s="449">
        <f t="shared" si="21"/>
        <v>31.151256075736111</v>
      </c>
      <c r="F65" s="449">
        <f t="shared" si="21"/>
        <v>27.304872398249991</v>
      </c>
      <c r="G65" s="449">
        <f t="shared" si="21"/>
        <v>19.853909598833326</v>
      </c>
      <c r="H65" s="449">
        <f t="shared" si="21"/>
        <v>41.873895598533942</v>
      </c>
      <c r="I65" s="450">
        <f t="shared" si="21"/>
        <v>41.959866620919868</v>
      </c>
    </row>
    <row r="66" spans="1:9" x14ac:dyDescent="0.2">
      <c r="A66" s="441" t="s">
        <v>548</v>
      </c>
      <c r="B66" s="467">
        <f>(5/30)/12*MC!F56*MC!C57</f>
        <v>1.0764583333333333E-4</v>
      </c>
      <c r="C66" s="449">
        <f t="shared" si="21"/>
        <v>0.33646677602937503</v>
      </c>
      <c r="D66" s="449">
        <f t="shared" si="21"/>
        <v>0.2956914073704166</v>
      </c>
      <c r="E66" s="449">
        <f t="shared" si="21"/>
        <v>0.24767932931369796</v>
      </c>
      <c r="F66" s="449">
        <f t="shared" si="21"/>
        <v>0.21709726459031248</v>
      </c>
      <c r="G66" s="449">
        <f t="shared" si="21"/>
        <v>0.15785568972687497</v>
      </c>
      <c r="H66" s="449">
        <f t="shared" si="21"/>
        <v>0.33293355338165509</v>
      </c>
      <c r="I66" s="450">
        <f t="shared" si="21"/>
        <v>0.33361709709216203</v>
      </c>
    </row>
    <row r="67" spans="1:9" ht="14.25" customHeight="1" x14ac:dyDescent="0.2">
      <c r="A67" s="441" t="s">
        <v>549</v>
      </c>
      <c r="B67" s="467">
        <f>MC!C59/30/12</f>
        <v>2.6830555555555553E-3</v>
      </c>
      <c r="C67" s="449">
        <f t="shared" si="21"/>
        <v>8.3863817551583324</v>
      </c>
      <c r="D67" s="449">
        <f t="shared" si="21"/>
        <v>7.370062070294443</v>
      </c>
      <c r="E67" s="449">
        <f t="shared" si="21"/>
        <v>6.1733685358131956</v>
      </c>
      <c r="F67" s="449">
        <f t="shared" si="21"/>
        <v>5.4111153568874988</v>
      </c>
      <c r="G67" s="449">
        <f t="shared" si="21"/>
        <v>3.9345283712583323</v>
      </c>
      <c r="H67" s="449">
        <f t="shared" si="21"/>
        <v>8.2983167334066348</v>
      </c>
      <c r="I67" s="450">
        <f t="shared" si="21"/>
        <v>8.3153539534564036</v>
      </c>
    </row>
    <row r="68" spans="1:9" ht="14.25" customHeight="1" x14ac:dyDescent="0.2">
      <c r="A68" s="441" t="s">
        <v>511</v>
      </c>
      <c r="B68" s="442"/>
      <c r="C68" s="453" t="s">
        <v>88</v>
      </c>
      <c r="D68" s="453" t="s">
        <v>88</v>
      </c>
      <c r="E68" s="453" t="s">
        <v>88</v>
      </c>
      <c r="F68" s="453" t="s">
        <v>88</v>
      </c>
      <c r="G68" s="453" t="s">
        <v>88</v>
      </c>
      <c r="H68" s="456" t="s">
        <v>88</v>
      </c>
      <c r="I68" s="454" t="s">
        <v>88</v>
      </c>
    </row>
    <row r="69" spans="1:9" ht="14.25" customHeight="1" x14ac:dyDescent="0.2">
      <c r="A69" s="468" t="s">
        <v>550</v>
      </c>
      <c r="B69" s="469">
        <f t="shared" ref="B69:I69" si="22">SUM(B64:B68)</f>
        <v>9.9662923611111107E-2</v>
      </c>
      <c r="C69" s="470">
        <f t="shared" si="22"/>
        <v>311.51472898402102</v>
      </c>
      <c r="D69" s="470">
        <f t="shared" si="22"/>
        <v>273.76322178644261</v>
      </c>
      <c r="E69" s="470">
        <f t="shared" si="22"/>
        <v>229.3116724825297</v>
      </c>
      <c r="F69" s="470">
        <f t="shared" si="22"/>
        <v>200.99754376972777</v>
      </c>
      <c r="G69" s="470">
        <f t="shared" si="22"/>
        <v>146.14926615981852</v>
      </c>
      <c r="H69" s="470">
        <f t="shared" si="22"/>
        <v>308.24352667235928</v>
      </c>
      <c r="I69" s="471">
        <f t="shared" si="22"/>
        <v>308.87637944980168</v>
      </c>
    </row>
    <row r="70" spans="1:9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39" t="s">
        <v>504</v>
      </c>
      <c r="F70" s="439" t="s">
        <v>504</v>
      </c>
      <c r="G70" s="439" t="s">
        <v>504</v>
      </c>
      <c r="H70" s="439" t="s">
        <v>504</v>
      </c>
      <c r="I70" s="440" t="s">
        <v>504</v>
      </c>
    </row>
    <row r="71" spans="1:9" ht="14.25" customHeight="1" x14ac:dyDescent="0.2">
      <c r="A71" s="441" t="s">
        <v>552</v>
      </c>
      <c r="B71" s="442"/>
      <c r="C71" s="453" t="s">
        <v>88</v>
      </c>
      <c r="D71" s="453" t="s">
        <v>88</v>
      </c>
      <c r="E71" s="453" t="s">
        <v>88</v>
      </c>
      <c r="F71" s="453" t="s">
        <v>88</v>
      </c>
      <c r="G71" s="453" t="s">
        <v>88</v>
      </c>
      <c r="H71" s="456" t="s">
        <v>88</v>
      </c>
      <c r="I71" s="454" t="s">
        <v>88</v>
      </c>
    </row>
    <row r="72" spans="1:9" ht="14.25" customHeight="1" x14ac:dyDescent="0.2">
      <c r="A72" s="468" t="s">
        <v>550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39" t="s">
        <v>504</v>
      </c>
      <c r="F73" s="439" t="s">
        <v>504</v>
      </c>
      <c r="G73" s="439" t="s">
        <v>504</v>
      </c>
      <c r="H73" s="439" t="s">
        <v>504</v>
      </c>
      <c r="I73" s="440" t="s">
        <v>504</v>
      </c>
    </row>
    <row r="74" spans="1:9" ht="14.25" customHeight="1" x14ac:dyDescent="0.2">
      <c r="A74" s="441" t="s">
        <v>68</v>
      </c>
      <c r="B74" s="442">
        <f>120/30*MC!C62*MC!C63</f>
        <v>6.18624E-3</v>
      </c>
      <c r="C74" s="449">
        <f t="shared" ref="C74:I74" si="24">(((C19*2)+ (C19*1/3))+(C36)+(C44-C38-C39))*$B$74</f>
        <v>28.47909256494545</v>
      </c>
      <c r="D74" s="449">
        <f t="shared" si="24"/>
        <v>24.426098694981821</v>
      </c>
      <c r="E74" s="449">
        <f t="shared" si="24"/>
        <v>21.386183170909092</v>
      </c>
      <c r="F74" s="449">
        <f t="shared" si="24"/>
        <v>18.346391371636361</v>
      </c>
      <c r="G74" s="449">
        <f t="shared" si="24"/>
        <v>12.266498461090908</v>
      </c>
      <c r="H74" s="449">
        <f t="shared" si="24"/>
        <v>28.432845734400001</v>
      </c>
      <c r="I74" s="450">
        <f t="shared" si="24"/>
        <v>28.50349701180043</v>
      </c>
    </row>
    <row r="75" spans="1:9" ht="15.75" customHeight="1" x14ac:dyDescent="0.2">
      <c r="A75" s="468" t="s">
        <v>512</v>
      </c>
      <c r="B75" s="469"/>
      <c r="C75" s="472">
        <f t="shared" ref="C75:I75" si="25">C74</f>
        <v>28.47909256494545</v>
      </c>
      <c r="D75" s="472">
        <f t="shared" si="25"/>
        <v>24.426098694981821</v>
      </c>
      <c r="E75" s="472">
        <f t="shared" si="25"/>
        <v>21.386183170909092</v>
      </c>
      <c r="F75" s="472">
        <f t="shared" si="25"/>
        <v>18.346391371636361</v>
      </c>
      <c r="G75" s="472">
        <f t="shared" si="25"/>
        <v>12.266498461090908</v>
      </c>
      <c r="H75" s="472">
        <f t="shared" si="25"/>
        <v>28.432845734400001</v>
      </c>
      <c r="I75" s="473">
        <f t="shared" si="25"/>
        <v>28.50349701180043</v>
      </c>
    </row>
    <row r="76" spans="1:9" x14ac:dyDescent="0.2">
      <c r="A76" s="415" t="s">
        <v>553</v>
      </c>
      <c r="B76" s="416" t="s">
        <v>503</v>
      </c>
      <c r="C76" s="416" t="s">
        <v>504</v>
      </c>
      <c r="D76" s="416" t="s">
        <v>504</v>
      </c>
      <c r="E76" s="416" t="s">
        <v>504</v>
      </c>
      <c r="F76" s="416" t="s">
        <v>504</v>
      </c>
      <c r="G76" s="416" t="s">
        <v>504</v>
      </c>
      <c r="H76" s="416" t="s">
        <v>504</v>
      </c>
      <c r="I76" s="417" t="s">
        <v>504</v>
      </c>
    </row>
    <row r="77" spans="1:9" x14ac:dyDescent="0.2">
      <c r="A77" s="441" t="s">
        <v>45</v>
      </c>
      <c r="B77" s="458">
        <f t="shared" ref="B77:I77" si="26">B69</f>
        <v>9.9662923611111107E-2</v>
      </c>
      <c r="C77" s="459">
        <f t="shared" si="26"/>
        <v>311.51472898402102</v>
      </c>
      <c r="D77" s="459">
        <f t="shared" si="26"/>
        <v>273.76322178644261</v>
      </c>
      <c r="E77" s="459">
        <f t="shared" si="26"/>
        <v>229.3116724825297</v>
      </c>
      <c r="F77" s="459">
        <f t="shared" si="26"/>
        <v>200.99754376972777</v>
      </c>
      <c r="G77" s="459">
        <f t="shared" si="26"/>
        <v>146.14926615981852</v>
      </c>
      <c r="H77" s="459">
        <f t="shared" si="26"/>
        <v>308.24352667235928</v>
      </c>
      <c r="I77" s="460">
        <f t="shared" si="26"/>
        <v>308.87637944980168</v>
      </c>
    </row>
    <row r="78" spans="1:9" ht="15.75" customHeight="1" x14ac:dyDescent="0.2">
      <c r="A78" s="441" t="s">
        <v>551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67</v>
      </c>
      <c r="B79" s="458">
        <f t="shared" ref="B79:I79" si="28">B74</f>
        <v>6.18624E-3</v>
      </c>
      <c r="C79" s="459">
        <f t="shared" si="28"/>
        <v>28.47909256494545</v>
      </c>
      <c r="D79" s="459">
        <f t="shared" si="28"/>
        <v>24.426098694981821</v>
      </c>
      <c r="E79" s="459">
        <f t="shared" si="28"/>
        <v>21.386183170909092</v>
      </c>
      <c r="F79" s="459">
        <f t="shared" si="28"/>
        <v>18.346391371636361</v>
      </c>
      <c r="G79" s="459">
        <f t="shared" si="28"/>
        <v>12.266498461090908</v>
      </c>
      <c r="H79" s="459">
        <f t="shared" si="28"/>
        <v>28.432845734400001</v>
      </c>
      <c r="I79" s="460">
        <f t="shared" si="28"/>
        <v>28.50349701180043</v>
      </c>
    </row>
    <row r="80" spans="1:9" ht="15.75" customHeight="1" x14ac:dyDescent="0.2">
      <c r="A80" s="429" t="s">
        <v>512</v>
      </c>
      <c r="B80" s="430"/>
      <c r="C80" s="444">
        <f t="shared" ref="C80:I80" si="29">SUM(C77:C79)</f>
        <v>339.99382154896648</v>
      </c>
      <c r="D80" s="444">
        <f t="shared" si="29"/>
        <v>298.18932048142443</v>
      </c>
      <c r="E80" s="444">
        <f t="shared" si="29"/>
        <v>250.69785565343881</v>
      </c>
      <c r="F80" s="444">
        <f t="shared" si="29"/>
        <v>219.34393514136414</v>
      </c>
      <c r="G80" s="444">
        <f t="shared" si="29"/>
        <v>158.41576462090944</v>
      </c>
      <c r="H80" s="444">
        <f t="shared" si="29"/>
        <v>336.6763724067593</v>
      </c>
      <c r="I80" s="445">
        <f t="shared" si="29"/>
        <v>337.37987646160212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554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555</v>
      </c>
      <c r="B83" s="416" t="s">
        <v>556</v>
      </c>
      <c r="C83" s="416" t="s">
        <v>504</v>
      </c>
      <c r="D83" s="416" t="s">
        <v>504</v>
      </c>
      <c r="E83" s="416" t="s">
        <v>504</v>
      </c>
      <c r="F83" s="416" t="s">
        <v>504</v>
      </c>
      <c r="G83" s="416" t="s">
        <v>504</v>
      </c>
      <c r="H83" s="416" t="s">
        <v>504</v>
      </c>
      <c r="I83" s="417" t="s">
        <v>504</v>
      </c>
    </row>
    <row r="84" spans="1:9" ht="15.75" customHeight="1" x14ac:dyDescent="0.2">
      <c r="A84" s="441" t="s">
        <v>557</v>
      </c>
      <c r="B84" s="477"/>
      <c r="C84" s="420">
        <f>Insumos!$K119</f>
        <v>34.030416666666667</v>
      </c>
      <c r="D84" s="420">
        <f>Insumos!$K119</f>
        <v>34.030416666666667</v>
      </c>
      <c r="E84" s="420">
        <f>Insumos!$K119</f>
        <v>34.030416666666667</v>
      </c>
      <c r="F84" s="420">
        <f>Insumos!$K119</f>
        <v>34.030416666666667</v>
      </c>
      <c r="G84" s="420">
        <f>Insumos!$K119</f>
        <v>34.030416666666667</v>
      </c>
      <c r="H84" s="420">
        <f>Insumos!$K119</f>
        <v>34.030416666666667</v>
      </c>
      <c r="I84" s="422">
        <f>Insumos!$K118</f>
        <v>27.875416666666666</v>
      </c>
    </row>
    <row r="85" spans="1:9" x14ac:dyDescent="0.2">
      <c r="A85" s="478" t="s">
        <v>558</v>
      </c>
      <c r="B85" s="477"/>
      <c r="C85" s="420">
        <f>Insumos!$G60</f>
        <v>461.23111666666665</v>
      </c>
      <c r="D85" s="420">
        <f>Insumos!$G60</f>
        <v>461.23111666666665</v>
      </c>
      <c r="E85" s="420">
        <f>Insumos!$G60</f>
        <v>461.23111666666665</v>
      </c>
      <c r="F85" s="420">
        <f>Insumos!$G60</f>
        <v>461.23111666666665</v>
      </c>
      <c r="G85" s="420">
        <f>Insumos!$G60</f>
        <v>461.23111666666665</v>
      </c>
      <c r="H85" s="424" t="s">
        <v>88</v>
      </c>
      <c r="I85" s="425" t="s">
        <v>88</v>
      </c>
    </row>
    <row r="86" spans="1:9" x14ac:dyDescent="0.2">
      <c r="A86" s="478" t="s">
        <v>559</v>
      </c>
      <c r="B86" s="479"/>
      <c r="C86" s="420">
        <f>Insumos!$K100</f>
        <v>19.472892045454543</v>
      </c>
      <c r="D86" s="420">
        <f>Insumos!$K100</f>
        <v>19.472892045454543</v>
      </c>
      <c r="E86" s="420">
        <f>Insumos!$K100</f>
        <v>19.472892045454543</v>
      </c>
      <c r="F86" s="420">
        <f>Insumos!$K100</f>
        <v>19.472892045454543</v>
      </c>
      <c r="G86" s="420">
        <f>Insumos!$K100</f>
        <v>19.472892045454543</v>
      </c>
      <c r="H86" s="424" t="s">
        <v>88</v>
      </c>
      <c r="I86" s="425" t="s">
        <v>88</v>
      </c>
    </row>
    <row r="87" spans="1:9" ht="15.75" customHeight="1" x14ac:dyDescent="0.2">
      <c r="A87" s="478" t="s">
        <v>560</v>
      </c>
      <c r="B87" s="477"/>
      <c r="C87" s="420">
        <f>Insumos!$I130</f>
        <v>36.666666666666671</v>
      </c>
      <c r="D87" s="420">
        <f>Insumos!$I130</f>
        <v>36.666666666666671</v>
      </c>
      <c r="E87" s="420">
        <f>Insumos!$H130</f>
        <v>25.446666666666665</v>
      </c>
      <c r="F87" s="420">
        <f>Insumos!$H130</f>
        <v>25.446666666666665</v>
      </c>
      <c r="G87" s="420">
        <f>Insumos!$H130</f>
        <v>25.446666666666665</v>
      </c>
      <c r="H87" s="424" t="s">
        <v>88</v>
      </c>
      <c r="I87" s="425" t="s">
        <v>88</v>
      </c>
    </row>
    <row r="88" spans="1:9" ht="15.75" customHeight="1" x14ac:dyDescent="0.2">
      <c r="A88" s="478" t="s">
        <v>561</v>
      </c>
      <c r="B88" s="442">
        <v>0.12</v>
      </c>
      <c r="C88" s="424" t="s">
        <v>88</v>
      </c>
      <c r="D88" s="424" t="s">
        <v>88</v>
      </c>
      <c r="E88" s="424" t="s">
        <v>88</v>
      </c>
      <c r="F88" s="424" t="s">
        <v>88</v>
      </c>
      <c r="G88" s="424" t="s">
        <v>88</v>
      </c>
      <c r="H88" s="421">
        <f>B88*(H123+H124+H84)</f>
        <v>362.10268333333329</v>
      </c>
      <c r="I88" s="425" t="s">
        <v>88</v>
      </c>
    </row>
    <row r="89" spans="1:9" ht="15.75" customHeight="1" x14ac:dyDescent="0.2">
      <c r="A89" s="480" t="s">
        <v>562</v>
      </c>
      <c r="B89" s="481"/>
      <c r="C89" s="482"/>
      <c r="D89" s="482"/>
      <c r="E89" s="482"/>
      <c r="F89" s="482"/>
      <c r="G89" s="482"/>
      <c r="H89" s="483"/>
      <c r="I89" s="484">
        <f>Insumos!H146</f>
        <v>50.323333333333331</v>
      </c>
    </row>
    <row r="90" spans="1:9" ht="15.75" customHeight="1" x14ac:dyDescent="0.2">
      <c r="A90" s="478" t="s">
        <v>563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512</v>
      </c>
      <c r="B91" s="485"/>
      <c r="C91" s="470">
        <f t="shared" ref="C91:I91" si="30">SUM(C84:C90)</f>
        <v>551.40109204545445</v>
      </c>
      <c r="D91" s="470">
        <f t="shared" si="30"/>
        <v>551.40109204545445</v>
      </c>
      <c r="E91" s="470">
        <f t="shared" si="30"/>
        <v>540.18109204545453</v>
      </c>
      <c r="F91" s="470">
        <f t="shared" si="30"/>
        <v>540.18109204545453</v>
      </c>
      <c r="G91" s="470">
        <f t="shared" si="30"/>
        <v>540.18109204545453</v>
      </c>
      <c r="H91" s="470">
        <f t="shared" si="30"/>
        <v>396.13309999999996</v>
      </c>
      <c r="I91" s="470">
        <f t="shared" si="30"/>
        <v>78.19874999999999</v>
      </c>
    </row>
    <row r="92" spans="1:9" ht="15.75" customHeight="1" x14ac:dyDescent="0.2">
      <c r="A92" s="754"/>
      <c r="B92" s="754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564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565</v>
      </c>
      <c r="B94" s="416" t="s">
        <v>503</v>
      </c>
      <c r="C94" s="416" t="s">
        <v>504</v>
      </c>
      <c r="D94" s="416" t="s">
        <v>504</v>
      </c>
      <c r="E94" s="416" t="s">
        <v>504</v>
      </c>
      <c r="F94" s="416" t="s">
        <v>504</v>
      </c>
      <c r="G94" s="416" t="s">
        <v>504</v>
      </c>
      <c r="H94" s="416" t="s">
        <v>504</v>
      </c>
      <c r="I94" s="417" t="s">
        <v>504</v>
      </c>
    </row>
    <row r="95" spans="1:9" ht="15.75" customHeight="1" x14ac:dyDescent="0.2">
      <c r="A95" s="418" t="s">
        <v>73</v>
      </c>
      <c r="B95" s="442">
        <f>MC!C66</f>
        <v>0.03</v>
      </c>
      <c r="C95" s="449">
        <f t="shared" ref="C95:I95" si="31">(C$19+C$49+C$60+C$80+C$91)*$B$95</f>
        <v>120.51234430783262</v>
      </c>
      <c r="D95" s="449">
        <f t="shared" si="31"/>
        <v>107.89445257580635</v>
      </c>
      <c r="E95" s="449">
        <f t="shared" si="31"/>
        <v>92.752541105966813</v>
      </c>
      <c r="F95" s="449">
        <f t="shared" si="31"/>
        <v>83.288955965604558</v>
      </c>
      <c r="G95" s="449">
        <f t="shared" si="31"/>
        <v>64.950975799990914</v>
      </c>
      <c r="H95" s="449">
        <f t="shared" si="31"/>
        <v>114.7701012555361</v>
      </c>
      <c r="I95" s="450">
        <f t="shared" si="31"/>
        <v>105.44367383404806</v>
      </c>
    </row>
    <row r="96" spans="1:9" x14ac:dyDescent="0.2">
      <c r="A96" s="418" t="s">
        <v>74</v>
      </c>
      <c r="B96" s="442">
        <f>MC!C67</f>
        <v>6.7900000000000002E-2</v>
      </c>
      <c r="C96" s="449">
        <f t="shared" ref="C96:I96" si="32">(C$19+C$49+C$60+C$80+C$91+C95)*$B$96</f>
        <v>280.94239412856302</v>
      </c>
      <c r="D96" s="449">
        <f t="shared" si="32"/>
        <v>251.52714432647232</v>
      </c>
      <c r="E96" s="449">
        <f t="shared" si="32"/>
        <v>216.22781557760004</v>
      </c>
      <c r="F96" s="449">
        <f t="shared" si="32"/>
        <v>194.16599044554954</v>
      </c>
      <c r="G96" s="449">
        <f t="shared" si="32"/>
        <v>151.41587981746551</v>
      </c>
      <c r="H96" s="449">
        <f t="shared" si="32"/>
        <v>267.55588571694767</v>
      </c>
      <c r="I96" s="450">
        <f t="shared" si="32"/>
        <v>245.81380723106065</v>
      </c>
    </row>
    <row r="97" spans="1:10" x14ac:dyDescent="0.2">
      <c r="A97" s="489" t="s">
        <v>566</v>
      </c>
      <c r="B97" s="490">
        <f>B98+B99</f>
        <v>0.1125</v>
      </c>
      <c r="C97" s="491">
        <f t="shared" ref="C97:I97" si="33">((C19+C49+C60+C80+C91+C95+C96)/(1-($B$97)))*$B$97</f>
        <v>560.09571744052619</v>
      </c>
      <c r="D97" s="491">
        <f t="shared" si="33"/>
        <v>501.45253725158335</v>
      </c>
      <c r="E97" s="491">
        <f t="shared" si="33"/>
        <v>431.07866960481897</v>
      </c>
      <c r="F97" s="491">
        <f t="shared" si="33"/>
        <v>387.09551137157405</v>
      </c>
      <c r="G97" s="491">
        <f t="shared" si="33"/>
        <v>301.86752733175189</v>
      </c>
      <c r="H97" s="491">
        <f t="shared" si="33"/>
        <v>533.40794731567883</v>
      </c>
      <c r="I97" s="492">
        <f t="shared" si="33"/>
        <v>490.06224619437182</v>
      </c>
    </row>
    <row r="98" spans="1:10" x14ac:dyDescent="0.2">
      <c r="A98" s="418" t="s">
        <v>567</v>
      </c>
      <c r="B98" s="442">
        <f>0.0165+0.076</f>
        <v>9.2499999999999999E-2</v>
      </c>
      <c r="C98" s="493">
        <f t="shared" ref="C98:I98" si="34">((C$19+C$49+C$60+C$80+C$91+C$95+C$96)/(1-($B$97)))*$B$98</f>
        <v>460.52314545109925</v>
      </c>
      <c r="D98" s="493">
        <f t="shared" si="34"/>
        <v>412.30541951796852</v>
      </c>
      <c r="E98" s="493">
        <f t="shared" si="34"/>
        <v>354.44246167507339</v>
      </c>
      <c r="F98" s="493">
        <f t="shared" si="34"/>
        <v>318.27853157218306</v>
      </c>
      <c r="G98" s="493">
        <f t="shared" si="34"/>
        <v>248.20218913944043</v>
      </c>
      <c r="H98" s="493">
        <f t="shared" si="34"/>
        <v>438.57986779289143</v>
      </c>
      <c r="I98" s="494">
        <f t="shared" si="34"/>
        <v>402.94006909315016</v>
      </c>
    </row>
    <row r="99" spans="1:10" x14ac:dyDescent="0.2">
      <c r="A99" s="418" t="s">
        <v>568</v>
      </c>
      <c r="B99" s="442">
        <v>0.02</v>
      </c>
      <c r="C99" s="495">
        <f t="shared" ref="C99:I99" si="35">((C$19+C$49+C$60+C$80+C$91+C$95+C$96)/(1-($B$97)))*$B$99</f>
        <v>99.572571989426876</v>
      </c>
      <c r="D99" s="495">
        <f t="shared" si="35"/>
        <v>89.14711773361482</v>
      </c>
      <c r="E99" s="495">
        <f t="shared" si="35"/>
        <v>76.636207929745595</v>
      </c>
      <c r="F99" s="495">
        <f t="shared" si="35"/>
        <v>68.816979799390936</v>
      </c>
      <c r="G99" s="495">
        <f t="shared" si="35"/>
        <v>53.665338192311445</v>
      </c>
      <c r="H99" s="495">
        <f t="shared" si="35"/>
        <v>94.828079522787334</v>
      </c>
      <c r="I99" s="496">
        <f t="shared" si="35"/>
        <v>87.122177101221666</v>
      </c>
    </row>
    <row r="100" spans="1:10" x14ac:dyDescent="0.2">
      <c r="A100" s="489" t="s">
        <v>569</v>
      </c>
      <c r="B100" s="490">
        <f>B101+B102</f>
        <v>0.11749999999999999</v>
      </c>
      <c r="C100" s="491">
        <f t="shared" ref="C100:I100" si="36">((C19+C49+C60+C80+C91+C95+C96)/(1-($B$100)))*$B$100</f>
        <v>588.30324491628426</v>
      </c>
      <c r="D100" s="491">
        <f t="shared" si="36"/>
        <v>526.70667825260728</v>
      </c>
      <c r="E100" s="491">
        <f t="shared" si="36"/>
        <v>452.78864352259387</v>
      </c>
      <c r="F100" s="491">
        <f t="shared" si="36"/>
        <v>406.59040649888016</v>
      </c>
      <c r="G100" s="491">
        <f t="shared" si="36"/>
        <v>317.07017271200999</v>
      </c>
      <c r="H100" s="491">
        <f t="shared" si="36"/>
        <v>560.2714259340321</v>
      </c>
      <c r="I100" s="492">
        <f t="shared" si="36"/>
        <v>514.74274962247989</v>
      </c>
    </row>
    <row r="101" spans="1:10" x14ac:dyDescent="0.2">
      <c r="A101" s="418" t="s">
        <v>567</v>
      </c>
      <c r="B101" s="442">
        <f>0.0165+0.076</f>
        <v>9.2499999999999999E-2</v>
      </c>
      <c r="C101" s="493">
        <f t="shared" ref="C101:I101" si="37">((C19+C49+C60+C80+C91+C95+C96)/(1-($B$100)))*$B$101</f>
        <v>463.1323417426068</v>
      </c>
      <c r="D101" s="493">
        <f t="shared" si="37"/>
        <v>414.64142756056316</v>
      </c>
      <c r="E101" s="493">
        <f t="shared" si="37"/>
        <v>356.45063426246753</v>
      </c>
      <c r="F101" s="493">
        <f t="shared" si="37"/>
        <v>320.08180937145886</v>
      </c>
      <c r="G101" s="493">
        <f t="shared" si="37"/>
        <v>249.60843383711429</v>
      </c>
      <c r="H101" s="493">
        <f t="shared" si="37"/>
        <v>441.0647395650891</v>
      </c>
      <c r="I101" s="494">
        <f t="shared" si="37"/>
        <v>405.22301566025016</v>
      </c>
    </row>
    <row r="102" spans="1:10" x14ac:dyDescent="0.2">
      <c r="A102" s="418" t="s">
        <v>568</v>
      </c>
      <c r="B102" s="442">
        <v>2.5000000000000001E-2</v>
      </c>
      <c r="C102" s="495">
        <f t="shared" ref="C102:I102" si="38">((C$19+C$49+C$60+C$80+C$91+C$95+C$96)/(1-($B$100)))*$B$102</f>
        <v>125.17090317367752</v>
      </c>
      <c r="D102" s="495">
        <f t="shared" si="38"/>
        <v>112.06525069204412</v>
      </c>
      <c r="E102" s="495">
        <f t="shared" si="38"/>
        <v>96.33800926012637</v>
      </c>
      <c r="F102" s="495">
        <f t="shared" si="38"/>
        <v>86.508597127421325</v>
      </c>
      <c r="G102" s="495">
        <f t="shared" si="38"/>
        <v>67.461738874895758</v>
      </c>
      <c r="H102" s="495">
        <f t="shared" si="38"/>
        <v>119.206686368943</v>
      </c>
      <c r="I102" s="496">
        <f t="shared" si="38"/>
        <v>109.51973396222978</v>
      </c>
    </row>
    <row r="103" spans="1:10" x14ac:dyDescent="0.2">
      <c r="A103" s="489" t="s">
        <v>570</v>
      </c>
      <c r="B103" s="490">
        <f>B104+B105</f>
        <v>0.1225</v>
      </c>
      <c r="C103" s="491">
        <f t="shared" ref="C103:I103" si="39">((C19+C49+C60+C80+C91+C95+C96)/(1-($B$103)))*$B$103</f>
        <v>616.83222569660984</v>
      </c>
      <c r="D103" s="491">
        <f t="shared" si="39"/>
        <v>552.24861573227554</v>
      </c>
      <c r="E103" s="491">
        <f t="shared" si="39"/>
        <v>474.74602455054298</v>
      </c>
      <c r="F103" s="491">
        <f t="shared" si="39"/>
        <v>426.30746567322132</v>
      </c>
      <c r="G103" s="491">
        <f t="shared" si="39"/>
        <v>332.44606761227118</v>
      </c>
      <c r="H103" s="491">
        <f t="shared" si="39"/>
        <v>587.44104106085672</v>
      </c>
      <c r="I103" s="492">
        <f t="shared" si="39"/>
        <v>539.70451234891402</v>
      </c>
    </row>
    <row r="104" spans="1:10" x14ac:dyDescent="0.2">
      <c r="A104" s="418" t="s">
        <v>567</v>
      </c>
      <c r="B104" s="442">
        <f>0.0165+0.076</f>
        <v>9.2499999999999999E-2</v>
      </c>
      <c r="C104" s="493">
        <f t="shared" ref="C104:I104" si="40">((C19+C49+C60+C80+C91+C95+C96)/(1-($B$103)))*$B$104</f>
        <v>465.77127246478699</v>
      </c>
      <c r="D104" s="493">
        <f t="shared" si="40"/>
        <v>417.0040567774326</v>
      </c>
      <c r="E104" s="493">
        <f t="shared" si="40"/>
        <v>358.48169200755285</v>
      </c>
      <c r="F104" s="493">
        <f t="shared" si="40"/>
        <v>321.90563734508549</v>
      </c>
      <c r="G104" s="493">
        <f t="shared" si="40"/>
        <v>251.03070411538846</v>
      </c>
      <c r="H104" s="493">
        <f t="shared" si="40"/>
        <v>443.57792896432039</v>
      </c>
      <c r="I104" s="494">
        <f t="shared" si="40"/>
        <v>407.53197871244532</v>
      </c>
    </row>
    <row r="105" spans="1:10" x14ac:dyDescent="0.2">
      <c r="A105" s="418" t="s">
        <v>568</v>
      </c>
      <c r="B105" s="442">
        <v>0.03</v>
      </c>
      <c r="C105" s="495">
        <f t="shared" ref="C105:I105" si="41">((C19+C49+C60+C80+C91+C95+C96)/(1-($B$103)))*$B$105</f>
        <v>151.06095323182282</v>
      </c>
      <c r="D105" s="495">
        <f t="shared" si="41"/>
        <v>135.244558954843</v>
      </c>
      <c r="E105" s="495">
        <f t="shared" si="41"/>
        <v>116.26433254299012</v>
      </c>
      <c r="F105" s="495">
        <f t="shared" si="41"/>
        <v>104.40182832813582</v>
      </c>
      <c r="G105" s="495">
        <f t="shared" si="41"/>
        <v>81.415363496882733</v>
      </c>
      <c r="H105" s="495">
        <f t="shared" si="41"/>
        <v>143.86311209653636</v>
      </c>
      <c r="I105" s="496">
        <f t="shared" si="41"/>
        <v>132.17253363646876</v>
      </c>
      <c r="J105" s="497"/>
    </row>
    <row r="106" spans="1:10" x14ac:dyDescent="0.2">
      <c r="A106" s="489" t="s">
        <v>571</v>
      </c>
      <c r="B106" s="490">
        <f>B107+B108</f>
        <v>0.13250000000000001</v>
      </c>
      <c r="C106" s="491">
        <f t="shared" ref="C106:I106" si="42">((C19+C49+C60+C80+C91+C95+C96)/(1-($B$106)))*$B$106</f>
        <v>674.8767802525457</v>
      </c>
      <c r="D106" s="491">
        <f t="shared" si="42"/>
        <v>604.21578535949675</v>
      </c>
      <c r="E106" s="491">
        <f t="shared" si="42"/>
        <v>519.42011966792631</v>
      </c>
      <c r="F106" s="491">
        <f t="shared" si="42"/>
        <v>466.42344197605934</v>
      </c>
      <c r="G106" s="491">
        <f t="shared" si="42"/>
        <v>363.7295886485374</v>
      </c>
      <c r="H106" s="491">
        <f t="shared" si="42"/>
        <v>642.7198545465576</v>
      </c>
      <c r="I106" s="492">
        <f t="shared" si="42"/>
        <v>590.49126878944003</v>
      </c>
    </row>
    <row r="107" spans="1:10" x14ac:dyDescent="0.2">
      <c r="A107" s="418" t="s">
        <v>567</v>
      </c>
      <c r="B107" s="442">
        <f>0.0165+0.076</f>
        <v>9.2499999999999999E-2</v>
      </c>
      <c r="C107" s="493">
        <f t="shared" ref="C107:I107" si="43">((C19+C49+C60+C80+C91+C95+C96)/(1-($B$106)))*$B$107</f>
        <v>471.1403937612111</v>
      </c>
      <c r="D107" s="493">
        <f t="shared" si="43"/>
        <v>421.81101996795053</v>
      </c>
      <c r="E107" s="493">
        <f t="shared" si="43"/>
        <v>362.61404580591085</v>
      </c>
      <c r="F107" s="493">
        <f t="shared" si="43"/>
        <v>325.616365153098</v>
      </c>
      <c r="G107" s="493">
        <f t="shared" si="43"/>
        <v>253.9244298112431</v>
      </c>
      <c r="H107" s="493">
        <f t="shared" si="43"/>
        <v>448.69121921174775</v>
      </c>
      <c r="I107" s="494">
        <f t="shared" si="43"/>
        <v>412.22975368319396</v>
      </c>
    </row>
    <row r="108" spans="1:10" x14ac:dyDescent="0.2">
      <c r="A108" s="418" t="s">
        <v>568</v>
      </c>
      <c r="B108" s="442">
        <v>0.04</v>
      </c>
      <c r="C108" s="495">
        <f t="shared" ref="C108:I108" si="44">((C19+C49+C60+C80+C91+C95+C96)/(1-($B$106)))*$B$108</f>
        <v>203.73638649133454</v>
      </c>
      <c r="D108" s="495">
        <f t="shared" si="44"/>
        <v>182.40476539154616</v>
      </c>
      <c r="E108" s="495">
        <f t="shared" si="44"/>
        <v>156.8060738620155</v>
      </c>
      <c r="F108" s="495">
        <f t="shared" si="44"/>
        <v>140.80707682296131</v>
      </c>
      <c r="G108" s="495">
        <f t="shared" si="44"/>
        <v>109.80515883729431</v>
      </c>
      <c r="H108" s="495">
        <f t="shared" si="44"/>
        <v>194.02863533480985</v>
      </c>
      <c r="I108" s="496">
        <f t="shared" si="44"/>
        <v>178.26151510624604</v>
      </c>
    </row>
    <row r="109" spans="1:10" x14ac:dyDescent="0.2">
      <c r="A109" s="489" t="s">
        <v>572</v>
      </c>
      <c r="B109" s="490">
        <f>B110+B111</f>
        <v>0.14250000000000002</v>
      </c>
      <c r="C109" s="491">
        <f t="shared" ref="C109:I109" si="45">((C19+C49+C60+C80+C91+C95+C96)/(1-($B$109)))*$B$109</f>
        <v>734.2751436610979</v>
      </c>
      <c r="D109" s="491">
        <f t="shared" si="45"/>
        <v>657.39501725207583</v>
      </c>
      <c r="E109" s="491">
        <f t="shared" si="45"/>
        <v>565.13617618746446</v>
      </c>
      <c r="F109" s="491">
        <f t="shared" si="45"/>
        <v>507.47506787196642</v>
      </c>
      <c r="G109" s="491">
        <f t="shared" si="45"/>
        <v>395.74275449031421</v>
      </c>
      <c r="H109" s="491">
        <f t="shared" si="45"/>
        <v>699.28796980451966</v>
      </c>
      <c r="I109" s="492">
        <f t="shared" si="45"/>
        <v>642.46255599242738</v>
      </c>
    </row>
    <row r="110" spans="1:10" x14ac:dyDescent="0.2">
      <c r="A110" s="418" t="s">
        <v>567</v>
      </c>
      <c r="B110" s="442">
        <f>0.0165+0.076</f>
        <v>9.2499999999999999E-2</v>
      </c>
      <c r="C110" s="498">
        <f t="shared" ref="C110:I110" si="46">((C19+C49+C60+C80+C91+C95+C96)/(1-($B$109)))*$B$110</f>
        <v>476.63474237650212</v>
      </c>
      <c r="D110" s="498">
        <f t="shared" si="46"/>
        <v>426.73009891801411</v>
      </c>
      <c r="E110" s="498">
        <f t="shared" si="46"/>
        <v>366.84278103396809</v>
      </c>
      <c r="F110" s="498">
        <f t="shared" si="46"/>
        <v>329.4136405484694</v>
      </c>
      <c r="G110" s="498">
        <f t="shared" si="46"/>
        <v>256.88564765160743</v>
      </c>
      <c r="H110" s="498">
        <f t="shared" si="46"/>
        <v>453.92376987310922</v>
      </c>
      <c r="I110" s="499">
        <f t="shared" si="46"/>
        <v>417.03709774947032</v>
      </c>
    </row>
    <row r="111" spans="1:10" x14ac:dyDescent="0.2">
      <c r="A111" s="418" t="s">
        <v>568</v>
      </c>
      <c r="B111" s="500">
        <v>0.05</v>
      </c>
      <c r="C111" s="501">
        <f t="shared" ref="C111:I111" si="47">((C19+C49+C60+C80+C91+C95+C96)/(1-($B$109)))*$B$111</f>
        <v>257.64040128459573</v>
      </c>
      <c r="D111" s="501">
        <f t="shared" si="47"/>
        <v>230.66491833406167</v>
      </c>
      <c r="E111" s="501">
        <f t="shared" si="47"/>
        <v>198.29339515349628</v>
      </c>
      <c r="F111" s="501">
        <f t="shared" si="47"/>
        <v>178.06142732349699</v>
      </c>
      <c r="G111" s="501">
        <f t="shared" si="47"/>
        <v>138.85710683870673</v>
      </c>
      <c r="H111" s="501">
        <f t="shared" si="47"/>
        <v>245.36419993141041</v>
      </c>
      <c r="I111" s="502">
        <f t="shared" si="47"/>
        <v>225.42545824295695</v>
      </c>
    </row>
    <row r="112" spans="1:10" x14ac:dyDescent="0.2">
      <c r="A112" s="756" t="s">
        <v>573</v>
      </c>
      <c r="B112" s="503">
        <v>0.02</v>
      </c>
      <c r="C112" s="504">
        <f t="shared" ref="C112:I112" si="48">C95+C96+C97</f>
        <v>961.55045587692189</v>
      </c>
      <c r="D112" s="504">
        <f t="shared" si="48"/>
        <v>860.87413415386209</v>
      </c>
      <c r="E112" s="504">
        <f t="shared" si="48"/>
        <v>740.05902628838589</v>
      </c>
      <c r="F112" s="504">
        <f t="shared" si="48"/>
        <v>664.55045778272813</v>
      </c>
      <c r="G112" s="504">
        <f t="shared" si="48"/>
        <v>518.23438294920834</v>
      </c>
      <c r="H112" s="504">
        <f t="shared" si="48"/>
        <v>915.73393428816257</v>
      </c>
      <c r="I112" s="505">
        <f t="shared" si="48"/>
        <v>841.31972725948049</v>
      </c>
    </row>
    <row r="113" spans="1:10" x14ac:dyDescent="0.2">
      <c r="A113" s="756"/>
      <c r="B113" s="506">
        <v>2.5000000000000001E-2</v>
      </c>
      <c r="C113" s="507">
        <f t="shared" ref="C113:I113" si="49">C95+C96+C100</f>
        <v>989.75798335267996</v>
      </c>
      <c r="D113" s="507">
        <f t="shared" si="49"/>
        <v>886.12827515488596</v>
      </c>
      <c r="E113" s="507">
        <f t="shared" si="49"/>
        <v>761.76900020616074</v>
      </c>
      <c r="F113" s="507">
        <f t="shared" si="49"/>
        <v>684.04535291003424</v>
      </c>
      <c r="G113" s="507">
        <f t="shared" si="49"/>
        <v>533.43702832946644</v>
      </c>
      <c r="H113" s="507">
        <f t="shared" si="49"/>
        <v>942.59741290651584</v>
      </c>
      <c r="I113" s="508">
        <f t="shared" si="49"/>
        <v>866.00023068758856</v>
      </c>
    </row>
    <row r="114" spans="1:10" ht="15.75" customHeight="1" x14ac:dyDescent="0.2">
      <c r="A114" s="756"/>
      <c r="B114" s="506">
        <v>0.03</v>
      </c>
      <c r="C114" s="507">
        <f t="shared" ref="C114:I114" si="50">C95+C96+C103</f>
        <v>1018.2869641330055</v>
      </c>
      <c r="D114" s="507">
        <f t="shared" si="50"/>
        <v>911.67021263455422</v>
      </c>
      <c r="E114" s="507">
        <f t="shared" si="50"/>
        <v>783.72638123410979</v>
      </c>
      <c r="F114" s="507">
        <f t="shared" si="50"/>
        <v>703.76241208437546</v>
      </c>
      <c r="G114" s="507">
        <f t="shared" si="50"/>
        <v>548.81292322972763</v>
      </c>
      <c r="H114" s="507">
        <f t="shared" si="50"/>
        <v>969.76702803334047</v>
      </c>
      <c r="I114" s="508">
        <f t="shared" si="50"/>
        <v>890.9619934140228</v>
      </c>
      <c r="J114" s="497"/>
    </row>
    <row r="115" spans="1:10" ht="15.75" customHeight="1" x14ac:dyDescent="0.2">
      <c r="A115" s="756"/>
      <c r="B115" s="506">
        <v>0.04</v>
      </c>
      <c r="C115" s="507">
        <f t="shared" ref="C115:I115" si="51">C95+C96+C106</f>
        <v>1076.3315186889413</v>
      </c>
      <c r="D115" s="507">
        <f t="shared" si="51"/>
        <v>963.63738226177543</v>
      </c>
      <c r="E115" s="507">
        <f t="shared" si="51"/>
        <v>828.40047635149313</v>
      </c>
      <c r="F115" s="507">
        <f t="shared" si="51"/>
        <v>743.87838838721336</v>
      </c>
      <c r="G115" s="507">
        <f t="shared" si="51"/>
        <v>580.0964442659938</v>
      </c>
      <c r="H115" s="507">
        <f t="shared" si="51"/>
        <v>1025.0458415190415</v>
      </c>
      <c r="I115" s="508">
        <f t="shared" si="51"/>
        <v>941.74874985454881</v>
      </c>
    </row>
    <row r="116" spans="1:10" ht="15.75" customHeight="1" x14ac:dyDescent="0.2">
      <c r="A116" s="756"/>
      <c r="B116" s="509">
        <v>0.05</v>
      </c>
      <c r="C116" s="510">
        <f t="shared" ref="C116:I116" si="52">C95+C96+C109</f>
        <v>1135.7298820974936</v>
      </c>
      <c r="D116" s="510">
        <f t="shared" si="52"/>
        <v>1016.8166141543545</v>
      </c>
      <c r="E116" s="510">
        <f t="shared" si="52"/>
        <v>874.11653287103127</v>
      </c>
      <c r="F116" s="510">
        <f t="shared" si="52"/>
        <v>784.9300142831205</v>
      </c>
      <c r="G116" s="510">
        <f t="shared" si="52"/>
        <v>612.10961010777066</v>
      </c>
      <c r="H116" s="510">
        <f t="shared" si="52"/>
        <v>1081.6139567770033</v>
      </c>
      <c r="I116" s="511">
        <f t="shared" si="52"/>
        <v>993.72003705753605</v>
      </c>
    </row>
    <row r="117" spans="1:10" ht="15.75" customHeight="1" x14ac:dyDescent="0.2">
      <c r="A117" s="418" t="s">
        <v>574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57"/>
      <c r="B119" s="757"/>
      <c r="C119" s="757"/>
      <c r="D119" s="757"/>
      <c r="E119" s="757"/>
      <c r="F119" s="757"/>
      <c r="G119" s="757"/>
      <c r="H119" s="757"/>
      <c r="I119" s="757"/>
    </row>
    <row r="120" spans="1:10" ht="15.75" customHeight="1" x14ac:dyDescent="0.2">
      <c r="A120" s="758"/>
      <c r="B120" s="758"/>
      <c r="C120" s="758"/>
      <c r="D120" s="758"/>
      <c r="E120" s="758"/>
      <c r="F120" s="758"/>
      <c r="G120" s="758"/>
      <c r="H120" s="758"/>
      <c r="I120" s="758"/>
    </row>
    <row r="121" spans="1:10" ht="54.75" customHeight="1" x14ac:dyDescent="0.2">
      <c r="A121" s="759" t="s">
        <v>575</v>
      </c>
      <c r="B121" s="759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60" t="s">
        <v>576</v>
      </c>
      <c r="B122" s="760"/>
      <c r="C122" s="524" t="s">
        <v>504</v>
      </c>
      <c r="D122" s="524" t="s">
        <v>504</v>
      </c>
      <c r="E122" s="524" t="s">
        <v>504</v>
      </c>
      <c r="F122" s="524" t="s">
        <v>504</v>
      </c>
      <c r="G122" s="524" t="s">
        <v>504</v>
      </c>
      <c r="H122" s="524" t="s">
        <v>504</v>
      </c>
      <c r="I122" s="525" t="s">
        <v>504</v>
      </c>
    </row>
    <row r="123" spans="1:10" ht="14.25" customHeight="1" x14ac:dyDescent="0.2">
      <c r="A123" s="761" t="s">
        <v>577</v>
      </c>
      <c r="B123" s="761"/>
      <c r="C123" s="526">
        <f t="shared" ref="C123:I123" si="54">C19</f>
        <v>1672.4781818181816</v>
      </c>
      <c r="D123" s="526">
        <f t="shared" si="54"/>
        <v>1433.5527272727272</v>
      </c>
      <c r="E123" s="526">
        <f t="shared" si="54"/>
        <v>1254.3586363636364</v>
      </c>
      <c r="F123" s="526">
        <f t="shared" si="54"/>
        <v>1075.1645454545453</v>
      </c>
      <c r="G123" s="526">
        <f t="shared" si="54"/>
        <v>716.77636363636361</v>
      </c>
      <c r="H123" s="526">
        <f t="shared" si="54"/>
        <v>1669.75</v>
      </c>
      <c r="I123" s="527">
        <f t="shared" si="54"/>
        <v>1673.9117345454545</v>
      </c>
    </row>
    <row r="124" spans="1:10" ht="14.25" customHeight="1" x14ac:dyDescent="0.2">
      <c r="A124" s="762" t="s">
        <v>578</v>
      </c>
      <c r="B124" s="762"/>
      <c r="C124" s="528">
        <f t="shared" ref="C124:I124" si="55">C49</f>
        <v>1343.6577272727272</v>
      </c>
      <c r="D124" s="528">
        <f t="shared" si="55"/>
        <v>1219.4409090909091</v>
      </c>
      <c r="E124" s="528">
        <f t="shared" si="55"/>
        <v>964.35329545454556</v>
      </c>
      <c r="F124" s="528">
        <f t="shared" si="55"/>
        <v>871.18568181818182</v>
      </c>
      <c r="G124" s="528">
        <f t="shared" si="55"/>
        <v>702.71045454545447</v>
      </c>
      <c r="H124" s="528">
        <f t="shared" si="55"/>
        <v>1313.7419444444445</v>
      </c>
      <c r="I124" s="529">
        <f t="shared" si="55"/>
        <v>1315.6575481818181</v>
      </c>
    </row>
    <row r="125" spans="1:10" ht="14.25" customHeight="1" x14ac:dyDescent="0.2">
      <c r="A125" s="762" t="s">
        <v>579</v>
      </c>
      <c r="B125" s="762"/>
      <c r="C125" s="528">
        <f t="shared" ref="C125:I125" si="56">C60</f>
        <v>109.54732090909087</v>
      </c>
      <c r="D125" s="528">
        <f t="shared" si="56"/>
        <v>93.897703636363616</v>
      </c>
      <c r="E125" s="528">
        <f t="shared" si="56"/>
        <v>82.160490681818175</v>
      </c>
      <c r="F125" s="528">
        <f t="shared" si="56"/>
        <v>70.423277727272705</v>
      </c>
      <c r="G125" s="528">
        <f t="shared" si="56"/>
        <v>46.948851818181808</v>
      </c>
      <c r="H125" s="528">
        <f t="shared" si="56"/>
        <v>109.36862499999998</v>
      </c>
      <c r="I125" s="529">
        <f t="shared" si="56"/>
        <v>109.64121861272724</v>
      </c>
    </row>
    <row r="126" spans="1:10" ht="14.25" customHeight="1" x14ac:dyDescent="0.2">
      <c r="A126" s="762" t="s">
        <v>580</v>
      </c>
      <c r="B126" s="762"/>
      <c r="C126" s="528">
        <f t="shared" ref="C126:H126" si="57">C80</f>
        <v>339.99382154896648</v>
      </c>
      <c r="D126" s="528">
        <f t="shared" si="57"/>
        <v>298.18932048142443</v>
      </c>
      <c r="E126" s="528">
        <f t="shared" si="57"/>
        <v>250.69785565343881</v>
      </c>
      <c r="F126" s="528">
        <f t="shared" si="57"/>
        <v>219.34393514136414</v>
      </c>
      <c r="G126" s="528">
        <f t="shared" si="57"/>
        <v>158.41576462090944</v>
      </c>
      <c r="H126" s="528">
        <f t="shared" si="57"/>
        <v>336.6763724067593</v>
      </c>
      <c r="I126" s="529">
        <f>I69</f>
        <v>308.87637944980168</v>
      </c>
    </row>
    <row r="127" spans="1:10" ht="15.75" customHeight="1" x14ac:dyDescent="0.2">
      <c r="A127" s="762" t="s">
        <v>581</v>
      </c>
      <c r="B127" s="762"/>
      <c r="C127" s="528">
        <f t="shared" ref="C127:I127" si="58">C91</f>
        <v>551.40109204545445</v>
      </c>
      <c r="D127" s="528">
        <f t="shared" si="58"/>
        <v>551.40109204545445</v>
      </c>
      <c r="E127" s="528">
        <f t="shared" si="58"/>
        <v>540.18109204545453</v>
      </c>
      <c r="F127" s="528">
        <f t="shared" si="58"/>
        <v>540.18109204545453</v>
      </c>
      <c r="G127" s="528">
        <f t="shared" si="58"/>
        <v>540.18109204545453</v>
      </c>
      <c r="H127" s="528">
        <f t="shared" si="58"/>
        <v>396.13309999999996</v>
      </c>
      <c r="I127" s="529">
        <f t="shared" si="58"/>
        <v>78.19874999999999</v>
      </c>
    </row>
    <row r="128" spans="1:10" ht="15.75" customHeight="1" x14ac:dyDescent="0.2">
      <c r="A128" s="763" t="s">
        <v>582</v>
      </c>
      <c r="B128" s="763"/>
      <c r="C128" s="530">
        <f t="shared" ref="C128:I128" si="59">SUM(C123:C127)</f>
        <v>4017.0781435944209</v>
      </c>
      <c r="D128" s="530">
        <f t="shared" si="59"/>
        <v>3596.4817525268786</v>
      </c>
      <c r="E128" s="530">
        <f t="shared" si="59"/>
        <v>3091.7513701988937</v>
      </c>
      <c r="F128" s="530">
        <f t="shared" si="59"/>
        <v>2776.2985321868186</v>
      </c>
      <c r="G128" s="530">
        <f t="shared" si="59"/>
        <v>2165.032526666364</v>
      </c>
      <c r="H128" s="531">
        <f t="shared" si="59"/>
        <v>3825.6700418512037</v>
      </c>
      <c r="I128" s="532">
        <f t="shared" si="59"/>
        <v>3486.2856307898014</v>
      </c>
    </row>
    <row r="129" spans="1:9" ht="15.75" customHeight="1" x14ac:dyDescent="0.2">
      <c r="A129" s="764" t="s">
        <v>583</v>
      </c>
      <c r="B129" s="764"/>
      <c r="C129" s="533">
        <f t="shared" ref="C129:I133" si="60">C112</f>
        <v>961.55045587692189</v>
      </c>
      <c r="D129" s="533">
        <f t="shared" si="60"/>
        <v>860.87413415386209</v>
      </c>
      <c r="E129" s="533">
        <f t="shared" si="60"/>
        <v>740.05902628838589</v>
      </c>
      <c r="F129" s="533">
        <f t="shared" si="60"/>
        <v>664.55045778272813</v>
      </c>
      <c r="G129" s="533">
        <f t="shared" si="60"/>
        <v>518.23438294920834</v>
      </c>
      <c r="H129" s="533">
        <f t="shared" si="60"/>
        <v>915.73393428816257</v>
      </c>
      <c r="I129" s="534">
        <f t="shared" si="60"/>
        <v>841.31972725948049</v>
      </c>
    </row>
    <row r="130" spans="1:9" ht="15.75" customHeight="1" x14ac:dyDescent="0.2">
      <c r="A130" s="762" t="s">
        <v>584</v>
      </c>
      <c r="B130" s="762"/>
      <c r="C130" s="535">
        <f t="shared" si="60"/>
        <v>989.75798335267996</v>
      </c>
      <c r="D130" s="535">
        <f t="shared" si="60"/>
        <v>886.12827515488596</v>
      </c>
      <c r="E130" s="535">
        <f t="shared" si="60"/>
        <v>761.76900020616074</v>
      </c>
      <c r="F130" s="535">
        <f t="shared" si="60"/>
        <v>684.04535291003424</v>
      </c>
      <c r="G130" s="535">
        <f t="shared" si="60"/>
        <v>533.43702832946644</v>
      </c>
      <c r="H130" s="535">
        <f t="shared" si="60"/>
        <v>942.59741290651584</v>
      </c>
      <c r="I130" s="536">
        <f t="shared" si="60"/>
        <v>866.00023068758856</v>
      </c>
    </row>
    <row r="131" spans="1:9" ht="15.75" customHeight="1" x14ac:dyDescent="0.2">
      <c r="A131" s="762" t="s">
        <v>585</v>
      </c>
      <c r="B131" s="762"/>
      <c r="C131" s="535">
        <f t="shared" si="60"/>
        <v>1018.2869641330055</v>
      </c>
      <c r="D131" s="535">
        <f t="shared" si="60"/>
        <v>911.67021263455422</v>
      </c>
      <c r="E131" s="535">
        <f t="shared" si="60"/>
        <v>783.72638123410979</v>
      </c>
      <c r="F131" s="535">
        <f t="shared" si="60"/>
        <v>703.76241208437546</v>
      </c>
      <c r="G131" s="535">
        <f t="shared" si="60"/>
        <v>548.81292322972763</v>
      </c>
      <c r="H131" s="535">
        <f t="shared" si="60"/>
        <v>969.76702803334047</v>
      </c>
      <c r="I131" s="536">
        <f t="shared" si="60"/>
        <v>890.9619934140228</v>
      </c>
    </row>
    <row r="132" spans="1:9" ht="15.75" customHeight="1" x14ac:dyDescent="0.2">
      <c r="A132" s="762" t="s">
        <v>586</v>
      </c>
      <c r="B132" s="762"/>
      <c r="C132" s="535">
        <f t="shared" si="60"/>
        <v>1076.3315186889413</v>
      </c>
      <c r="D132" s="535">
        <f t="shared" si="60"/>
        <v>963.63738226177543</v>
      </c>
      <c r="E132" s="535">
        <f t="shared" si="60"/>
        <v>828.40047635149313</v>
      </c>
      <c r="F132" s="535">
        <f t="shared" si="60"/>
        <v>743.87838838721336</v>
      </c>
      <c r="G132" s="535">
        <f t="shared" si="60"/>
        <v>580.0964442659938</v>
      </c>
      <c r="H132" s="535">
        <f t="shared" si="60"/>
        <v>1025.0458415190415</v>
      </c>
      <c r="I132" s="536">
        <f t="shared" si="60"/>
        <v>941.74874985454881</v>
      </c>
    </row>
    <row r="133" spans="1:9" ht="15.75" customHeight="1" x14ac:dyDescent="0.2">
      <c r="A133" s="764" t="s">
        <v>587</v>
      </c>
      <c r="B133" s="764"/>
      <c r="C133" s="535">
        <f t="shared" si="60"/>
        <v>1135.7298820974936</v>
      </c>
      <c r="D133" s="535">
        <f t="shared" si="60"/>
        <v>1016.8166141543545</v>
      </c>
      <c r="E133" s="535">
        <f t="shared" si="60"/>
        <v>874.11653287103127</v>
      </c>
      <c r="F133" s="535">
        <f t="shared" si="60"/>
        <v>784.9300142831205</v>
      </c>
      <c r="G133" s="535">
        <f t="shared" si="60"/>
        <v>612.10961010777066</v>
      </c>
      <c r="H133" s="535">
        <f t="shared" si="60"/>
        <v>1081.6139567770033</v>
      </c>
      <c r="I133" s="536">
        <f t="shared" si="60"/>
        <v>993.72003705753605</v>
      </c>
    </row>
    <row r="134" spans="1:9" ht="15.75" customHeight="1" x14ac:dyDescent="0.2">
      <c r="A134" s="537" t="s">
        <v>588</v>
      </c>
      <c r="B134" s="538"/>
      <c r="C134" s="539">
        <f t="shared" ref="C134:I134" si="61">C128+C129</f>
        <v>4978.6285994713426</v>
      </c>
      <c r="D134" s="539">
        <f t="shared" si="61"/>
        <v>4457.3558866807407</v>
      </c>
      <c r="E134" s="539">
        <f t="shared" si="61"/>
        <v>3831.8103964872798</v>
      </c>
      <c r="F134" s="539">
        <f t="shared" si="61"/>
        <v>3440.8489899695469</v>
      </c>
      <c r="G134" s="539">
        <f t="shared" si="61"/>
        <v>2683.2669096155723</v>
      </c>
      <c r="H134" s="539">
        <f t="shared" si="61"/>
        <v>4741.403976139366</v>
      </c>
      <c r="I134" s="540">
        <f t="shared" si="61"/>
        <v>4327.6053580492817</v>
      </c>
    </row>
    <row r="135" spans="1:9" ht="15.75" customHeight="1" x14ac:dyDescent="0.2">
      <c r="A135" s="541" t="s">
        <v>589</v>
      </c>
      <c r="B135" s="542"/>
      <c r="C135" s="543">
        <f t="shared" ref="C135:I135" si="62">C128+C130</f>
        <v>5006.8361269471006</v>
      </c>
      <c r="D135" s="543">
        <f t="shared" si="62"/>
        <v>4482.6100276817642</v>
      </c>
      <c r="E135" s="543">
        <f t="shared" si="62"/>
        <v>3853.5203704050546</v>
      </c>
      <c r="F135" s="543">
        <f t="shared" si="62"/>
        <v>3460.3438850968528</v>
      </c>
      <c r="G135" s="543">
        <f t="shared" si="62"/>
        <v>2698.4695549958305</v>
      </c>
      <c r="H135" s="543">
        <f t="shared" si="62"/>
        <v>4768.2674547577199</v>
      </c>
      <c r="I135" s="544">
        <f t="shared" si="62"/>
        <v>4352.2858614773904</v>
      </c>
    </row>
    <row r="136" spans="1:9" ht="15.75" customHeight="1" x14ac:dyDescent="0.2">
      <c r="A136" s="541" t="s">
        <v>590</v>
      </c>
      <c r="B136" s="542"/>
      <c r="C136" s="543">
        <f t="shared" ref="C136:I136" si="63">C128+C131</f>
        <v>5035.3651077274262</v>
      </c>
      <c r="D136" s="543">
        <f t="shared" si="63"/>
        <v>4508.1519651614326</v>
      </c>
      <c r="E136" s="543">
        <f t="shared" si="63"/>
        <v>3875.4777514330035</v>
      </c>
      <c r="F136" s="543">
        <f t="shared" si="63"/>
        <v>3480.0609442711939</v>
      </c>
      <c r="G136" s="543">
        <f t="shared" si="63"/>
        <v>2713.8454498960918</v>
      </c>
      <c r="H136" s="543">
        <f t="shared" si="63"/>
        <v>4795.4370698845441</v>
      </c>
      <c r="I136" s="544">
        <f t="shared" si="63"/>
        <v>4377.2476242038247</v>
      </c>
    </row>
    <row r="137" spans="1:9" ht="15.75" customHeight="1" x14ac:dyDescent="0.2">
      <c r="A137" s="541" t="s">
        <v>591</v>
      </c>
      <c r="B137" s="542"/>
      <c r="C137" s="543">
        <f t="shared" ref="C137:I137" si="64">C128+C132</f>
        <v>5093.4096622833622</v>
      </c>
      <c r="D137" s="543">
        <f t="shared" si="64"/>
        <v>4560.1191347886543</v>
      </c>
      <c r="E137" s="543">
        <f t="shared" si="64"/>
        <v>3920.1518465503868</v>
      </c>
      <c r="F137" s="543">
        <f t="shared" si="64"/>
        <v>3520.176920574032</v>
      </c>
      <c r="G137" s="543">
        <f t="shared" si="64"/>
        <v>2745.1289709323578</v>
      </c>
      <c r="H137" s="543">
        <f t="shared" si="64"/>
        <v>4850.7158833702451</v>
      </c>
      <c r="I137" s="544">
        <f t="shared" si="64"/>
        <v>4428.0343806443507</v>
      </c>
    </row>
    <row r="138" spans="1:9" ht="15.75" customHeight="1" x14ac:dyDescent="0.2">
      <c r="A138" s="541" t="s">
        <v>592</v>
      </c>
      <c r="B138" s="542"/>
      <c r="C138" s="543">
        <f t="shared" ref="C138:I138" si="65">C128+C133</f>
        <v>5152.8080256919147</v>
      </c>
      <c r="D138" s="543">
        <f t="shared" si="65"/>
        <v>4613.2983666812333</v>
      </c>
      <c r="E138" s="543">
        <f t="shared" si="65"/>
        <v>3965.867903069925</v>
      </c>
      <c r="F138" s="543">
        <f t="shared" si="65"/>
        <v>3561.2285464699389</v>
      </c>
      <c r="G138" s="543">
        <f t="shared" si="65"/>
        <v>2777.1421367741345</v>
      </c>
      <c r="H138" s="543">
        <f t="shared" si="65"/>
        <v>4907.283998628207</v>
      </c>
      <c r="I138" s="544">
        <f t="shared" si="65"/>
        <v>4480.0056678473375</v>
      </c>
    </row>
    <row r="139" spans="1:9" ht="15.75" customHeight="1" x14ac:dyDescent="0.2">
      <c r="A139" s="545" t="s">
        <v>593</v>
      </c>
      <c r="B139" s="546"/>
      <c r="C139" s="547">
        <f>C134/200</f>
        <v>24.893142997356712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594</v>
      </c>
      <c r="B140" s="551"/>
      <c r="C140" s="552">
        <f>C135/200</f>
        <v>25.034180634735502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595</v>
      </c>
      <c r="B141" s="551"/>
      <c r="C141" s="552">
        <f>C136/200</f>
        <v>25.176825538637132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596</v>
      </c>
      <c r="B142" s="551"/>
      <c r="C142" s="552">
        <f>C137/200</f>
        <v>25.467048311416811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597</v>
      </c>
      <c r="B143" s="556"/>
      <c r="C143" s="557">
        <f>C138/200</f>
        <v>25.764040128459573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65" t="s">
        <v>598</v>
      </c>
      <c r="B145" s="765"/>
      <c r="C145" s="765" t="s">
        <v>599</v>
      </c>
      <c r="D145" s="765"/>
      <c r="E145" s="766" t="s">
        <v>600</v>
      </c>
      <c r="F145" s="766"/>
      <c r="G145" s="765" t="s">
        <v>601</v>
      </c>
      <c r="H145" s="765"/>
      <c r="I145" s="765" t="s">
        <v>602</v>
      </c>
      <c r="J145" s="765"/>
      <c r="K145" s="765" t="s">
        <v>603</v>
      </c>
      <c r="L145" s="765"/>
    </row>
    <row r="146" spans="1:15" ht="25.5" x14ac:dyDescent="0.2">
      <c r="A146" s="561" t="s">
        <v>604</v>
      </c>
      <c r="B146" s="562" t="s">
        <v>605</v>
      </c>
      <c r="C146" s="562" t="s">
        <v>606</v>
      </c>
      <c r="D146" s="562" t="s">
        <v>607</v>
      </c>
      <c r="E146" s="562" t="s">
        <v>606</v>
      </c>
      <c r="F146" s="562" t="s">
        <v>607</v>
      </c>
      <c r="G146" s="562" t="s">
        <v>606</v>
      </c>
      <c r="H146" s="562" t="s">
        <v>607</v>
      </c>
      <c r="I146" s="562" t="s">
        <v>606</v>
      </c>
      <c r="J146" s="562" t="s">
        <v>607</v>
      </c>
      <c r="K146" s="562" t="s">
        <v>606</v>
      </c>
      <c r="L146" s="562" t="s">
        <v>607</v>
      </c>
    </row>
    <row r="147" spans="1:15" x14ac:dyDescent="0.2">
      <c r="A147" s="563" t="s">
        <v>608</v>
      </c>
      <c r="B147" s="564">
        <f>1/'Prod. GEXPSF'!D18</f>
        <v>1.25E-3</v>
      </c>
      <c r="C147" s="565">
        <f>D134</f>
        <v>4457.3558866807407</v>
      </c>
      <c r="D147" s="565">
        <f>B147*C147</f>
        <v>5.5716948583509263</v>
      </c>
      <c r="E147" s="565">
        <f>D135</f>
        <v>4482.6100276817642</v>
      </c>
      <c r="F147" s="565">
        <f>B147*E147</f>
        <v>5.6032625346022051</v>
      </c>
      <c r="G147" s="565">
        <f>D136</f>
        <v>4508.1519651614326</v>
      </c>
      <c r="H147" s="565">
        <f>B147*G147</f>
        <v>5.6351899564517911</v>
      </c>
      <c r="I147" s="565">
        <f>D137</f>
        <v>4560.1191347886543</v>
      </c>
      <c r="J147" s="565">
        <f>B147*I147</f>
        <v>5.7001489184858176</v>
      </c>
      <c r="K147" s="565">
        <f>D138</f>
        <v>4613.2983666812333</v>
      </c>
      <c r="L147" s="565">
        <f>B147*K147</f>
        <v>5.766622958351542</v>
      </c>
    </row>
    <row r="148" spans="1:15" x14ac:dyDescent="0.2">
      <c r="A148" s="566" t="s">
        <v>609</v>
      </c>
      <c r="B148" s="564">
        <f>B147/'Prod. GEXPSF'!Q18</f>
        <v>5.6818181818181818E-5</v>
      </c>
      <c r="C148" s="565">
        <f>I134</f>
        <v>4327.6053580492817</v>
      </c>
      <c r="D148" s="565">
        <f>C148*B148</f>
        <v>0.24588666807098192</v>
      </c>
      <c r="E148" s="565">
        <f>C148</f>
        <v>4327.6053580492817</v>
      </c>
      <c r="F148" s="565">
        <f>B148*E148</f>
        <v>0.24588666807098192</v>
      </c>
      <c r="G148" s="565">
        <f>C148</f>
        <v>4327.6053580492817</v>
      </c>
      <c r="H148" s="565">
        <f>B148*G148</f>
        <v>0.24588666807098192</v>
      </c>
      <c r="I148" s="565">
        <f>C148</f>
        <v>4327.6053580492817</v>
      </c>
      <c r="J148" s="565">
        <f>B148*I148</f>
        <v>0.24588666807098192</v>
      </c>
      <c r="K148" s="565">
        <f>C148</f>
        <v>4327.6053580492817</v>
      </c>
      <c r="L148" s="565">
        <f>B148*K148</f>
        <v>0.24588666807098192</v>
      </c>
      <c r="M148" s="767" t="s">
        <v>610</v>
      </c>
      <c r="N148" s="767"/>
      <c r="O148" s="567" t="s">
        <v>611</v>
      </c>
    </row>
    <row r="149" spans="1:15" x14ac:dyDescent="0.2">
      <c r="A149" s="568" t="s">
        <v>612</v>
      </c>
      <c r="B149" s="569"/>
      <c r="C149" s="570"/>
      <c r="D149" s="570">
        <f>SUM(D147:D148)</f>
        <v>5.8175815264219084</v>
      </c>
      <c r="E149" s="570"/>
      <c r="F149" s="570">
        <f>SUM(F147:F148)</f>
        <v>5.8491492026731873</v>
      </c>
      <c r="G149" s="570"/>
      <c r="H149" s="570">
        <f>SUM(H147:H148)</f>
        <v>5.8810766245227732</v>
      </c>
      <c r="I149" s="570"/>
      <c r="J149" s="570">
        <f>SUM(J147:J148)</f>
        <v>5.9460355865567998</v>
      </c>
      <c r="K149" s="570"/>
      <c r="L149" s="570">
        <f>SUM(L147:L148)</f>
        <v>6.0125096264225242</v>
      </c>
      <c r="M149" s="571">
        <v>3.08</v>
      </c>
      <c r="N149" s="572">
        <v>5.56</v>
      </c>
    </row>
    <row r="150" spans="1:15" x14ac:dyDescent="0.2">
      <c r="A150" s="560"/>
    </row>
    <row r="151" spans="1:15" ht="14.25" customHeight="1" x14ac:dyDescent="0.2">
      <c r="A151" s="765" t="s">
        <v>613</v>
      </c>
      <c r="B151" s="765"/>
      <c r="C151" s="765" t="s">
        <v>599</v>
      </c>
      <c r="D151" s="765"/>
      <c r="E151" s="766" t="s">
        <v>600</v>
      </c>
      <c r="F151" s="766"/>
      <c r="G151" s="765" t="s">
        <v>601</v>
      </c>
      <c r="H151" s="765"/>
      <c r="I151" s="765" t="s">
        <v>602</v>
      </c>
      <c r="J151" s="765"/>
      <c r="K151" s="765" t="s">
        <v>603</v>
      </c>
      <c r="L151" s="765"/>
    </row>
    <row r="152" spans="1:15" ht="25.5" x14ac:dyDescent="0.2">
      <c r="A152" s="561" t="s">
        <v>604</v>
      </c>
      <c r="B152" s="562" t="s">
        <v>605</v>
      </c>
      <c r="C152" s="562" t="s">
        <v>606</v>
      </c>
      <c r="D152" s="562" t="s">
        <v>607</v>
      </c>
      <c r="E152" s="562" t="s">
        <v>606</v>
      </c>
      <c r="F152" s="562" t="s">
        <v>607</v>
      </c>
      <c r="G152" s="562" t="s">
        <v>606</v>
      </c>
      <c r="H152" s="562" t="s">
        <v>607</v>
      </c>
      <c r="I152" s="562" t="s">
        <v>606</v>
      </c>
      <c r="J152" s="562" t="s">
        <v>607</v>
      </c>
      <c r="K152" s="562" t="s">
        <v>606</v>
      </c>
      <c r="L152" s="562" t="s">
        <v>607</v>
      </c>
    </row>
    <row r="153" spans="1:15" x14ac:dyDescent="0.2">
      <c r="A153" s="563" t="s">
        <v>608</v>
      </c>
      <c r="B153" s="564">
        <f>1/'Prod. GEXPSF'!E18</f>
        <v>1.25E-3</v>
      </c>
      <c r="C153" s="573">
        <f>C134</f>
        <v>4978.6285994713426</v>
      </c>
      <c r="D153" s="565">
        <f>B153*C153</f>
        <v>6.223285749339178</v>
      </c>
      <c r="E153" s="573">
        <f>C135</f>
        <v>5006.8361269471006</v>
      </c>
      <c r="F153" s="565">
        <f>B153*E153</f>
        <v>6.2585451586838756</v>
      </c>
      <c r="G153" s="573">
        <f>C136</f>
        <v>5035.3651077274262</v>
      </c>
      <c r="H153" s="565">
        <f>B153*G153</f>
        <v>6.2942063846592831</v>
      </c>
      <c r="I153" s="573">
        <f>C137</f>
        <v>5093.4096622833622</v>
      </c>
      <c r="J153" s="565">
        <f>B153*I153</f>
        <v>6.3667620778542027</v>
      </c>
      <c r="K153" s="573">
        <f>C138</f>
        <v>5152.8080256919147</v>
      </c>
      <c r="L153" s="565">
        <f>B153*K153</f>
        <v>6.4410100321148933</v>
      </c>
    </row>
    <row r="154" spans="1:15" x14ac:dyDescent="0.2">
      <c r="A154" s="566" t="s">
        <v>609</v>
      </c>
      <c r="B154" s="564">
        <f>B153/'Prod. GEXPSF'!Q18</f>
        <v>5.6818181818181818E-5</v>
      </c>
      <c r="C154" s="565">
        <f>I134</f>
        <v>4327.6053580492817</v>
      </c>
      <c r="D154" s="565">
        <f>C154*B154</f>
        <v>0.24588666807098192</v>
      </c>
      <c r="E154" s="565">
        <f>C154</f>
        <v>4327.6053580492817</v>
      </c>
      <c r="F154" s="565">
        <f>B154*E154</f>
        <v>0.24588666807098192</v>
      </c>
      <c r="G154" s="565">
        <f>C154</f>
        <v>4327.6053580492817</v>
      </c>
      <c r="H154" s="565">
        <f>B154*G154</f>
        <v>0.24588666807098192</v>
      </c>
      <c r="I154" s="565">
        <f>C154</f>
        <v>4327.6053580492817</v>
      </c>
      <c r="J154" s="565">
        <f>B154*I154</f>
        <v>0.24588666807098192</v>
      </c>
      <c r="K154" s="565">
        <f>C154</f>
        <v>4327.6053580492817</v>
      </c>
      <c r="L154" s="565">
        <f>B154*K154</f>
        <v>0.24588666807098192</v>
      </c>
      <c r="M154" s="767" t="s">
        <v>610</v>
      </c>
      <c r="N154" s="767"/>
      <c r="O154" s="567" t="s">
        <v>611</v>
      </c>
    </row>
    <row r="155" spans="1:15" x14ac:dyDescent="0.2">
      <c r="A155" s="568" t="s">
        <v>612</v>
      </c>
      <c r="B155" s="569"/>
      <c r="C155" s="570"/>
      <c r="D155" s="570">
        <f>SUM(D153:D154)</f>
        <v>6.4691724174101601</v>
      </c>
      <c r="E155" s="570"/>
      <c r="F155" s="570">
        <f>SUM(F153:F154)</f>
        <v>6.5044318267548578</v>
      </c>
      <c r="G155" s="570"/>
      <c r="H155" s="570">
        <f>SUM(H153:H154)</f>
        <v>6.5400930527302652</v>
      </c>
      <c r="I155" s="570"/>
      <c r="J155" s="570">
        <f>SUM(J153:J154)</f>
        <v>6.6126487459251848</v>
      </c>
      <c r="K155" s="570"/>
      <c r="L155" s="570">
        <f>SUM(L153:L154)</f>
        <v>6.6868967001858755</v>
      </c>
      <c r="M155" s="571">
        <v>3.08</v>
      </c>
      <c r="N155" s="572">
        <v>5.56</v>
      </c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66" t="s">
        <v>614</v>
      </c>
      <c r="B157" s="766"/>
      <c r="C157" s="766" t="s">
        <v>599</v>
      </c>
      <c r="D157" s="766"/>
      <c r="E157" s="766" t="s">
        <v>600</v>
      </c>
      <c r="F157" s="766"/>
      <c r="G157" s="766" t="s">
        <v>601</v>
      </c>
      <c r="H157" s="766"/>
      <c r="I157" s="766" t="s">
        <v>602</v>
      </c>
      <c r="J157" s="766"/>
      <c r="K157" s="766" t="s">
        <v>603</v>
      </c>
      <c r="L157" s="766"/>
    </row>
    <row r="158" spans="1:15" ht="25.5" x14ac:dyDescent="0.2">
      <c r="A158" s="561" t="s">
        <v>604</v>
      </c>
      <c r="B158" s="562" t="s">
        <v>615</v>
      </c>
      <c r="C158" s="562" t="s">
        <v>606</v>
      </c>
      <c r="D158" s="562" t="s">
        <v>607</v>
      </c>
      <c r="E158" s="562" t="s">
        <v>606</v>
      </c>
      <c r="F158" s="562" t="s">
        <v>607</v>
      </c>
      <c r="G158" s="562" t="s">
        <v>606</v>
      </c>
      <c r="H158" s="562" t="s">
        <v>607</v>
      </c>
      <c r="I158" s="562" t="s">
        <v>606</v>
      </c>
      <c r="J158" s="562" t="s">
        <v>607</v>
      </c>
      <c r="K158" s="562" t="s">
        <v>606</v>
      </c>
      <c r="L158" s="562" t="s">
        <v>607</v>
      </c>
    </row>
    <row r="159" spans="1:15" x14ac:dyDescent="0.2">
      <c r="A159" s="563" t="s">
        <v>608</v>
      </c>
      <c r="B159" s="577">
        <f>1/'Prod. GEXPSF'!F18</f>
        <v>6.6666666666666664E-4</v>
      </c>
      <c r="C159" s="578">
        <f>D134</f>
        <v>4457.3558866807407</v>
      </c>
      <c r="D159" s="565">
        <f>B159*C159</f>
        <v>2.9715705911204937</v>
      </c>
      <c r="E159" s="565">
        <f>D135</f>
        <v>4482.6100276817642</v>
      </c>
      <c r="F159" s="565">
        <f>B159*E159</f>
        <v>2.9884066851211761</v>
      </c>
      <c r="G159" s="565">
        <f>D136</f>
        <v>4508.1519651614326</v>
      </c>
      <c r="H159" s="565">
        <f>B159*G159</f>
        <v>3.0054346434409549</v>
      </c>
      <c r="I159" s="565">
        <f>D137</f>
        <v>4560.1191347886543</v>
      </c>
      <c r="J159" s="565">
        <f>B159*I159</f>
        <v>3.0400794231924362</v>
      </c>
      <c r="K159" s="565">
        <f>D138</f>
        <v>4613.2983666812333</v>
      </c>
      <c r="L159" s="565">
        <f>B159*K159</f>
        <v>3.0755322444541555</v>
      </c>
    </row>
    <row r="160" spans="1:15" x14ac:dyDescent="0.2">
      <c r="A160" s="566" t="s">
        <v>609</v>
      </c>
      <c r="B160" s="564">
        <f>B159/'Prod. GEXPSF'!Q18</f>
        <v>3.0303030303030302E-5</v>
      </c>
      <c r="C160" s="565">
        <f>I134</f>
        <v>4327.6053580492817</v>
      </c>
      <c r="D160" s="565">
        <f>B160*C160</f>
        <v>0.13113955630452367</v>
      </c>
      <c r="E160" s="565">
        <f>C160</f>
        <v>4327.6053580492817</v>
      </c>
      <c r="F160" s="565">
        <f>B160*E160</f>
        <v>0.13113955630452367</v>
      </c>
      <c r="G160" s="565">
        <f>C160</f>
        <v>4327.6053580492817</v>
      </c>
      <c r="H160" s="565">
        <f>B160*G160</f>
        <v>0.13113955630452367</v>
      </c>
      <c r="I160" s="565">
        <f>C160</f>
        <v>4327.6053580492817</v>
      </c>
      <c r="J160" s="565">
        <f>B160*I160</f>
        <v>0.13113955630452367</v>
      </c>
      <c r="K160" s="565">
        <f>C160</f>
        <v>4327.6053580492817</v>
      </c>
      <c r="L160" s="565">
        <f>B160*K160</f>
        <v>0.13113955630452367</v>
      </c>
    </row>
    <row r="161" spans="1:12" x14ac:dyDescent="0.2">
      <c r="A161" s="568" t="s">
        <v>616</v>
      </c>
      <c r="B161" s="569"/>
      <c r="C161" s="570"/>
      <c r="D161" s="570">
        <f>SUM(D159:D160)</f>
        <v>3.1027101474250172</v>
      </c>
      <c r="E161" s="570"/>
      <c r="F161" s="570">
        <f>SUM(F159:F160)</f>
        <v>3.1195462414256996</v>
      </c>
      <c r="G161" s="570"/>
      <c r="H161" s="570">
        <f>SUM(H159:H160)</f>
        <v>3.1365741997454784</v>
      </c>
      <c r="I161" s="570"/>
      <c r="J161" s="570">
        <f>SUM(J159:J160)</f>
        <v>3.1712189794969596</v>
      </c>
      <c r="K161" s="570"/>
      <c r="L161" s="570">
        <f>SUM(L159:L160)</f>
        <v>3.206671800758679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66" t="s">
        <v>617</v>
      </c>
      <c r="B163" s="766"/>
      <c r="C163" s="766" t="s">
        <v>599</v>
      </c>
      <c r="D163" s="766"/>
      <c r="E163" s="766" t="s">
        <v>600</v>
      </c>
      <c r="F163" s="766"/>
      <c r="G163" s="766" t="s">
        <v>601</v>
      </c>
      <c r="H163" s="766"/>
      <c r="I163" s="766" t="s">
        <v>602</v>
      </c>
      <c r="J163" s="766"/>
      <c r="K163" s="766" t="s">
        <v>603</v>
      </c>
      <c r="L163" s="766"/>
    </row>
    <row r="164" spans="1:12" ht="25.5" x14ac:dyDescent="0.2">
      <c r="A164" s="561" t="s">
        <v>604</v>
      </c>
      <c r="B164" s="562" t="s">
        <v>615</v>
      </c>
      <c r="C164" s="562" t="s">
        <v>606</v>
      </c>
      <c r="D164" s="562" t="s">
        <v>607</v>
      </c>
      <c r="E164" s="562" t="s">
        <v>606</v>
      </c>
      <c r="F164" s="562" t="s">
        <v>607</v>
      </c>
      <c r="G164" s="562" t="s">
        <v>606</v>
      </c>
      <c r="H164" s="562" t="s">
        <v>607</v>
      </c>
      <c r="I164" s="562" t="s">
        <v>606</v>
      </c>
      <c r="J164" s="562" t="s">
        <v>607</v>
      </c>
      <c r="K164" s="562" t="s">
        <v>606</v>
      </c>
      <c r="L164" s="562" t="s">
        <v>607</v>
      </c>
    </row>
    <row r="165" spans="1:12" x14ac:dyDescent="0.2">
      <c r="A165" s="563" t="s">
        <v>608</v>
      </c>
      <c r="B165" s="577">
        <f>1/'Prod. GEXPSF'!G18</f>
        <v>1E-3</v>
      </c>
      <c r="C165" s="578">
        <f>D134</f>
        <v>4457.3558866807407</v>
      </c>
      <c r="D165" s="565">
        <f>B165*C165</f>
        <v>4.457355886680741</v>
      </c>
      <c r="E165" s="565">
        <f>D135</f>
        <v>4482.6100276817642</v>
      </c>
      <c r="F165" s="565">
        <f>B165*E165</f>
        <v>4.4826100276817646</v>
      </c>
      <c r="G165" s="565">
        <f>D136</f>
        <v>4508.1519651614326</v>
      </c>
      <c r="H165" s="565">
        <f>B165*G165</f>
        <v>4.5081519651614324</v>
      </c>
      <c r="I165" s="565">
        <f>D137</f>
        <v>4560.1191347886543</v>
      </c>
      <c r="J165" s="565">
        <f>B165*I165</f>
        <v>4.5601191347886543</v>
      </c>
      <c r="K165" s="565">
        <f>D138</f>
        <v>4613.2983666812333</v>
      </c>
      <c r="L165" s="565">
        <f>B165*K165</f>
        <v>4.6132983666812333</v>
      </c>
    </row>
    <row r="166" spans="1:12" x14ac:dyDescent="0.2">
      <c r="A166" s="566" t="s">
        <v>609</v>
      </c>
      <c r="B166" s="564">
        <f>B165/'Prod. GEXPSF'!Q18</f>
        <v>4.5454545454545459E-5</v>
      </c>
      <c r="C166" s="565">
        <f>I134</f>
        <v>4327.6053580492817</v>
      </c>
      <c r="D166" s="565">
        <f>B166*C166</f>
        <v>0.19670933445678554</v>
      </c>
      <c r="E166" s="565">
        <f>C166</f>
        <v>4327.6053580492817</v>
      </c>
      <c r="F166" s="565">
        <f>B166*E166</f>
        <v>0.19670933445678554</v>
      </c>
      <c r="G166" s="565">
        <f>C166</f>
        <v>4327.6053580492817</v>
      </c>
      <c r="H166" s="565">
        <f>B166*G166</f>
        <v>0.19670933445678554</v>
      </c>
      <c r="I166" s="565">
        <f>C166</f>
        <v>4327.6053580492817</v>
      </c>
      <c r="J166" s="565">
        <f>B166*I166</f>
        <v>0.19670933445678554</v>
      </c>
      <c r="K166" s="565">
        <f>C166</f>
        <v>4327.6053580492817</v>
      </c>
      <c r="L166" s="565">
        <f>B166*K166</f>
        <v>0.19670933445678554</v>
      </c>
    </row>
    <row r="167" spans="1:12" x14ac:dyDescent="0.2">
      <c r="A167" s="568" t="s">
        <v>616</v>
      </c>
      <c r="B167" s="569"/>
      <c r="C167" s="570"/>
      <c r="D167" s="570">
        <f>SUM(D165:D166)</f>
        <v>4.6540652211375262</v>
      </c>
      <c r="E167" s="570"/>
      <c r="F167" s="570">
        <f>SUM(F165:F166)</f>
        <v>4.6793193621385498</v>
      </c>
      <c r="G167" s="570"/>
      <c r="H167" s="570">
        <f>SUM(H165:H166)</f>
        <v>4.7048612996182175</v>
      </c>
      <c r="I167" s="570"/>
      <c r="J167" s="570">
        <f>SUM(J165:J166)</f>
        <v>4.7568284692454395</v>
      </c>
      <c r="K167" s="570"/>
      <c r="L167" s="570">
        <f>SUM(L165:L166)</f>
        <v>4.8100077011380185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66" t="s">
        <v>618</v>
      </c>
      <c r="B169" s="766"/>
      <c r="C169" s="766" t="s">
        <v>599</v>
      </c>
      <c r="D169" s="766"/>
      <c r="E169" s="766" t="s">
        <v>600</v>
      </c>
      <c r="F169" s="766"/>
      <c r="G169" s="766" t="s">
        <v>601</v>
      </c>
      <c r="H169" s="766"/>
      <c r="I169" s="766" t="s">
        <v>602</v>
      </c>
      <c r="J169" s="766"/>
      <c r="K169" s="766" t="s">
        <v>603</v>
      </c>
      <c r="L169" s="766"/>
    </row>
    <row r="170" spans="1:12" ht="25.5" x14ac:dyDescent="0.2">
      <c r="A170" s="561" t="s">
        <v>604</v>
      </c>
      <c r="B170" s="562" t="s">
        <v>615</v>
      </c>
      <c r="C170" s="562" t="s">
        <v>606</v>
      </c>
      <c r="D170" s="562" t="s">
        <v>607</v>
      </c>
      <c r="E170" s="562" t="s">
        <v>606</v>
      </c>
      <c r="F170" s="562" t="s">
        <v>607</v>
      </c>
      <c r="G170" s="562" t="s">
        <v>606</v>
      </c>
      <c r="H170" s="562" t="s">
        <v>607</v>
      </c>
      <c r="I170" s="562" t="s">
        <v>606</v>
      </c>
      <c r="J170" s="562" t="s">
        <v>607</v>
      </c>
      <c r="K170" s="562" t="s">
        <v>606</v>
      </c>
      <c r="L170" s="562" t="s">
        <v>607</v>
      </c>
    </row>
    <row r="171" spans="1:12" x14ac:dyDescent="0.2">
      <c r="A171" s="563" t="s">
        <v>608</v>
      </c>
      <c r="B171" s="577">
        <f>1/'Prod. GEXPSF'!H18</f>
        <v>5.0000000000000001E-3</v>
      </c>
      <c r="C171" s="573">
        <f>C134</f>
        <v>4978.6285994713426</v>
      </c>
      <c r="D171" s="565">
        <f>B171*C171</f>
        <v>24.893142997356712</v>
      </c>
      <c r="E171" s="573">
        <f>C135</f>
        <v>5006.8361269471006</v>
      </c>
      <c r="F171" s="565">
        <f>B171*E171</f>
        <v>25.034180634735502</v>
      </c>
      <c r="G171" s="573">
        <f>C136</f>
        <v>5035.3651077274262</v>
      </c>
      <c r="H171" s="565">
        <f>B171*G171</f>
        <v>25.176825538637132</v>
      </c>
      <c r="I171" s="573">
        <f>C137</f>
        <v>5093.4096622833622</v>
      </c>
      <c r="J171" s="565">
        <f>B171*I171</f>
        <v>25.467048311416811</v>
      </c>
      <c r="K171" s="573">
        <f>C138</f>
        <v>5152.8080256919147</v>
      </c>
      <c r="L171" s="565">
        <f>B171*K171</f>
        <v>25.764040128459573</v>
      </c>
    </row>
    <row r="172" spans="1:12" x14ac:dyDescent="0.2">
      <c r="A172" s="566" t="s">
        <v>609</v>
      </c>
      <c r="B172" s="564">
        <f>B171/'Prod. GEXPSF'!Q18</f>
        <v>2.2727272727272727E-4</v>
      </c>
      <c r="C172" s="565">
        <f>I134</f>
        <v>4327.6053580492817</v>
      </c>
      <c r="D172" s="565">
        <f>C172*B172</f>
        <v>0.98354667228392767</v>
      </c>
      <c r="E172" s="565">
        <f>C172</f>
        <v>4327.6053580492817</v>
      </c>
      <c r="F172" s="565">
        <f>B172*E172</f>
        <v>0.98354667228392767</v>
      </c>
      <c r="G172" s="565">
        <f>C172</f>
        <v>4327.6053580492817</v>
      </c>
      <c r="H172" s="565">
        <f>B172*G172</f>
        <v>0.98354667228392767</v>
      </c>
      <c r="I172" s="565">
        <f>C172</f>
        <v>4327.6053580492817</v>
      </c>
      <c r="J172" s="565">
        <f>B172*I172</f>
        <v>0.98354667228392767</v>
      </c>
      <c r="K172" s="565">
        <f>C172</f>
        <v>4327.6053580492817</v>
      </c>
      <c r="L172" s="565">
        <f>B172*K172</f>
        <v>0.98354667228392767</v>
      </c>
    </row>
    <row r="173" spans="1:12" x14ac:dyDescent="0.2">
      <c r="A173" s="568" t="s">
        <v>616</v>
      </c>
      <c r="B173" s="569"/>
      <c r="C173" s="570"/>
      <c r="D173" s="570">
        <f>SUM(D171:D172)</f>
        <v>25.876689669640641</v>
      </c>
      <c r="E173" s="570"/>
      <c r="F173" s="570">
        <f>SUM(F171:F172)</f>
        <v>26.017727307019431</v>
      </c>
      <c r="G173" s="570"/>
      <c r="H173" s="570">
        <f>SUM(H171:H172)</f>
        <v>26.160372210921061</v>
      </c>
      <c r="I173" s="570"/>
      <c r="J173" s="570">
        <f>SUM(J171:J172)</f>
        <v>26.450594983700739</v>
      </c>
      <c r="K173" s="570"/>
      <c r="L173" s="570">
        <f>SUM(L171:L172)</f>
        <v>26.747586800743502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68" t="s">
        <v>619</v>
      </c>
      <c r="B175" s="768"/>
      <c r="C175" s="768" t="s">
        <v>599</v>
      </c>
      <c r="D175" s="768"/>
      <c r="E175" s="768" t="s">
        <v>600</v>
      </c>
      <c r="F175" s="768"/>
      <c r="G175" s="768" t="s">
        <v>601</v>
      </c>
      <c r="H175" s="768"/>
      <c r="I175" s="768" t="s">
        <v>602</v>
      </c>
      <c r="J175" s="768"/>
      <c r="K175" s="768" t="s">
        <v>603</v>
      </c>
      <c r="L175" s="768"/>
    </row>
    <row r="176" spans="1:12" ht="25.5" x14ac:dyDescent="0.2">
      <c r="A176" s="561" t="s">
        <v>604</v>
      </c>
      <c r="B176" s="562" t="s">
        <v>615</v>
      </c>
      <c r="C176" s="562" t="s">
        <v>606</v>
      </c>
      <c r="D176" s="562" t="s">
        <v>607</v>
      </c>
      <c r="E176" s="562" t="s">
        <v>606</v>
      </c>
      <c r="F176" s="562" t="s">
        <v>607</v>
      </c>
      <c r="G176" s="562" t="s">
        <v>606</v>
      </c>
      <c r="H176" s="562" t="s">
        <v>607</v>
      </c>
      <c r="I176" s="562" t="s">
        <v>606</v>
      </c>
      <c r="J176" s="562" t="s">
        <v>607</v>
      </c>
      <c r="K176" s="562" t="s">
        <v>606</v>
      </c>
      <c r="L176" s="562" t="s">
        <v>607</v>
      </c>
    </row>
    <row r="177" spans="1:14" x14ac:dyDescent="0.2">
      <c r="A177" s="563" t="s">
        <v>620</v>
      </c>
      <c r="B177" s="577">
        <f>1/'Prod. GEXPSF'!I18</f>
        <v>4.1666666666666669E-4</v>
      </c>
      <c r="C177" s="565">
        <f>D134</f>
        <v>4457.3558866807407</v>
      </c>
      <c r="D177" s="565">
        <f>B177*C177</f>
        <v>1.8572316194503087</v>
      </c>
      <c r="E177" s="565">
        <f>D135</f>
        <v>4482.6100276817642</v>
      </c>
      <c r="F177" s="565">
        <f>B177*E177</f>
        <v>1.8677541782007352</v>
      </c>
      <c r="G177" s="565">
        <f>D136</f>
        <v>4508.1519651614326</v>
      </c>
      <c r="H177" s="565">
        <f>B177*G177</f>
        <v>1.878396652150597</v>
      </c>
      <c r="I177" s="565">
        <f>D137</f>
        <v>4560.1191347886543</v>
      </c>
      <c r="J177" s="565">
        <f>B177*I177</f>
        <v>1.9000496394952728</v>
      </c>
      <c r="K177" s="565">
        <f>D138</f>
        <v>4613.2983666812333</v>
      </c>
      <c r="L177" s="565">
        <f>B177*K177</f>
        <v>1.9222076527838474</v>
      </c>
    </row>
    <row r="178" spans="1:14" x14ac:dyDescent="0.2">
      <c r="A178" s="566" t="s">
        <v>609</v>
      </c>
      <c r="B178" s="564">
        <f>B177/'Prod. GEXPSF'!Q18</f>
        <v>1.8939393939393939E-5</v>
      </c>
      <c r="C178" s="565">
        <f>I134</f>
        <v>4327.6053580492817</v>
      </c>
      <c r="D178" s="565">
        <f>B178*C178</f>
        <v>8.196222269032731E-2</v>
      </c>
      <c r="E178" s="565">
        <f>C178</f>
        <v>4327.6053580492817</v>
      </c>
      <c r="F178" s="565">
        <f>B178*E178</f>
        <v>8.196222269032731E-2</v>
      </c>
      <c r="G178" s="565">
        <f>C178</f>
        <v>4327.6053580492817</v>
      </c>
      <c r="H178" s="565">
        <f>B178*G178</f>
        <v>8.196222269032731E-2</v>
      </c>
      <c r="I178" s="565">
        <f>C178</f>
        <v>4327.6053580492817</v>
      </c>
      <c r="J178" s="565">
        <f>B178*I178</f>
        <v>8.196222269032731E-2</v>
      </c>
      <c r="K178" s="565">
        <f>C178</f>
        <v>4327.6053580492817</v>
      </c>
      <c r="L178" s="565">
        <f>B178*K178</f>
        <v>8.196222269032731E-2</v>
      </c>
      <c r="M178" s="767"/>
      <c r="N178" s="767"/>
    </row>
    <row r="179" spans="1:14" x14ac:dyDescent="0.2">
      <c r="A179" s="581" t="s">
        <v>621</v>
      </c>
      <c r="B179" s="582"/>
      <c r="C179" s="583"/>
      <c r="D179" s="584">
        <f>SUM(D177:D178)</f>
        <v>1.9391938421406361</v>
      </c>
      <c r="E179" s="583"/>
      <c r="F179" s="584">
        <f>SUM(F177:F178)</f>
        <v>1.9497164008910626</v>
      </c>
      <c r="G179" s="583"/>
      <c r="H179" s="584">
        <f>SUM(H177:H178)</f>
        <v>1.9603588748409244</v>
      </c>
      <c r="I179" s="583"/>
      <c r="J179" s="584">
        <f>SUM(J177:J178)</f>
        <v>1.9820118621856002</v>
      </c>
      <c r="K179" s="583"/>
      <c r="L179" s="584">
        <f>SUM(L177:L178)</f>
        <v>2.0041698754741746</v>
      </c>
      <c r="M179" s="571"/>
      <c r="N179" s="572"/>
    </row>
    <row r="180" spans="1:14" x14ac:dyDescent="0.2">
      <c r="A180" s="563" t="s">
        <v>622</v>
      </c>
      <c r="B180" s="577">
        <f>1/'Prod. GEXPSF'!J18</f>
        <v>1.0000000000000001E-5</v>
      </c>
      <c r="C180" s="565">
        <f>D134</f>
        <v>4457.3558866807407</v>
      </c>
      <c r="D180" s="565">
        <f>B180*C180</f>
        <v>4.457355886680741E-2</v>
      </c>
      <c r="E180" s="565">
        <f>D135</f>
        <v>4482.6100276817642</v>
      </c>
      <c r="F180" s="565">
        <f>B180*E180</f>
        <v>4.4826100276817646E-2</v>
      </c>
      <c r="G180" s="565">
        <f>D136</f>
        <v>4508.1519651614326</v>
      </c>
      <c r="H180" s="565">
        <f>B180*G180</f>
        <v>4.5081519651614332E-2</v>
      </c>
      <c r="I180" s="565">
        <f>D137</f>
        <v>4560.1191347886543</v>
      </c>
      <c r="J180" s="565">
        <f>B180*I180</f>
        <v>4.5601191347886545E-2</v>
      </c>
      <c r="K180" s="565">
        <f>D138</f>
        <v>4613.2983666812333</v>
      </c>
      <c r="L180" s="565">
        <f>B180*K180</f>
        <v>4.6132983666812337E-2</v>
      </c>
    </row>
    <row r="181" spans="1:14" x14ac:dyDescent="0.2">
      <c r="A181" s="566" t="s">
        <v>609</v>
      </c>
      <c r="B181" s="564">
        <f>B180/'Prod. GEXPSF'!Q18</f>
        <v>4.5454545454545457E-7</v>
      </c>
      <c r="C181" s="565">
        <f>I134</f>
        <v>4327.6053580492817</v>
      </c>
      <c r="D181" s="565">
        <f>B181*C181</f>
        <v>1.9670933445678556E-3</v>
      </c>
      <c r="E181" s="565">
        <f>C181</f>
        <v>4327.6053580492817</v>
      </c>
      <c r="F181" s="565">
        <f>B181*E181</f>
        <v>1.9670933445678556E-3</v>
      </c>
      <c r="G181" s="565">
        <f>C181</f>
        <v>4327.6053580492817</v>
      </c>
      <c r="H181" s="565">
        <f>B181*G181</f>
        <v>1.9670933445678556E-3</v>
      </c>
      <c r="I181" s="565">
        <f>C181</f>
        <v>4327.6053580492817</v>
      </c>
      <c r="J181" s="565">
        <f>B181*I181</f>
        <v>1.9670933445678556E-3</v>
      </c>
      <c r="K181" s="565">
        <f>C181</f>
        <v>4327.6053580492817</v>
      </c>
      <c r="L181" s="565">
        <f>B181*K181</f>
        <v>1.9670933445678556E-3</v>
      </c>
    </row>
    <row r="182" spans="1:14" x14ac:dyDescent="0.2">
      <c r="A182" s="581" t="s">
        <v>623</v>
      </c>
      <c r="B182" s="585"/>
      <c r="C182" s="583"/>
      <c r="D182" s="584">
        <f>SUM(D180:D181)</f>
        <v>4.6540652211375266E-2</v>
      </c>
      <c r="E182" s="583"/>
      <c r="F182" s="584">
        <f>SUM(F180:F181)</f>
        <v>4.6793193621385502E-2</v>
      </c>
      <c r="G182" s="583"/>
      <c r="H182" s="584">
        <f>SUM(H180:H181)</f>
        <v>4.7048612996182189E-2</v>
      </c>
      <c r="I182" s="583"/>
      <c r="J182" s="584">
        <f>SUM(J180:J181)</f>
        <v>4.7568284692454402E-2</v>
      </c>
      <c r="K182" s="583"/>
      <c r="L182" s="584">
        <f>SUM(L180:L181)</f>
        <v>4.8100077011380193E-2</v>
      </c>
    </row>
    <row r="183" spans="1:14" x14ac:dyDescent="0.2">
      <c r="A183" s="563" t="s">
        <v>624</v>
      </c>
      <c r="B183" s="577">
        <f>1/'Prod. GEXPSF'!K18</f>
        <v>1.1111111111111112E-4</v>
      </c>
      <c r="C183" s="565">
        <f>D134</f>
        <v>4457.3558866807407</v>
      </c>
      <c r="D183" s="565">
        <f>B183*C183</f>
        <v>0.49526176518674897</v>
      </c>
      <c r="E183" s="565">
        <f>D135</f>
        <v>4482.6100276817642</v>
      </c>
      <c r="F183" s="565">
        <f>B183*E183</f>
        <v>0.49806778085352937</v>
      </c>
      <c r="G183" s="565">
        <f>D136</f>
        <v>4508.1519651614326</v>
      </c>
      <c r="H183" s="565">
        <f>B183*G183</f>
        <v>0.50090577390682589</v>
      </c>
      <c r="I183" s="565">
        <f>D137</f>
        <v>4560.1191347886543</v>
      </c>
      <c r="J183" s="565">
        <f>B183*I183</f>
        <v>0.50667990386540607</v>
      </c>
      <c r="K183" s="565">
        <f>D138</f>
        <v>4613.2983666812333</v>
      </c>
      <c r="L183" s="565">
        <f>B183*K183</f>
        <v>0.51258870740902596</v>
      </c>
    </row>
    <row r="184" spans="1:14" x14ac:dyDescent="0.2">
      <c r="A184" s="566" t="s">
        <v>609</v>
      </c>
      <c r="B184" s="564">
        <f>B183/'Prod. GEXPSF'!Q18</f>
        <v>5.0505050505050507E-6</v>
      </c>
      <c r="C184" s="565">
        <f>I134</f>
        <v>4327.6053580492817</v>
      </c>
      <c r="D184" s="565">
        <f>B184*C184</f>
        <v>2.1856592717420614E-2</v>
      </c>
      <c r="E184" s="565">
        <f>C184</f>
        <v>4327.6053580492817</v>
      </c>
      <c r="F184" s="565">
        <f>B184*E184</f>
        <v>2.1856592717420614E-2</v>
      </c>
      <c r="G184" s="565">
        <f>C184</f>
        <v>4327.6053580492817</v>
      </c>
      <c r="H184" s="565">
        <f>B184*G184</f>
        <v>2.1856592717420614E-2</v>
      </c>
      <c r="I184" s="565">
        <f>C184</f>
        <v>4327.6053580492817</v>
      </c>
      <c r="J184" s="565">
        <f>B184*I184</f>
        <v>2.1856592717420614E-2</v>
      </c>
      <c r="K184" s="565">
        <f>C184</f>
        <v>4327.6053580492817</v>
      </c>
      <c r="L184" s="565">
        <f>B184*K184</f>
        <v>2.1856592717420614E-2</v>
      </c>
    </row>
    <row r="185" spans="1:14" x14ac:dyDescent="0.2">
      <c r="A185" s="581" t="s">
        <v>625</v>
      </c>
      <c r="B185" s="585"/>
      <c r="C185" s="583"/>
      <c r="D185" s="584">
        <f>SUM(D183:D184)</f>
        <v>0.5171183579041696</v>
      </c>
      <c r="E185" s="583"/>
      <c r="F185" s="584">
        <f>SUM(F183:F184)</f>
        <v>0.51992437357095</v>
      </c>
      <c r="G185" s="583"/>
      <c r="H185" s="584">
        <f>SUM(H183:H184)</f>
        <v>0.52276236662424647</v>
      </c>
      <c r="I185" s="583"/>
      <c r="J185" s="584">
        <f>SUM(J183:J184)</f>
        <v>0.52853649658282664</v>
      </c>
      <c r="K185" s="583"/>
      <c r="L185" s="584">
        <f>SUM(L183:L184)</f>
        <v>0.53444530012644653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69" t="s">
        <v>626</v>
      </c>
      <c r="B187" s="769"/>
      <c r="C187" s="769" t="s">
        <v>599</v>
      </c>
      <c r="D187" s="769"/>
      <c r="E187" s="769" t="s">
        <v>600</v>
      </c>
      <c r="F187" s="769"/>
      <c r="G187" s="769" t="s">
        <v>601</v>
      </c>
      <c r="H187" s="769"/>
      <c r="I187" s="769" t="s">
        <v>602</v>
      </c>
      <c r="J187" s="769"/>
      <c r="K187" s="769" t="s">
        <v>603</v>
      </c>
      <c r="L187" s="769"/>
    </row>
    <row r="188" spans="1:14" ht="25.5" x14ac:dyDescent="0.2">
      <c r="A188" s="561" t="s">
        <v>604</v>
      </c>
      <c r="B188" s="562" t="s">
        <v>615</v>
      </c>
      <c r="C188" s="562" t="s">
        <v>606</v>
      </c>
      <c r="D188" s="562" t="s">
        <v>607</v>
      </c>
      <c r="E188" s="562" t="s">
        <v>606</v>
      </c>
      <c r="F188" s="562" t="s">
        <v>607</v>
      </c>
      <c r="G188" s="562" t="s">
        <v>606</v>
      </c>
      <c r="H188" s="562" t="s">
        <v>607</v>
      </c>
      <c r="I188" s="562" t="s">
        <v>606</v>
      </c>
      <c r="J188" s="562" t="s">
        <v>607</v>
      </c>
      <c r="K188" s="562" t="s">
        <v>606</v>
      </c>
      <c r="L188" s="562" t="s">
        <v>607</v>
      </c>
    </row>
    <row r="189" spans="1:14" x14ac:dyDescent="0.2">
      <c r="A189" s="586" t="s">
        <v>627</v>
      </c>
      <c r="B189" s="577">
        <f>(1/'Prod. GEXPSF'!L18)*(1/(30/7*44*6))*8</f>
        <v>4.4191919191919199E-5</v>
      </c>
      <c r="C189" s="587">
        <f>H134</f>
        <v>4741.403976139366</v>
      </c>
      <c r="D189" s="565">
        <f>B189*C189</f>
        <v>0.20953174136979524</v>
      </c>
      <c r="E189" s="587">
        <f>H135</f>
        <v>4768.2674547577199</v>
      </c>
      <c r="F189" s="565">
        <f>B189*E189</f>
        <v>0.21071889004611138</v>
      </c>
      <c r="G189" s="587">
        <f>H136</f>
        <v>4795.4370698845441</v>
      </c>
      <c r="H189" s="565">
        <f>B189*G189</f>
        <v>0.21191956748227156</v>
      </c>
      <c r="I189" s="587">
        <f>H137</f>
        <v>4850.7158833702451</v>
      </c>
      <c r="J189" s="565">
        <f>B189*I189</f>
        <v>0.21436244434085683</v>
      </c>
      <c r="K189" s="587">
        <f>H138</f>
        <v>4907.283998628207</v>
      </c>
      <c r="L189" s="565">
        <f>B189*K189</f>
        <v>0.21686229791917586</v>
      </c>
    </row>
    <row r="190" spans="1:14" x14ac:dyDescent="0.2">
      <c r="A190" s="566" t="s">
        <v>609</v>
      </c>
      <c r="B190" s="577">
        <f>B189/4</f>
        <v>1.10479797979798E-5</v>
      </c>
      <c r="C190" s="565">
        <f>I134</f>
        <v>4327.6053580492817</v>
      </c>
      <c r="D190" s="565">
        <f>B190*C190</f>
        <v>4.7811296569357599E-2</v>
      </c>
      <c r="E190" s="565">
        <f>C190</f>
        <v>4327.6053580492817</v>
      </c>
      <c r="F190" s="565">
        <f>B190*E190</f>
        <v>4.7811296569357599E-2</v>
      </c>
      <c r="G190" s="565">
        <f>C190</f>
        <v>4327.6053580492817</v>
      </c>
      <c r="H190" s="565">
        <f>B190*G190</f>
        <v>4.7811296569357599E-2</v>
      </c>
      <c r="I190" s="565">
        <f>C190</f>
        <v>4327.6053580492817</v>
      </c>
      <c r="J190" s="565">
        <f>B190*I190</f>
        <v>4.7811296569357599E-2</v>
      </c>
      <c r="K190" s="565">
        <f>C190</f>
        <v>4327.6053580492817</v>
      </c>
      <c r="L190" s="565">
        <f>B190*K190</f>
        <v>4.7811296569357599E-2</v>
      </c>
      <c r="M190" s="767"/>
      <c r="N190" s="767"/>
    </row>
    <row r="191" spans="1:14" x14ac:dyDescent="0.2">
      <c r="A191" s="588" t="s">
        <v>628</v>
      </c>
      <c r="B191" s="589"/>
      <c r="C191" s="590"/>
      <c r="D191" s="591">
        <f>SUM(D189:D190)</f>
        <v>0.25734303793915286</v>
      </c>
      <c r="E191" s="590"/>
      <c r="F191" s="591">
        <f>SUM(F189:F190)</f>
        <v>0.258530186615469</v>
      </c>
      <c r="G191" s="590"/>
      <c r="H191" s="591">
        <f>SUM(H189:H190)</f>
        <v>0.25973086405162915</v>
      </c>
      <c r="I191" s="590"/>
      <c r="J191" s="591">
        <f>SUM(J189:J190)</f>
        <v>0.26217374091021445</v>
      </c>
      <c r="K191" s="590"/>
      <c r="L191" s="591">
        <f>SUM(L189:L190)</f>
        <v>0.26467359448853345</v>
      </c>
      <c r="M191" s="571"/>
      <c r="N191" s="572"/>
    </row>
    <row r="192" spans="1:14" x14ac:dyDescent="0.2">
      <c r="A192" s="586" t="s">
        <v>629</v>
      </c>
      <c r="B192" s="577">
        <f>1/'Prod. GEXPSF'!M18*16*(1/188.76)</f>
        <v>2.2306242401936183E-4</v>
      </c>
      <c r="C192" s="565">
        <f>D134</f>
        <v>4457.3558866807407</v>
      </c>
      <c r="D192" s="565">
        <f>B192*C192</f>
        <v>0.99426860879997792</v>
      </c>
      <c r="E192" s="565">
        <f>D135</f>
        <v>4482.6100276817642</v>
      </c>
      <c r="F192" s="565">
        <f>B192*E192</f>
        <v>0.99990185870819293</v>
      </c>
      <c r="G192" s="565">
        <f>D136</f>
        <v>4508.1519651614326</v>
      </c>
      <c r="H192" s="565">
        <f>B192*G192</f>
        <v>1.0055993051965588</v>
      </c>
      <c r="I192" s="565">
        <f>D137</f>
        <v>4560.1191347886543</v>
      </c>
      <c r="J192" s="565">
        <f>B192*I192</f>
        <v>1.0171912280230322</v>
      </c>
      <c r="K192" s="565">
        <f>D138</f>
        <v>4613.2983666812333</v>
      </c>
      <c r="L192" s="565">
        <f>B192*K192</f>
        <v>1.0290535163964787</v>
      </c>
    </row>
    <row r="193" spans="1:14" x14ac:dyDescent="0.2">
      <c r="A193" s="566" t="s">
        <v>609</v>
      </c>
      <c r="B193" s="577">
        <f>1/('Prod. GEXPSF'!Q18*'Prod. GEXPSF'!M18)*16*(1/188.76)</f>
        <v>1.0139201091789175E-5</v>
      </c>
      <c r="C193" s="565">
        <f>I134</f>
        <v>4327.6053580492817</v>
      </c>
      <c r="D193" s="565">
        <f>B193*C193</f>
        <v>4.3878460971165961E-2</v>
      </c>
      <c r="E193" s="565">
        <f>C193</f>
        <v>4327.6053580492817</v>
      </c>
      <c r="F193" s="565">
        <f>B193*E193</f>
        <v>4.3878460971165961E-2</v>
      </c>
      <c r="G193" s="565">
        <f>C193</f>
        <v>4327.6053580492817</v>
      </c>
      <c r="H193" s="565">
        <f>B193*G193</f>
        <v>4.3878460971165961E-2</v>
      </c>
      <c r="I193" s="565">
        <f>C193</f>
        <v>4327.6053580492817</v>
      </c>
      <c r="J193" s="565">
        <f>B193*I193</f>
        <v>4.3878460971165961E-2</v>
      </c>
      <c r="K193" s="565">
        <f>C193</f>
        <v>4327.6053580492817</v>
      </c>
      <c r="L193" s="565">
        <f>B193*K193</f>
        <v>4.3878460971165961E-2</v>
      </c>
      <c r="M193" s="767"/>
      <c r="N193" s="767"/>
    </row>
    <row r="194" spans="1:14" x14ac:dyDescent="0.2">
      <c r="A194" s="588" t="s">
        <v>630</v>
      </c>
      <c r="B194" s="589"/>
      <c r="C194" s="590"/>
      <c r="D194" s="591">
        <f>SUM(D192:D193)</f>
        <v>1.0381470697711439</v>
      </c>
      <c r="E194" s="590"/>
      <c r="F194" s="591">
        <f>SUM(F192:F193)</f>
        <v>1.0437803196793589</v>
      </c>
      <c r="G194" s="590"/>
      <c r="H194" s="591">
        <f>SUM(H192:H193)</f>
        <v>1.0494777661677248</v>
      </c>
      <c r="I194" s="590"/>
      <c r="J194" s="591">
        <f>SUM(J192:J193)</f>
        <v>1.0610696889941982</v>
      </c>
      <c r="K194" s="590"/>
      <c r="L194" s="591">
        <f>SUM(L192:L193)</f>
        <v>1.0729319773676447</v>
      </c>
      <c r="M194" s="571"/>
      <c r="N194" s="572"/>
    </row>
    <row r="195" spans="1:14" x14ac:dyDescent="0.2">
      <c r="A195" s="563" t="s">
        <v>631</v>
      </c>
      <c r="B195" s="577">
        <f>1/'Prod. GEXPSF'!N18*16*(1/188.76)</f>
        <v>2.2306242401936183E-4</v>
      </c>
      <c r="C195" s="565">
        <f>D134</f>
        <v>4457.3558866807407</v>
      </c>
      <c r="D195" s="565">
        <f>B195*C195</f>
        <v>0.99426860879997792</v>
      </c>
      <c r="E195" s="565">
        <f>D135</f>
        <v>4482.6100276817642</v>
      </c>
      <c r="F195" s="565">
        <f>B195*E195</f>
        <v>0.99990185870819293</v>
      </c>
      <c r="G195" s="565">
        <f>D136</f>
        <v>4508.1519651614326</v>
      </c>
      <c r="H195" s="565">
        <f>B195*G195</f>
        <v>1.0055993051965588</v>
      </c>
      <c r="I195" s="565">
        <f>D137</f>
        <v>4560.1191347886543</v>
      </c>
      <c r="J195" s="565">
        <f>B195*I195</f>
        <v>1.0171912280230322</v>
      </c>
      <c r="K195" s="565">
        <f>D138</f>
        <v>4613.2983666812333</v>
      </c>
      <c r="L195" s="565">
        <f>B195*K195</f>
        <v>1.0290535163964787</v>
      </c>
    </row>
    <row r="196" spans="1:14" x14ac:dyDescent="0.2">
      <c r="A196" s="566" t="s">
        <v>609</v>
      </c>
      <c r="B196" s="577">
        <f>1/('Prod. GEXPSF'!Q18*'Prod. GEXPSF'!N18)*16*(1/188.76)</f>
        <v>1.0139201091789175E-5</v>
      </c>
      <c r="C196" s="565">
        <f>I134</f>
        <v>4327.6053580492817</v>
      </c>
      <c r="D196" s="565">
        <f>B196*C196</f>
        <v>4.3878460971165961E-2</v>
      </c>
      <c r="E196" s="565">
        <f>C196</f>
        <v>4327.6053580492817</v>
      </c>
      <c r="F196" s="565">
        <f>B196*E196</f>
        <v>4.3878460971165961E-2</v>
      </c>
      <c r="G196" s="565">
        <f>C196</f>
        <v>4327.6053580492817</v>
      </c>
      <c r="H196" s="565">
        <f>B196*G196</f>
        <v>4.3878460971165961E-2</v>
      </c>
      <c r="I196" s="565">
        <f>C196</f>
        <v>4327.6053580492817</v>
      </c>
      <c r="J196" s="565">
        <f>B196*I196</f>
        <v>4.3878460971165961E-2</v>
      </c>
      <c r="K196" s="565">
        <f>C196</f>
        <v>4327.6053580492817</v>
      </c>
      <c r="L196" s="565">
        <f>B196*K196</f>
        <v>4.3878460971165961E-2</v>
      </c>
      <c r="M196" s="767"/>
      <c r="N196" s="767"/>
    </row>
    <row r="197" spans="1:14" x14ac:dyDescent="0.2">
      <c r="A197" s="588" t="s">
        <v>632</v>
      </c>
      <c r="B197" s="589"/>
      <c r="C197" s="590"/>
      <c r="D197" s="591">
        <f>SUM(D195:D196)</f>
        <v>1.0381470697711439</v>
      </c>
      <c r="E197" s="590"/>
      <c r="F197" s="591">
        <f>SUM(F195:F196)</f>
        <v>1.0437803196793589</v>
      </c>
      <c r="G197" s="590"/>
      <c r="H197" s="591">
        <f>SUM(H195:H196)</f>
        <v>1.0494777661677248</v>
      </c>
      <c r="I197" s="590"/>
      <c r="J197" s="591">
        <f>SUM(J195:J196)</f>
        <v>1.0610696889941982</v>
      </c>
      <c r="K197" s="590"/>
      <c r="L197" s="591">
        <f>SUM(L195:L196)</f>
        <v>1.0729319773676447</v>
      </c>
      <c r="M197" s="571"/>
      <c r="N197" s="572"/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hyperlinks>
    <hyperlink ref="O148" r:id="rId1"/>
    <hyperlink ref="O154" r:id="rId2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AMF139"/>
  <sheetViews>
    <sheetView zoomScale="75" zoomScaleNormal="75" workbookViewId="0">
      <pane ySplit="10" topLeftCell="A11" activePane="bottomLeft" state="frozen"/>
      <selection pane="bottomLeft" activeCell="E15" sqref="E15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44" t="s">
        <v>480</v>
      </c>
      <c r="B1" s="744"/>
      <c r="C1" s="744"/>
      <c r="D1" s="744"/>
      <c r="E1" s="744"/>
    </row>
    <row r="2" spans="1:5" ht="15.75" x14ac:dyDescent="0.2">
      <c r="A2" s="745" t="s">
        <v>481</v>
      </c>
      <c r="B2" s="745"/>
      <c r="C2" s="745"/>
      <c r="D2" s="745"/>
      <c r="E2" s="745"/>
    </row>
    <row r="3" spans="1:5" ht="15.75" customHeight="1" x14ac:dyDescent="0.2">
      <c r="A3" s="745" t="s">
        <v>482</v>
      </c>
      <c r="B3" s="745"/>
      <c r="C3" s="745"/>
      <c r="D3" s="745"/>
      <c r="E3" s="745"/>
    </row>
    <row r="4" spans="1:5" ht="15.75" x14ac:dyDescent="0.2">
      <c r="A4" s="394"/>
      <c r="B4" s="395"/>
      <c r="C4" s="396" t="s">
        <v>483</v>
      </c>
      <c r="D4" s="399" t="s">
        <v>484</v>
      </c>
      <c r="E4" s="399" t="s">
        <v>485</v>
      </c>
    </row>
    <row r="5" spans="1:5" x14ac:dyDescent="0.2">
      <c r="A5" s="400"/>
      <c r="B5" s="401" t="s">
        <v>488</v>
      </c>
      <c r="C5" s="402">
        <f>MC!$I11</f>
        <v>1194.6272727272726</v>
      </c>
      <c r="D5" s="402">
        <f>MC!$J11</f>
        <v>895.97045454545446</v>
      </c>
      <c r="E5" s="404">
        <f>MC!$K11</f>
        <v>597.31363636363631</v>
      </c>
    </row>
    <row r="6" spans="1:5" x14ac:dyDescent="0.2">
      <c r="A6" s="400"/>
      <c r="B6" s="401" t="s">
        <v>489</v>
      </c>
      <c r="C6" s="405">
        <f>MC!$J8</f>
        <v>44593</v>
      </c>
      <c r="D6" s="405">
        <f>MC!$J8</f>
        <v>44593</v>
      </c>
      <c r="E6" s="407">
        <f>MC!$J8</f>
        <v>44593</v>
      </c>
    </row>
    <row r="7" spans="1:5" x14ac:dyDescent="0.2">
      <c r="A7" s="400"/>
      <c r="B7" s="401" t="s">
        <v>490</v>
      </c>
      <c r="C7" s="405" t="str">
        <f>MC!$H8</f>
        <v>RS000043/2022</v>
      </c>
      <c r="D7" s="405" t="str">
        <f>MC!$H8</f>
        <v>RS000043/2022</v>
      </c>
      <c r="E7" s="407" t="str">
        <f>MC!$H8</f>
        <v>RS000043/2022</v>
      </c>
    </row>
    <row r="8" spans="1:5" x14ac:dyDescent="0.2">
      <c r="A8" s="400"/>
      <c r="B8" s="401" t="s">
        <v>491</v>
      </c>
      <c r="C8" s="408" t="str">
        <f>MC!$K8</f>
        <v>5143-20</v>
      </c>
      <c r="D8" s="408" t="str">
        <f>MC!$K8</f>
        <v>5143-20</v>
      </c>
      <c r="E8" s="410" t="str">
        <f>MC!$K8</f>
        <v>5143-20</v>
      </c>
    </row>
    <row r="9" spans="1:5" x14ac:dyDescent="0.2">
      <c r="A9" s="752"/>
      <c r="B9" s="752"/>
      <c r="C9" s="752"/>
      <c r="D9" s="752"/>
      <c r="E9" s="752"/>
    </row>
    <row r="10" spans="1:5" ht="66.75" customHeight="1" x14ac:dyDescent="0.2">
      <c r="A10" s="411" t="s">
        <v>492</v>
      </c>
      <c r="B10" s="412" t="s">
        <v>493</v>
      </c>
      <c r="C10" s="412" t="s">
        <v>633</v>
      </c>
      <c r="D10" s="592" t="s">
        <v>634</v>
      </c>
      <c r="E10" s="593" t="s">
        <v>635</v>
      </c>
    </row>
    <row r="11" spans="1:5" ht="14.25" customHeight="1" x14ac:dyDescent="0.2">
      <c r="A11" s="753" t="s">
        <v>501</v>
      </c>
      <c r="B11" s="753"/>
      <c r="C11" s="753"/>
      <c r="D11" s="753"/>
      <c r="E11" s="753"/>
    </row>
    <row r="12" spans="1:5" ht="14.25" customHeight="1" x14ac:dyDescent="0.2">
      <c r="A12" s="415" t="s">
        <v>502</v>
      </c>
      <c r="B12" s="416" t="s">
        <v>503</v>
      </c>
      <c r="C12" s="416" t="s">
        <v>504</v>
      </c>
      <c r="D12" s="594" t="s">
        <v>504</v>
      </c>
      <c r="E12" s="595" t="s">
        <v>504</v>
      </c>
    </row>
    <row r="13" spans="1:5" ht="14.25" customHeight="1" x14ac:dyDescent="0.2">
      <c r="A13" s="418" t="s">
        <v>505</v>
      </c>
      <c r="B13" s="419"/>
      <c r="C13" s="420">
        <f>C5</f>
        <v>1194.6272727272726</v>
      </c>
      <c r="D13" s="420">
        <f>D5</f>
        <v>895.97045454545446</v>
      </c>
      <c r="E13" s="422">
        <f>E5</f>
        <v>597.31363636363631</v>
      </c>
    </row>
    <row r="14" spans="1:5" ht="14.25" customHeight="1" x14ac:dyDescent="0.2">
      <c r="A14" s="418" t="s">
        <v>506</v>
      </c>
      <c r="B14" s="442">
        <v>0.2</v>
      </c>
      <c r="C14" s="420">
        <f>C13*$B$14</f>
        <v>238.92545454545453</v>
      </c>
      <c r="D14" s="596">
        <f>D13*$B$14</f>
        <v>179.1940909090909</v>
      </c>
      <c r="E14" s="597">
        <f>B14*E13</f>
        <v>119.46272727272726</v>
      </c>
    </row>
    <row r="15" spans="1:5" ht="14.25" customHeight="1" x14ac:dyDescent="0.2">
      <c r="A15" s="418" t="s">
        <v>508</v>
      </c>
      <c r="B15" s="426"/>
      <c r="C15" s="420"/>
      <c r="D15" s="596"/>
      <c r="E15" s="597"/>
    </row>
    <row r="16" spans="1:5" ht="14.25" customHeight="1" x14ac:dyDescent="0.2">
      <c r="A16" s="418" t="s">
        <v>509</v>
      </c>
      <c r="B16" s="426"/>
      <c r="C16" s="420"/>
      <c r="D16" s="596"/>
      <c r="E16" s="597"/>
    </row>
    <row r="17" spans="1:5" ht="14.25" customHeight="1" x14ac:dyDescent="0.2">
      <c r="A17" s="418" t="s">
        <v>510</v>
      </c>
      <c r="B17" s="426"/>
      <c r="C17" s="420"/>
      <c r="D17" s="596"/>
      <c r="E17" s="597"/>
    </row>
    <row r="18" spans="1:5" ht="14.25" customHeight="1" x14ac:dyDescent="0.2">
      <c r="A18" s="418" t="s">
        <v>511</v>
      </c>
      <c r="B18" s="428"/>
      <c r="C18" s="420"/>
      <c r="D18" s="596"/>
      <c r="E18" s="597"/>
    </row>
    <row r="19" spans="1:5" ht="14.25" customHeight="1" x14ac:dyDescent="0.2">
      <c r="A19" s="429" t="s">
        <v>512</v>
      </c>
      <c r="B19" s="430"/>
      <c r="C19" s="444">
        <f>SUM(C13:C18)</f>
        <v>1433.5527272727272</v>
      </c>
      <c r="D19" s="598">
        <f>SUM(D13:D18)</f>
        <v>1075.1645454545453</v>
      </c>
      <c r="E19" s="599">
        <f>SUM(E13:E18)</f>
        <v>716.77636363636361</v>
      </c>
    </row>
    <row r="20" spans="1:5" ht="14.25" customHeight="1" x14ac:dyDescent="0.2">
      <c r="A20" s="754"/>
      <c r="B20" s="754"/>
      <c r="C20" s="754"/>
      <c r="D20" s="754"/>
      <c r="E20" s="754"/>
    </row>
    <row r="21" spans="1:5" ht="14.25" customHeight="1" x14ac:dyDescent="0.2">
      <c r="A21" s="770" t="s">
        <v>513</v>
      </c>
      <c r="B21" s="770"/>
      <c r="C21" s="770"/>
      <c r="D21" s="770"/>
      <c r="E21" s="770"/>
    </row>
    <row r="22" spans="1:5" ht="14.25" customHeight="1" x14ac:dyDescent="0.2">
      <c r="A22" s="438" t="s">
        <v>514</v>
      </c>
      <c r="B22" s="439" t="s">
        <v>503</v>
      </c>
      <c r="C22" s="439" t="s">
        <v>504</v>
      </c>
      <c r="D22" s="600" t="s">
        <v>504</v>
      </c>
      <c r="E22" s="601" t="s">
        <v>504</v>
      </c>
    </row>
    <row r="23" spans="1:5" ht="14.25" customHeight="1" x14ac:dyDescent="0.2">
      <c r="A23" s="441" t="s">
        <v>515</v>
      </c>
      <c r="B23" s="442">
        <f>1/12</f>
        <v>8.3333333333333329E-2</v>
      </c>
      <c r="C23" s="420">
        <f>ROUND($B23*C$19,2)</f>
        <v>119.46</v>
      </c>
      <c r="D23" s="596">
        <f>ROUND($B23*D$19,2)</f>
        <v>89.6</v>
      </c>
      <c r="E23" s="597">
        <f>ROUND($B23*E$19,2)</f>
        <v>59.73</v>
      </c>
    </row>
    <row r="24" spans="1:5" ht="14.25" customHeight="1" x14ac:dyDescent="0.2">
      <c r="A24" s="441" t="s">
        <v>516</v>
      </c>
      <c r="B24" s="442">
        <f>1/3*1/12</f>
        <v>2.7777777777777776E-2</v>
      </c>
      <c r="C24" s="420">
        <f>C$19*$B$24</f>
        <v>39.82090909090909</v>
      </c>
      <c r="D24" s="596">
        <f>D$19*$B$24</f>
        <v>29.865681818181812</v>
      </c>
      <c r="E24" s="597">
        <f>E$19*$B$24</f>
        <v>19.910454545454545</v>
      </c>
    </row>
    <row r="25" spans="1:5" ht="14.25" customHeight="1" x14ac:dyDescent="0.2">
      <c r="A25" s="429" t="s">
        <v>512</v>
      </c>
      <c r="B25" s="443">
        <f>SUM(B23:B24)</f>
        <v>0.1111111111111111</v>
      </c>
      <c r="C25" s="444">
        <f>SUM(C23:C24)</f>
        <v>159.28090909090909</v>
      </c>
      <c r="D25" s="598">
        <f>SUM(D23:D24)</f>
        <v>119.46568181818181</v>
      </c>
      <c r="E25" s="599">
        <f>SUM(E23:E24)</f>
        <v>79.640454545454546</v>
      </c>
    </row>
    <row r="26" spans="1:5" ht="14.25" customHeight="1" x14ac:dyDescent="0.2">
      <c r="A26" s="438" t="s">
        <v>517</v>
      </c>
      <c r="B26" s="439" t="s">
        <v>503</v>
      </c>
      <c r="C26" s="439" t="s">
        <v>504</v>
      </c>
      <c r="D26" s="600" t="s">
        <v>504</v>
      </c>
      <c r="E26" s="601" t="s">
        <v>504</v>
      </c>
    </row>
    <row r="27" spans="1:5" ht="14.25" customHeight="1" x14ac:dyDescent="0.2">
      <c r="A27" s="438" t="s">
        <v>518</v>
      </c>
      <c r="B27" s="446"/>
      <c r="C27" s="446"/>
      <c r="D27" s="602"/>
      <c r="E27" s="603"/>
    </row>
    <row r="28" spans="1:5" ht="14.25" customHeight="1" x14ac:dyDescent="0.2">
      <c r="A28" s="441" t="s">
        <v>519</v>
      </c>
      <c r="B28" s="442">
        <v>0.2</v>
      </c>
      <c r="C28" s="604">
        <f t="shared" ref="C28:E35" si="0">ROUND((C$19+C$25)*$B28,2)</f>
        <v>318.57</v>
      </c>
      <c r="D28" s="604">
        <f t="shared" si="0"/>
        <v>238.93</v>
      </c>
      <c r="E28" s="605">
        <f t="shared" si="0"/>
        <v>159.28</v>
      </c>
    </row>
    <row r="29" spans="1:5" ht="14.25" customHeight="1" x14ac:dyDescent="0.2">
      <c r="A29" s="441" t="s">
        <v>520</v>
      </c>
      <c r="B29" s="442">
        <v>2.5000000000000001E-2</v>
      </c>
      <c r="C29" s="604">
        <f t="shared" si="0"/>
        <v>39.82</v>
      </c>
      <c r="D29" s="604">
        <f t="shared" si="0"/>
        <v>29.87</v>
      </c>
      <c r="E29" s="605">
        <f t="shared" si="0"/>
        <v>19.91</v>
      </c>
    </row>
    <row r="30" spans="1:5" ht="14.25" customHeight="1" x14ac:dyDescent="0.2">
      <c r="A30" s="441" t="s">
        <v>521</v>
      </c>
      <c r="B30" s="442">
        <v>0.03</v>
      </c>
      <c r="C30" s="604">
        <f t="shared" si="0"/>
        <v>47.79</v>
      </c>
      <c r="D30" s="604">
        <f t="shared" si="0"/>
        <v>35.840000000000003</v>
      </c>
      <c r="E30" s="605">
        <f t="shared" si="0"/>
        <v>23.89</v>
      </c>
    </row>
    <row r="31" spans="1:5" ht="14.25" customHeight="1" x14ac:dyDescent="0.2">
      <c r="A31" s="441" t="s">
        <v>522</v>
      </c>
      <c r="B31" s="442">
        <v>1.4999999999999999E-2</v>
      </c>
      <c r="C31" s="604">
        <f t="shared" si="0"/>
        <v>23.89</v>
      </c>
      <c r="D31" s="604">
        <f t="shared" si="0"/>
        <v>17.920000000000002</v>
      </c>
      <c r="E31" s="605">
        <f t="shared" si="0"/>
        <v>11.95</v>
      </c>
    </row>
    <row r="32" spans="1:5" ht="14.25" customHeight="1" x14ac:dyDescent="0.2">
      <c r="A32" s="441" t="s">
        <v>523</v>
      </c>
      <c r="B32" s="442">
        <v>0.01</v>
      </c>
      <c r="C32" s="604">
        <f t="shared" si="0"/>
        <v>15.93</v>
      </c>
      <c r="D32" s="604">
        <f t="shared" si="0"/>
        <v>11.95</v>
      </c>
      <c r="E32" s="605">
        <f t="shared" si="0"/>
        <v>7.96</v>
      </c>
    </row>
    <row r="33" spans="1:5" ht="14.25" customHeight="1" x14ac:dyDescent="0.2">
      <c r="A33" s="441" t="s">
        <v>524</v>
      </c>
      <c r="B33" s="442">
        <v>6.0000000000000001E-3</v>
      </c>
      <c r="C33" s="604">
        <f t="shared" si="0"/>
        <v>9.56</v>
      </c>
      <c r="D33" s="604">
        <f t="shared" si="0"/>
        <v>7.17</v>
      </c>
      <c r="E33" s="605">
        <f t="shared" si="0"/>
        <v>4.78</v>
      </c>
    </row>
    <row r="34" spans="1:5" ht="14.25" customHeight="1" x14ac:dyDescent="0.2">
      <c r="A34" s="441" t="s">
        <v>525</v>
      </c>
      <c r="B34" s="442">
        <v>2E-3</v>
      </c>
      <c r="C34" s="604">
        <f t="shared" si="0"/>
        <v>3.19</v>
      </c>
      <c r="D34" s="604">
        <f t="shared" si="0"/>
        <v>2.39</v>
      </c>
      <c r="E34" s="605">
        <f t="shared" si="0"/>
        <v>1.59</v>
      </c>
    </row>
    <row r="35" spans="1:5" ht="14.25" customHeight="1" x14ac:dyDescent="0.2">
      <c r="A35" s="441" t="s">
        <v>526</v>
      </c>
      <c r="B35" s="442">
        <v>0.08</v>
      </c>
      <c r="C35" s="604">
        <f t="shared" si="0"/>
        <v>127.43</v>
      </c>
      <c r="D35" s="604">
        <f t="shared" si="0"/>
        <v>95.57</v>
      </c>
      <c r="E35" s="605">
        <f t="shared" si="0"/>
        <v>63.71</v>
      </c>
    </row>
    <row r="36" spans="1:5" ht="14.25" customHeight="1" x14ac:dyDescent="0.2">
      <c r="A36" s="429" t="s">
        <v>512</v>
      </c>
      <c r="B36" s="443">
        <f>SUM(B28:B35)</f>
        <v>0.36800000000000005</v>
      </c>
      <c r="C36" s="444">
        <f>SUM(C27:C35)</f>
        <v>586.18000000000006</v>
      </c>
      <c r="D36" s="598">
        <f>SUM(D27:D35)</f>
        <v>439.64</v>
      </c>
      <c r="E36" s="599">
        <f>SUM(E27:E35)</f>
        <v>293.07</v>
      </c>
    </row>
    <row r="37" spans="1:5" ht="14.25" customHeight="1" x14ac:dyDescent="0.2">
      <c r="A37" s="438" t="s">
        <v>527</v>
      </c>
      <c r="B37" s="439" t="s">
        <v>528</v>
      </c>
      <c r="C37" s="439" t="s">
        <v>504</v>
      </c>
      <c r="D37" s="600" t="s">
        <v>504</v>
      </c>
      <c r="E37" s="440" t="s">
        <v>504</v>
      </c>
    </row>
    <row r="38" spans="1:5" ht="14.25" customHeight="1" x14ac:dyDescent="0.2">
      <c r="A38" s="441" t="s">
        <v>529</v>
      </c>
      <c r="B38" s="451">
        <f>MC!D102</f>
        <v>3.8346153846153848</v>
      </c>
      <c r="C38" s="420">
        <f>ROUND(((2*22*$B$38)-0.06*C$13),2)</f>
        <v>97.05</v>
      </c>
      <c r="D38" s="596">
        <f>ROUND(((2*22*$B$38)-0.06*D$13),2)</f>
        <v>114.96</v>
      </c>
      <c r="E38" s="597">
        <f>ROUND(((2*22*$B$38)-0.06*E$13),2)</f>
        <v>132.88</v>
      </c>
    </row>
    <row r="39" spans="1:5" ht="14.25" customHeight="1" x14ac:dyDescent="0.2">
      <c r="A39" s="441" t="s">
        <v>530</v>
      </c>
      <c r="B39" s="452"/>
      <c r="C39" s="449">
        <f>MC!K19</f>
        <v>359.61</v>
      </c>
      <c r="D39" s="604">
        <f>MC!K20</f>
        <v>179.8</v>
      </c>
      <c r="E39" s="605">
        <f>MC!K20</f>
        <v>179.8</v>
      </c>
    </row>
    <row r="40" spans="1:5" ht="14.25" customHeight="1" x14ac:dyDescent="0.2">
      <c r="A40" s="441" t="s">
        <v>531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636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637</v>
      </c>
      <c r="B42" s="455">
        <f>MC!E27</f>
        <v>17.32</v>
      </c>
      <c r="C42" s="449">
        <f>$B42</f>
        <v>17.32</v>
      </c>
      <c r="D42" s="449">
        <f>$B42</f>
        <v>17.32</v>
      </c>
      <c r="E42" s="450">
        <f>$B42</f>
        <v>17.32</v>
      </c>
    </row>
    <row r="43" spans="1:5" ht="14.25" customHeight="1" x14ac:dyDescent="0.2">
      <c r="A43" s="441" t="s">
        <v>534</v>
      </c>
      <c r="B43" s="442"/>
      <c r="C43" s="449"/>
      <c r="D43" s="604"/>
      <c r="E43" s="605"/>
    </row>
    <row r="44" spans="1:5" ht="14.25" customHeight="1" x14ac:dyDescent="0.2">
      <c r="A44" s="429" t="s">
        <v>512</v>
      </c>
      <c r="B44" s="430"/>
      <c r="C44" s="444">
        <f>SUM(C38:C43)</f>
        <v>473.98</v>
      </c>
      <c r="D44" s="598">
        <f>SUM(D38:D43)</f>
        <v>312.08</v>
      </c>
      <c r="E44" s="599">
        <f>SUM(E38:E43)</f>
        <v>330</v>
      </c>
    </row>
    <row r="45" spans="1:5" ht="14.25" customHeight="1" x14ac:dyDescent="0.2">
      <c r="A45" s="415" t="s">
        <v>535</v>
      </c>
      <c r="B45" s="416" t="s">
        <v>503</v>
      </c>
      <c r="C45" s="416" t="s">
        <v>504</v>
      </c>
      <c r="D45" s="594" t="s">
        <v>504</v>
      </c>
      <c r="E45" s="595" t="s">
        <v>504</v>
      </c>
    </row>
    <row r="46" spans="1:5" ht="14.25" customHeight="1" x14ac:dyDescent="0.2">
      <c r="A46" s="441" t="s">
        <v>514</v>
      </c>
      <c r="B46" s="458">
        <f>B25</f>
        <v>0.1111111111111111</v>
      </c>
      <c r="C46" s="459">
        <f>C25</f>
        <v>159.28090909090909</v>
      </c>
      <c r="D46" s="606">
        <f>D25</f>
        <v>119.46568181818181</v>
      </c>
      <c r="E46" s="607">
        <f>E25</f>
        <v>79.640454545454546</v>
      </c>
    </row>
    <row r="47" spans="1:5" ht="14.25" customHeight="1" x14ac:dyDescent="0.2">
      <c r="A47" s="441" t="s">
        <v>536</v>
      </c>
      <c r="B47" s="458">
        <f>B36</f>
        <v>0.36800000000000005</v>
      </c>
      <c r="C47" s="459">
        <f>C36</f>
        <v>586.18000000000006</v>
      </c>
      <c r="D47" s="606">
        <f>D36</f>
        <v>439.64</v>
      </c>
      <c r="E47" s="607">
        <f>E36</f>
        <v>293.07</v>
      </c>
    </row>
    <row r="48" spans="1:5" ht="14.25" customHeight="1" x14ac:dyDescent="0.2">
      <c r="A48" s="441" t="s">
        <v>527</v>
      </c>
      <c r="B48" s="458"/>
      <c r="C48" s="459">
        <f>C44</f>
        <v>473.98</v>
      </c>
      <c r="D48" s="606">
        <f>D44</f>
        <v>312.08</v>
      </c>
      <c r="E48" s="607">
        <f>E44</f>
        <v>330</v>
      </c>
    </row>
    <row r="49" spans="1:5" ht="14.25" customHeight="1" x14ac:dyDescent="0.2">
      <c r="A49" s="429" t="s">
        <v>512</v>
      </c>
      <c r="B49" s="430"/>
      <c r="C49" s="444">
        <f>SUM(C46:C48)</f>
        <v>1219.4409090909091</v>
      </c>
      <c r="D49" s="598">
        <f>SUM(D46:D48)</f>
        <v>871.18568181818182</v>
      </c>
      <c r="E49" s="599">
        <f>SUM(E46:E48)</f>
        <v>702.71045454545447</v>
      </c>
    </row>
    <row r="50" spans="1:5" ht="14.25" customHeight="1" x14ac:dyDescent="0.2">
      <c r="A50" s="754"/>
      <c r="B50" s="754"/>
      <c r="C50" s="754"/>
      <c r="D50" s="754"/>
      <c r="E50" s="754"/>
    </row>
    <row r="51" spans="1:5" s="461" customFormat="1" ht="14.25" customHeight="1" x14ac:dyDescent="0.2">
      <c r="A51" s="770" t="s">
        <v>537</v>
      </c>
      <c r="B51" s="770"/>
      <c r="C51" s="770"/>
      <c r="D51" s="770"/>
      <c r="E51" s="770"/>
    </row>
    <row r="52" spans="1:5" ht="14.25" customHeight="1" x14ac:dyDescent="0.2">
      <c r="A52" s="415" t="s">
        <v>538</v>
      </c>
      <c r="B52" s="416" t="s">
        <v>503</v>
      </c>
      <c r="C52" s="416" t="s">
        <v>504</v>
      </c>
      <c r="D52" s="594" t="s">
        <v>504</v>
      </c>
      <c r="E52" s="595" t="s">
        <v>504</v>
      </c>
    </row>
    <row r="53" spans="1:5" ht="14.25" customHeight="1" x14ac:dyDescent="0.2">
      <c r="A53" s="438" t="s">
        <v>539</v>
      </c>
      <c r="B53" s="462"/>
      <c r="C53" s="462"/>
      <c r="D53" s="608"/>
      <c r="E53" s="609"/>
    </row>
    <row r="54" spans="1:5" ht="14.25" customHeight="1" x14ac:dyDescent="0.2">
      <c r="A54" s="441" t="s">
        <v>540</v>
      </c>
      <c r="B54" s="458">
        <f>1/12*0.05</f>
        <v>4.1666666666666666E-3</v>
      </c>
      <c r="C54" s="465">
        <f>C19*$B54</f>
        <v>5.973136363636363</v>
      </c>
      <c r="D54" s="610">
        <f>D19*$B54</f>
        <v>4.479852272727272</v>
      </c>
      <c r="E54" s="611">
        <f>E19*$B54</f>
        <v>2.9865681818181815</v>
      </c>
    </row>
    <row r="55" spans="1:5" ht="14.25" customHeight="1" x14ac:dyDescent="0.2">
      <c r="A55" s="441" t="s">
        <v>541</v>
      </c>
      <c r="B55" s="458">
        <f>B35*B54</f>
        <v>3.3333333333333332E-4</v>
      </c>
      <c r="C55" s="465">
        <f>$B$55*C19</f>
        <v>0.47785090909090905</v>
      </c>
      <c r="D55" s="610">
        <f>$B$55*D19</f>
        <v>0.35838818181818177</v>
      </c>
      <c r="E55" s="611">
        <f>$B$55*E19</f>
        <v>0.23892545454545452</v>
      </c>
    </row>
    <row r="56" spans="1:5" ht="14.25" customHeight="1" x14ac:dyDescent="0.2">
      <c r="A56" s="441" t="s">
        <v>542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543</v>
      </c>
      <c r="B57" s="458">
        <f>1/12*1/30*7</f>
        <v>1.9444444444444441E-2</v>
      </c>
      <c r="C57" s="459">
        <f>C19*$B57</f>
        <v>27.874636363636359</v>
      </c>
      <c r="D57" s="606">
        <f>D19*$B57</f>
        <v>20.905977272727267</v>
      </c>
      <c r="E57" s="607">
        <f>E19*$B57</f>
        <v>13.937318181818179</v>
      </c>
    </row>
    <row r="58" spans="1:5" ht="14.25" customHeight="1" x14ac:dyDescent="0.2">
      <c r="A58" s="441" t="s">
        <v>544</v>
      </c>
      <c r="B58" s="458">
        <f>B36*B57</f>
        <v>7.1555555555555556E-3</v>
      </c>
      <c r="C58" s="459">
        <f>$B58*C19</f>
        <v>10.257866181818182</v>
      </c>
      <c r="D58" s="606">
        <f>$B58*D19</f>
        <v>7.693399636363635</v>
      </c>
      <c r="E58" s="607">
        <f>$B58*E19</f>
        <v>5.1289330909090909</v>
      </c>
    </row>
    <row r="59" spans="1:5" ht="14.25" customHeight="1" x14ac:dyDescent="0.2">
      <c r="A59" s="441" t="s">
        <v>545</v>
      </c>
      <c r="B59" s="458">
        <f>B35*40/100*90/100*(1+1/12+1/12+1/3*1/12)</f>
        <v>3.4399999999999993E-2</v>
      </c>
      <c r="C59" s="459">
        <f>C19*$B59</f>
        <v>49.314213818181805</v>
      </c>
      <c r="D59" s="606">
        <f>D19*$B59</f>
        <v>36.985660363636349</v>
      </c>
      <c r="E59" s="607">
        <f>E19*$B59</f>
        <v>24.657106909090903</v>
      </c>
    </row>
    <row r="60" spans="1:5" ht="14.25" customHeight="1" x14ac:dyDescent="0.2">
      <c r="A60" s="429" t="s">
        <v>512</v>
      </c>
      <c r="B60" s="443">
        <f>SUM(B54:B59)</f>
        <v>6.5499999999999989E-2</v>
      </c>
      <c r="C60" s="431">
        <f>SUM(C54:C59)</f>
        <v>93.897703636363616</v>
      </c>
      <c r="D60" s="612">
        <f>SUM(D54:D59)</f>
        <v>70.423277727272705</v>
      </c>
      <c r="E60" s="613">
        <f>SUM(E54:E59)</f>
        <v>46.948851818181808</v>
      </c>
    </row>
    <row r="61" spans="1:5" ht="14.25" customHeight="1" x14ac:dyDescent="0.2">
      <c r="A61" s="754"/>
      <c r="B61" s="754"/>
      <c r="C61" s="754"/>
      <c r="D61" s="754"/>
      <c r="E61" s="754"/>
    </row>
    <row r="62" spans="1:5" ht="14.25" customHeight="1" x14ac:dyDescent="0.2">
      <c r="A62" s="770" t="s">
        <v>546</v>
      </c>
      <c r="B62" s="770"/>
      <c r="C62" s="770"/>
      <c r="D62" s="770"/>
      <c r="E62" s="770"/>
    </row>
    <row r="63" spans="1:5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40" t="s">
        <v>504</v>
      </c>
    </row>
    <row r="64" spans="1:5" ht="14.25" customHeight="1" x14ac:dyDescent="0.2">
      <c r="A64" s="441" t="s">
        <v>46</v>
      </c>
      <c r="B64" s="442">
        <f>1/12</f>
        <v>8.3333333333333329E-2</v>
      </c>
      <c r="C64" s="604">
        <f t="shared" ref="C64:E67" si="1">$B64*(C$19+C$49+C$60)</f>
        <v>228.90761166666664</v>
      </c>
      <c r="D64" s="604">
        <f t="shared" si="1"/>
        <v>168.06445874999997</v>
      </c>
      <c r="E64" s="605">
        <f t="shared" si="1"/>
        <v>122.20297249999999</v>
      </c>
    </row>
    <row r="65" spans="1:5" ht="14.25" customHeight="1" x14ac:dyDescent="0.2">
      <c r="A65" s="441" t="s">
        <v>547</v>
      </c>
      <c r="B65" s="442">
        <f>MC!E54/30/12</f>
        <v>1.3538888888888885E-2</v>
      </c>
      <c r="C65" s="604">
        <f t="shared" si="1"/>
        <v>37.189856642111096</v>
      </c>
      <c r="D65" s="604">
        <f t="shared" si="1"/>
        <v>27.304872398249991</v>
      </c>
      <c r="E65" s="605">
        <f t="shared" si="1"/>
        <v>19.853909598833326</v>
      </c>
    </row>
    <row r="66" spans="1:5" ht="14.25" customHeight="1" x14ac:dyDescent="0.2">
      <c r="A66" s="441" t="s">
        <v>548</v>
      </c>
      <c r="B66" s="467">
        <f>(5/30)/12*MC!F56*MC!C57</f>
        <v>1.0764583333333333E-4</v>
      </c>
      <c r="C66" s="604">
        <f t="shared" si="1"/>
        <v>0.2956914073704166</v>
      </c>
      <c r="D66" s="604">
        <f t="shared" si="1"/>
        <v>0.21709726459031248</v>
      </c>
      <c r="E66" s="605">
        <f t="shared" si="1"/>
        <v>0.15785568972687497</v>
      </c>
    </row>
    <row r="67" spans="1:5" ht="14.25" customHeight="1" x14ac:dyDescent="0.2">
      <c r="A67" s="441" t="s">
        <v>549</v>
      </c>
      <c r="B67" s="467">
        <f>MC!C59/30/12</f>
        <v>2.6830555555555553E-3</v>
      </c>
      <c r="C67" s="604">
        <f t="shared" si="1"/>
        <v>7.370062070294443</v>
      </c>
      <c r="D67" s="604">
        <f t="shared" si="1"/>
        <v>5.4111153568874988</v>
      </c>
      <c r="E67" s="605">
        <f t="shared" si="1"/>
        <v>3.9345283712583323</v>
      </c>
    </row>
    <row r="68" spans="1:5" ht="14.25" customHeight="1" x14ac:dyDescent="0.2">
      <c r="A68" s="441" t="s">
        <v>511</v>
      </c>
      <c r="B68" s="442"/>
      <c r="C68" s="449"/>
      <c r="D68" s="604"/>
      <c r="E68" s="605"/>
    </row>
    <row r="69" spans="1:5" ht="14.25" customHeight="1" x14ac:dyDescent="0.2">
      <c r="A69" s="468" t="s">
        <v>550</v>
      </c>
      <c r="B69" s="469">
        <f>SUM(B64:B68)</f>
        <v>9.9662923611111107E-2</v>
      </c>
      <c r="C69" s="470">
        <f>SUM(C64:C68)</f>
        <v>273.76322178644261</v>
      </c>
      <c r="D69" s="614">
        <f>SUM(D64:D68)</f>
        <v>200.99754376972777</v>
      </c>
      <c r="E69" s="615">
        <f>SUM(E64:E68)</f>
        <v>146.14926615981852</v>
      </c>
    </row>
    <row r="70" spans="1:5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40" t="s">
        <v>504</v>
      </c>
    </row>
    <row r="71" spans="1:5" ht="14.25" customHeight="1" x14ac:dyDescent="0.2">
      <c r="A71" s="441" t="s">
        <v>552</v>
      </c>
      <c r="B71" s="442"/>
      <c r="C71" s="449"/>
      <c r="D71" s="604"/>
      <c r="E71" s="605"/>
    </row>
    <row r="72" spans="1:5" ht="14.25" customHeight="1" x14ac:dyDescent="0.2">
      <c r="A72" s="468" t="s">
        <v>550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40" t="s">
        <v>504</v>
      </c>
    </row>
    <row r="74" spans="1:5" ht="14.25" customHeight="1" x14ac:dyDescent="0.2">
      <c r="A74" s="441" t="s">
        <v>68</v>
      </c>
      <c r="B74" s="442">
        <f>120/30*MC!C62*MC!C63</f>
        <v>6.18624E-3</v>
      </c>
      <c r="C74" s="449">
        <f>(((C19*2)+ (C19*1/3))+(C36)+(C44-C38-C39))*$B$74</f>
        <v>24.426098694981821</v>
      </c>
      <c r="D74" s="604">
        <f>(((D19*2)+ (D19*1/3))+(D36)+(D44-D38-D39))*$B$74</f>
        <v>18.346391371636361</v>
      </c>
      <c r="E74" s="605">
        <f>(((E19*2)+ (E19*1/3))+(E36)+(E44-E38-E39))*$B$74</f>
        <v>12.266498461090908</v>
      </c>
    </row>
    <row r="75" spans="1:5" ht="14.25" customHeight="1" x14ac:dyDescent="0.2">
      <c r="A75" s="468" t="s">
        <v>512</v>
      </c>
      <c r="B75" s="469"/>
      <c r="C75" s="470"/>
      <c r="D75" s="614"/>
      <c r="E75" s="615"/>
    </row>
    <row r="76" spans="1:5" ht="14.25" customHeight="1" x14ac:dyDescent="0.2">
      <c r="A76" s="415" t="s">
        <v>553</v>
      </c>
      <c r="B76" s="416" t="s">
        <v>503</v>
      </c>
      <c r="C76" s="416" t="s">
        <v>504</v>
      </c>
      <c r="D76" s="594" t="s">
        <v>504</v>
      </c>
      <c r="E76" s="595" t="s">
        <v>504</v>
      </c>
    </row>
    <row r="77" spans="1:5" ht="14.25" customHeight="1" x14ac:dyDescent="0.2">
      <c r="A77" s="441" t="s">
        <v>45</v>
      </c>
      <c r="B77" s="458">
        <f>B69</f>
        <v>9.9662923611111107E-2</v>
      </c>
      <c r="C77" s="459">
        <f>C69</f>
        <v>273.76322178644261</v>
      </c>
      <c r="D77" s="606">
        <f>D69</f>
        <v>200.99754376972777</v>
      </c>
      <c r="E77" s="607">
        <f>E69</f>
        <v>146.14926615981852</v>
      </c>
    </row>
    <row r="78" spans="1:5" ht="14.25" customHeight="1" x14ac:dyDescent="0.2">
      <c r="A78" s="441" t="s">
        <v>551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67</v>
      </c>
      <c r="B79" s="458">
        <f>B74</f>
        <v>6.18624E-3</v>
      </c>
      <c r="C79" s="459">
        <f>C74</f>
        <v>24.426098694981821</v>
      </c>
      <c r="D79" s="606">
        <f>D74</f>
        <v>18.346391371636361</v>
      </c>
      <c r="E79" s="607">
        <f>E74</f>
        <v>12.266498461090908</v>
      </c>
    </row>
    <row r="80" spans="1:5" ht="14.25" customHeight="1" x14ac:dyDescent="0.2">
      <c r="A80" s="429" t="s">
        <v>512</v>
      </c>
      <c r="B80" s="430"/>
      <c r="C80" s="444">
        <f>SUM(C77:C79)</f>
        <v>298.18932048142443</v>
      </c>
      <c r="D80" s="598">
        <f>SUM(D77:D79)</f>
        <v>219.34393514136414</v>
      </c>
      <c r="E80" s="599">
        <f>SUM(E77:E79)</f>
        <v>158.41576462090944</v>
      </c>
    </row>
    <row r="81" spans="1:5" ht="14.25" customHeight="1" x14ac:dyDescent="0.2">
      <c r="A81" s="754"/>
      <c r="B81" s="754"/>
      <c r="C81" s="754"/>
      <c r="D81" s="754"/>
      <c r="E81" s="754"/>
    </row>
    <row r="82" spans="1:5" ht="14.25" customHeight="1" x14ac:dyDescent="0.2">
      <c r="A82" s="772" t="s">
        <v>554</v>
      </c>
      <c r="B82" s="772"/>
      <c r="C82" s="772"/>
      <c r="D82" s="772"/>
      <c r="E82" s="772"/>
    </row>
    <row r="83" spans="1:5" ht="14.25" customHeight="1" x14ac:dyDescent="0.2">
      <c r="A83" s="415" t="s">
        <v>555</v>
      </c>
      <c r="B83" s="416" t="s">
        <v>528</v>
      </c>
      <c r="C83" s="416" t="s">
        <v>504</v>
      </c>
      <c r="D83" s="594" t="s">
        <v>504</v>
      </c>
      <c r="E83" s="595" t="s">
        <v>504</v>
      </c>
    </row>
    <row r="84" spans="1:5" ht="14.25" customHeight="1" x14ac:dyDescent="0.2">
      <c r="A84" s="441" t="s">
        <v>557</v>
      </c>
      <c r="B84" s="616"/>
      <c r="C84" s="596">
        <f>Insumos!$K119</f>
        <v>34.030416666666667</v>
      </c>
      <c r="D84" s="596">
        <f>Insumos!$K119</f>
        <v>34.030416666666667</v>
      </c>
      <c r="E84" s="597">
        <f>Insumos!$K119</f>
        <v>34.030416666666667</v>
      </c>
    </row>
    <row r="85" spans="1:5" ht="14.25" customHeight="1" x14ac:dyDescent="0.2">
      <c r="A85" s="478" t="s">
        <v>558</v>
      </c>
      <c r="B85" s="616"/>
      <c r="C85" s="596">
        <f>Insumos!$G70</f>
        <v>247.1166666666667</v>
      </c>
      <c r="D85" s="596">
        <f>Insumos!$G70</f>
        <v>247.1166666666667</v>
      </c>
      <c r="E85" s="597">
        <f>Insumos!$G70</f>
        <v>247.1166666666667</v>
      </c>
    </row>
    <row r="86" spans="1:5" ht="14.25" customHeight="1" x14ac:dyDescent="0.2">
      <c r="A86" s="478" t="s">
        <v>559</v>
      </c>
      <c r="B86" s="617"/>
      <c r="C86" s="596">
        <f>$B86</f>
        <v>0</v>
      </c>
      <c r="D86" s="596">
        <f>$B86</f>
        <v>0</v>
      </c>
      <c r="E86" s="597">
        <f>$B86</f>
        <v>0</v>
      </c>
    </row>
    <row r="87" spans="1:5" ht="14.25" customHeight="1" x14ac:dyDescent="0.2">
      <c r="A87" s="478" t="s">
        <v>560</v>
      </c>
      <c r="B87" s="619"/>
      <c r="C87" s="596">
        <f>Insumos!$I123</f>
        <v>142.21333333333334</v>
      </c>
      <c r="D87" s="596">
        <f>Insumos!$H123</f>
        <v>122.52333333333333</v>
      </c>
      <c r="E87" s="597">
        <f>Insumos!$H123</f>
        <v>122.52333333333333</v>
      </c>
    </row>
    <row r="88" spans="1:5" ht="14.25" customHeight="1" x14ac:dyDescent="0.2">
      <c r="A88" s="468" t="s">
        <v>512</v>
      </c>
      <c r="B88" s="485"/>
      <c r="C88" s="470">
        <f>SUM(C84:C87)</f>
        <v>423.36041666666677</v>
      </c>
      <c r="D88" s="614">
        <f>SUM(D84:D87)</f>
        <v>403.67041666666671</v>
      </c>
      <c r="E88" s="615">
        <f>SUM(E84:E87)</f>
        <v>403.67041666666671</v>
      </c>
    </row>
    <row r="89" spans="1:5" ht="14.25" customHeight="1" x14ac:dyDescent="0.2">
      <c r="A89" s="754"/>
      <c r="B89" s="754"/>
      <c r="C89" s="754"/>
      <c r="D89" s="754"/>
      <c r="E89" s="754"/>
    </row>
    <row r="90" spans="1:5" ht="14.25" customHeight="1" x14ac:dyDescent="0.2">
      <c r="A90" s="771" t="s">
        <v>564</v>
      </c>
      <c r="B90" s="771"/>
      <c r="C90" s="771"/>
      <c r="D90" s="771"/>
      <c r="E90" s="771"/>
    </row>
    <row r="91" spans="1:5" ht="14.25" customHeight="1" x14ac:dyDescent="0.2">
      <c r="A91" s="415" t="s">
        <v>565</v>
      </c>
      <c r="B91" s="416" t="s">
        <v>503</v>
      </c>
      <c r="C91" s="416" t="s">
        <v>504</v>
      </c>
      <c r="D91" s="594" t="s">
        <v>504</v>
      </c>
      <c r="E91" s="595" t="s">
        <v>504</v>
      </c>
    </row>
    <row r="92" spans="1:5" ht="14.25" customHeight="1" x14ac:dyDescent="0.2">
      <c r="A92" s="418" t="s">
        <v>73</v>
      </c>
      <c r="B92" s="442">
        <v>0.03</v>
      </c>
      <c r="C92" s="449">
        <f>($C$19+$C$49+$C$60+$C$80+$C$88)*$B$92</f>
        <v>104.05323231444272</v>
      </c>
      <c r="D92" s="604">
        <f>(D$19+D$49+D$60+D$80+D$88)*$B$92</f>
        <v>79.193635704240918</v>
      </c>
      <c r="E92" s="605">
        <f>(E$19+E$49+E$60+E$80+E$88)*$B$92</f>
        <v>60.855655538627275</v>
      </c>
    </row>
    <row r="93" spans="1:5" ht="14.25" customHeight="1" x14ac:dyDescent="0.2">
      <c r="A93" s="418" t="s">
        <v>74</v>
      </c>
      <c r="B93" s="442">
        <v>6.7900000000000002E-2</v>
      </c>
      <c r="C93" s="449">
        <f>($C$19+$C$49+$C$60+$C$80+$C$88+C92)*B93</f>
        <v>242.57236361250605</v>
      </c>
      <c r="D93" s="604">
        <f>(D$19+D$49+D$60+D$80+D$88+D$92)*$B$93</f>
        <v>184.61884334158327</v>
      </c>
      <c r="E93" s="605">
        <f>(E$19+E$49+E$60+E$80+E$88+E$92)*$B$93</f>
        <v>141.86873271349918</v>
      </c>
    </row>
    <row r="94" spans="1:5" ht="14.25" customHeight="1" x14ac:dyDescent="0.2">
      <c r="A94" s="489" t="s">
        <v>566</v>
      </c>
      <c r="B94" s="490">
        <f>B95+B96</f>
        <v>0.1125</v>
      </c>
      <c r="C94" s="491">
        <f>((C19+C49+C60+C80+C88+C92+C93)/(1-($B$94)))*$B$94</f>
        <v>483.60000081232903</v>
      </c>
      <c r="D94" s="620">
        <f>((D19+D49+D60+D80+D88+D92+D93)/(1-($B$94)))*$B$94</f>
        <v>368.0620144040098</v>
      </c>
      <c r="E94" s="621">
        <f>((E19+E49+E60+E80+E88+E92+E93)/(1-($B$94)))*$B$94</f>
        <v>282.83403036418764</v>
      </c>
    </row>
    <row r="95" spans="1:5" ht="14.25" customHeight="1" x14ac:dyDescent="0.2">
      <c r="A95" s="418" t="s">
        <v>567</v>
      </c>
      <c r="B95" s="442">
        <f>0.0165+0.076</f>
        <v>9.2499999999999999E-2</v>
      </c>
      <c r="C95" s="498">
        <f>((C$19+C$49+C$60+C$80+C$88+C$92+C$93)/(1-($B$94)))*$B$95</f>
        <v>397.62666733458167</v>
      </c>
      <c r="D95" s="622">
        <f>((D$19+D$49+D$60+D$80+D$88+D$92+D$93)/(1-($B$94)))*$B$95</f>
        <v>302.62876739885252</v>
      </c>
      <c r="E95" s="623">
        <f>((E$19+E$49+E$60+E$80+E$88+E$92+E$93)/(1-($B$94)))*$B$95</f>
        <v>232.55242496610981</v>
      </c>
    </row>
    <row r="96" spans="1:5" ht="14.25" customHeight="1" x14ac:dyDescent="0.2">
      <c r="A96" s="418" t="s">
        <v>568</v>
      </c>
      <c r="B96" s="442">
        <v>0.02</v>
      </c>
      <c r="C96" s="501">
        <f>((C$19+C$49+C$60+C$80+C$88+C$92+C$93)/(1-($B$94)))*$B$96</f>
        <v>85.973333477747389</v>
      </c>
      <c r="D96" s="622">
        <f>((D$19+D$49+D$60+D$80+D$88+D$92+D$93)/(1-($B$94)))*$B$96</f>
        <v>65.433247005157298</v>
      </c>
      <c r="E96" s="623">
        <f>((E$19+E$49+E$60+E$80+E$88+E$92+E$93)/(1-($B$94)))*$B$96</f>
        <v>50.281605398077801</v>
      </c>
    </row>
    <row r="97" spans="1:6" ht="14.25" customHeight="1" x14ac:dyDescent="0.2">
      <c r="A97" s="489" t="s">
        <v>569</v>
      </c>
      <c r="B97" s="490">
        <f>B98+B99</f>
        <v>0.11749999999999999</v>
      </c>
      <c r="C97" s="491">
        <f>((C19+C49+C60+C80+C88+C92+C93)/(1-($B$97)))*$B$97</f>
        <v>507.95505278902795</v>
      </c>
      <c r="D97" s="620">
        <f>((D19+D49+D60+D80+D88+D92+D93)/(1-($B$97)))*$B$97</f>
        <v>386.59834500037158</v>
      </c>
      <c r="E97" s="621">
        <f>((E19+E49+E60+E80+E88+E92+E93)/(1-($B$97)))*$B$97</f>
        <v>297.07811121350142</v>
      </c>
    </row>
    <row r="98" spans="1:6" ht="14.25" customHeight="1" x14ac:dyDescent="0.2">
      <c r="A98" s="418" t="s">
        <v>567</v>
      </c>
      <c r="B98" s="442">
        <f>0.0165+0.076</f>
        <v>9.2499999999999999E-2</v>
      </c>
      <c r="C98" s="493">
        <f>((C19+C49+C60+C80+C88+C92+C93)/(1-($B$97)))*$B$98</f>
        <v>399.87950964242629</v>
      </c>
      <c r="D98" s="624">
        <f>((D19+D49+D60+D80+D88+D92+D93)/(1-($B$97)))*$B$98</f>
        <v>304.34337797901594</v>
      </c>
      <c r="E98" s="625">
        <f>((E19+E49+E60+E80+E88+E92+E93)/(1-($B$97)))*$B$98</f>
        <v>233.87000244467134</v>
      </c>
    </row>
    <row r="99" spans="1:6" ht="14.25" customHeight="1" x14ac:dyDescent="0.2">
      <c r="A99" s="418" t="s">
        <v>568</v>
      </c>
      <c r="B99" s="442">
        <v>2.5000000000000001E-2</v>
      </c>
      <c r="C99" s="495">
        <f>((C$19+C$49+C$60+C$80+C$88+C$92+C$93)/(1-($B$97)))*$B$99</f>
        <v>108.0755431466017</v>
      </c>
      <c r="D99" s="624">
        <f>((D$19+D$49+D$60+D$80+D$88+D$92+D$93)/(1-($B$97)))*$B$99</f>
        <v>82.254967021355668</v>
      </c>
      <c r="E99" s="625">
        <f>((E$19+E$49+E$60+E$80+E$88+E$92+E$93)/(1-($B$97)))*$B$99</f>
        <v>63.208108768830101</v>
      </c>
    </row>
    <row r="100" spans="1:6" ht="14.25" customHeight="1" x14ac:dyDescent="0.2">
      <c r="A100" s="489" t="s">
        <v>570</v>
      </c>
      <c r="B100" s="490">
        <f>B101+B102</f>
        <v>0.1225</v>
      </c>
      <c r="C100" s="491">
        <f>((C19+C49+C60+C80+C88+C92+C93)/(1-($B$100)))*$B$100</f>
        <v>532.58765521560395</v>
      </c>
      <c r="D100" s="620">
        <f>((D19+D49+D60+D80+D88+D92+D93)/(1-($B$100)))*$B$100</f>
        <v>405.34591583144987</v>
      </c>
      <c r="E100" s="621">
        <f>((E19+E49+E60+E80+E88+E92+E93)/(1-($B$100)))*$B$100</f>
        <v>311.48451777049979</v>
      </c>
    </row>
    <row r="101" spans="1:6" ht="14.25" customHeight="1" x14ac:dyDescent="0.2">
      <c r="A101" s="418" t="s">
        <v>567</v>
      </c>
      <c r="B101" s="442">
        <f>0.0165+0.076</f>
        <v>9.2499999999999999E-2</v>
      </c>
      <c r="C101" s="493">
        <f>((C19+C49+C60+C80+C88+C92+C93)/(1-($B$100)))*$B$101</f>
        <v>402.1580253668846</v>
      </c>
      <c r="D101" s="624">
        <f>((D19+D49+D60+D80+D88+D92+D93)/(1-($B$100)))*$B$101</f>
        <v>306.0775282808907</v>
      </c>
      <c r="E101" s="625">
        <f>((E19+E49+E60+E80+E88+E92+E93)/(1-($B$100)))*$B$101</f>
        <v>235.20259505119373</v>
      </c>
    </row>
    <row r="102" spans="1:6" ht="14.25" customHeight="1" x14ac:dyDescent="0.2">
      <c r="A102" s="418" t="s">
        <v>568</v>
      </c>
      <c r="B102" s="442">
        <v>0.03</v>
      </c>
      <c r="C102" s="495">
        <f>((C19+C49+C60+C80+C88+C92+C93)/(1-($B$100)))*$B$102</f>
        <v>130.42962984871932</v>
      </c>
      <c r="D102" s="624">
        <f>((D19+D49+D60+D80+D88+D92+D93)/(1-($B$100)))*$B$102</f>
        <v>99.26838755055914</v>
      </c>
      <c r="E102" s="625">
        <f>((E19+E49+E60+E80+E88+E92+E93)/(1-($B$100)))*$B$102</f>
        <v>76.281922719306067</v>
      </c>
      <c r="F102" s="497"/>
    </row>
    <row r="103" spans="1:6" ht="14.25" customHeight="1" x14ac:dyDescent="0.2">
      <c r="A103" s="489" t="s">
        <v>571</v>
      </c>
      <c r="B103" s="490">
        <f>B104+B105</f>
        <v>0.13250000000000001</v>
      </c>
      <c r="C103" s="491">
        <f>((C19+C49+C60+C80+C88+C92+C93)/(1-($B$103)))*$B$103</f>
        <v>582.70470799128861</v>
      </c>
      <c r="D103" s="620">
        <f>((D19+D49+D60+D80+D88+D92+D93)/(1-($B$103)))*$B$103</f>
        <v>443.48938847335546</v>
      </c>
      <c r="E103" s="621">
        <f>((E19+E49+E60+E80+E88+E92+E93)/(1-($B$103)))*$B$103</f>
        <v>340.79553514583353</v>
      </c>
    </row>
    <row r="104" spans="1:6" ht="14.25" customHeight="1" x14ac:dyDescent="0.2">
      <c r="A104" s="418" t="s">
        <v>567</v>
      </c>
      <c r="B104" s="442">
        <f>0.0165+0.076</f>
        <v>9.2499999999999999E-2</v>
      </c>
      <c r="C104" s="493">
        <f>((C19+C49+C60+C80+C88+C92+C93)/(1-($B$103)))*$B$104</f>
        <v>406.7938527486354</v>
      </c>
      <c r="D104" s="624">
        <f>((D19+D49+D60+D80+D88+D92+D93)/(1-($B$103)))*$B$104</f>
        <v>309.60579950026698</v>
      </c>
      <c r="E104" s="625">
        <f>((E19+E49+E60+E80+E88+E92+E93)/(1-($B$103)))*$B$104</f>
        <v>237.91386415841208</v>
      </c>
    </row>
    <row r="105" spans="1:6" ht="14.25" customHeight="1" x14ac:dyDescent="0.2">
      <c r="A105" s="418" t="s">
        <v>568</v>
      </c>
      <c r="B105" s="442">
        <v>0.04</v>
      </c>
      <c r="C105" s="495">
        <f>((C19+C49+C60+C80+C88+C92+C93)/(1-($B$103)))*$B$105</f>
        <v>175.91085524265316</v>
      </c>
      <c r="D105" s="624">
        <f>((D19+D49+D60+D80+D88+D92+D93)/(1-($B$103)))*$B$105</f>
        <v>133.88358897308842</v>
      </c>
      <c r="E105" s="625">
        <f>((E19+E49+E60+E80+E88+E92+E93)/(1-($B$103)))*$B$105</f>
        <v>102.88167098742144</v>
      </c>
    </row>
    <row r="106" spans="1:6" ht="14.25" customHeight="1" x14ac:dyDescent="0.2">
      <c r="A106" s="489" t="s">
        <v>572</v>
      </c>
      <c r="B106" s="490">
        <f>B107+B108</f>
        <v>0.14250000000000002</v>
      </c>
      <c r="C106" s="491">
        <f>((C19+C49+C60+C80+C88+C92+C93)/(1-($B$106)))*$B$106</f>
        <v>633.99067161888433</v>
      </c>
      <c r="D106" s="620">
        <f>((D19+D49+D60+D80+D88+D92+D93)/(1-($B$106)))*$B$106</f>
        <v>482.52250479204014</v>
      </c>
      <c r="E106" s="621">
        <f>((E19+E49+E60+E80+E88+E92+E93)/(1-($B$106)))*$B$106</f>
        <v>370.79019141038793</v>
      </c>
    </row>
    <row r="107" spans="1:6" ht="14.25" customHeight="1" x14ac:dyDescent="0.2">
      <c r="A107" s="418" t="s">
        <v>567</v>
      </c>
      <c r="B107" s="442">
        <f>0.0165+0.076</f>
        <v>9.2499999999999999E-2</v>
      </c>
      <c r="C107" s="498">
        <f>((C19+C49+C60+C80+C88+C92+C93)/(1-($B$106)))*$B$107</f>
        <v>411.53780438418801</v>
      </c>
      <c r="D107" s="622">
        <f>((D19+D49+D60+D80+D88+D92+D93)/(1-($B$106)))*$B$107</f>
        <v>313.21636275974532</v>
      </c>
      <c r="E107" s="623">
        <f>((E19+E49+E60+E80+E88+E92+E93)/(1-($B$106)))*$B$107</f>
        <v>240.68836986288338</v>
      </c>
    </row>
    <row r="108" spans="1:6" ht="14.25" customHeight="1" x14ac:dyDescent="0.2">
      <c r="A108" s="418" t="s">
        <v>568</v>
      </c>
      <c r="B108" s="500">
        <v>0.05</v>
      </c>
      <c r="C108" s="501">
        <f>((C19+C49+C60+C80+C88+C92+C93)/(1-($B$106)))*$B$108</f>
        <v>222.45286723469621</v>
      </c>
      <c r="D108" s="626">
        <f>((D19+D49+D60+D80+D88+D92+D93)/(1-($B$106)))*$B$108</f>
        <v>169.30614203229479</v>
      </c>
      <c r="E108" s="627">
        <f>((E19+E49+E60+E80+E88+E92+E93)/(1-($B$106)))*$B$108</f>
        <v>130.10182154750453</v>
      </c>
    </row>
    <row r="109" spans="1:6" ht="14.25" customHeight="1" x14ac:dyDescent="0.2">
      <c r="A109" s="756" t="s">
        <v>573</v>
      </c>
      <c r="B109" s="503">
        <v>0.02</v>
      </c>
      <c r="C109" s="504">
        <f>C92+C93+C94</f>
        <v>830.22559673927776</v>
      </c>
      <c r="D109" s="628">
        <f>D92+D93+D94</f>
        <v>631.87449344983406</v>
      </c>
      <c r="E109" s="629">
        <f>E92+E93+E94</f>
        <v>485.5584186163141</v>
      </c>
    </row>
    <row r="110" spans="1:6" ht="14.25" customHeight="1" x14ac:dyDescent="0.2">
      <c r="A110" s="756"/>
      <c r="B110" s="506">
        <v>2.5000000000000001E-2</v>
      </c>
      <c r="C110" s="507">
        <f>C92+C93+C97</f>
        <v>854.58064871597674</v>
      </c>
      <c r="D110" s="630">
        <f>D92+D93+D97</f>
        <v>650.41082404619578</v>
      </c>
      <c r="E110" s="631">
        <f>E92+E93+E97</f>
        <v>499.80249946562787</v>
      </c>
    </row>
    <row r="111" spans="1:6" ht="14.25" customHeight="1" x14ac:dyDescent="0.2">
      <c r="A111" s="756"/>
      <c r="B111" s="506">
        <v>0.03</v>
      </c>
      <c r="C111" s="507">
        <f>C92+C93+C100</f>
        <v>879.21325114255274</v>
      </c>
      <c r="D111" s="630">
        <f>D92+D93+D100</f>
        <v>669.15839487727408</v>
      </c>
      <c r="E111" s="631">
        <f>E92+E93+E100</f>
        <v>514.20890602262625</v>
      </c>
      <c r="F111" s="497"/>
    </row>
    <row r="112" spans="1:6" ht="14.25" customHeight="1" x14ac:dyDescent="0.2">
      <c r="A112" s="756"/>
      <c r="B112" s="506">
        <v>0.04</v>
      </c>
      <c r="C112" s="507">
        <f>C92+C93+C103</f>
        <v>929.33030391823741</v>
      </c>
      <c r="D112" s="630">
        <f>D92+D93+D103</f>
        <v>707.30186751917972</v>
      </c>
      <c r="E112" s="631">
        <f>E92+E93+E103</f>
        <v>543.51992339795993</v>
      </c>
    </row>
    <row r="113" spans="1:5" ht="14.25" customHeight="1" x14ac:dyDescent="0.2">
      <c r="A113" s="756"/>
      <c r="B113" s="509">
        <v>0.05</v>
      </c>
      <c r="C113" s="510">
        <f>C92+C93+C106</f>
        <v>980.61626754583313</v>
      </c>
      <c r="D113" s="632">
        <f>D92+D93+D106</f>
        <v>746.33498383786434</v>
      </c>
      <c r="E113" s="633">
        <f>E92+E93+E106</f>
        <v>573.51457966251439</v>
      </c>
    </row>
    <row r="114" spans="1:5" ht="7.5" customHeight="1" x14ac:dyDescent="0.2">
      <c r="A114" s="757"/>
      <c r="B114" s="757"/>
      <c r="C114" s="757"/>
      <c r="D114" s="757"/>
      <c r="E114" s="757"/>
    </row>
    <row r="115" spans="1:5" ht="7.5" customHeight="1" x14ac:dyDescent="0.2">
      <c r="A115" s="758"/>
      <c r="B115" s="758"/>
      <c r="C115" s="758"/>
      <c r="D115" s="758"/>
      <c r="E115" s="758"/>
    </row>
    <row r="116" spans="1:5" ht="54.75" customHeight="1" x14ac:dyDescent="0.2">
      <c r="A116" s="759" t="s">
        <v>575</v>
      </c>
      <c r="B116" s="759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60" t="s">
        <v>576</v>
      </c>
      <c r="B117" s="760"/>
      <c r="C117" s="524" t="s">
        <v>504</v>
      </c>
      <c r="D117" s="636" t="s">
        <v>504</v>
      </c>
      <c r="E117" s="637" t="s">
        <v>504</v>
      </c>
    </row>
    <row r="118" spans="1:5" ht="14.25" customHeight="1" x14ac:dyDescent="0.2">
      <c r="A118" s="761" t="s">
        <v>577</v>
      </c>
      <c r="B118" s="761"/>
      <c r="C118" s="526">
        <f>C19</f>
        <v>1433.5527272727272</v>
      </c>
      <c r="D118" s="638">
        <f>D19</f>
        <v>1075.1645454545453</v>
      </c>
      <c r="E118" s="639">
        <f>E19</f>
        <v>716.77636363636361</v>
      </c>
    </row>
    <row r="119" spans="1:5" ht="14.25" customHeight="1" x14ac:dyDescent="0.2">
      <c r="A119" s="762" t="s">
        <v>578</v>
      </c>
      <c r="B119" s="762"/>
      <c r="C119" s="528">
        <f>C49</f>
        <v>1219.4409090909091</v>
      </c>
      <c r="D119" s="640">
        <f>D49</f>
        <v>871.18568181818182</v>
      </c>
      <c r="E119" s="641">
        <f>E49</f>
        <v>702.71045454545447</v>
      </c>
    </row>
    <row r="120" spans="1:5" ht="14.25" customHeight="1" x14ac:dyDescent="0.2">
      <c r="A120" s="762" t="s">
        <v>579</v>
      </c>
      <c r="B120" s="762"/>
      <c r="C120" s="528">
        <f>C60</f>
        <v>93.897703636363616</v>
      </c>
      <c r="D120" s="640">
        <f>D60</f>
        <v>70.423277727272705</v>
      </c>
      <c r="E120" s="641">
        <f>E60</f>
        <v>46.948851818181808</v>
      </c>
    </row>
    <row r="121" spans="1:5" ht="14.25" customHeight="1" x14ac:dyDescent="0.2">
      <c r="A121" s="762" t="s">
        <v>580</v>
      </c>
      <c r="B121" s="762"/>
      <c r="C121" s="528">
        <f>C80</f>
        <v>298.18932048142443</v>
      </c>
      <c r="D121" s="640">
        <f>D80</f>
        <v>219.34393514136414</v>
      </c>
      <c r="E121" s="641">
        <f>E80</f>
        <v>158.41576462090944</v>
      </c>
    </row>
    <row r="122" spans="1:5" ht="15.75" customHeight="1" x14ac:dyDescent="0.2">
      <c r="A122" s="762" t="s">
        <v>581</v>
      </c>
      <c r="B122" s="762"/>
      <c r="C122" s="528">
        <f>C88</f>
        <v>423.36041666666677</v>
      </c>
      <c r="D122" s="640">
        <f>D88</f>
        <v>403.67041666666671</v>
      </c>
      <c r="E122" s="641">
        <f>E88</f>
        <v>403.67041666666671</v>
      </c>
    </row>
    <row r="123" spans="1:5" ht="15.75" customHeight="1" x14ac:dyDescent="0.2">
      <c r="A123" s="763" t="s">
        <v>582</v>
      </c>
      <c r="B123" s="763"/>
      <c r="C123" s="530">
        <f>SUM(C118:C122)</f>
        <v>3468.4410771480912</v>
      </c>
      <c r="D123" s="642">
        <f>SUM(D118:D122)</f>
        <v>2639.7878568080309</v>
      </c>
      <c r="E123" s="643">
        <f>SUM(E118:E122)</f>
        <v>2028.5218512875758</v>
      </c>
    </row>
    <row r="124" spans="1:5" ht="15.75" customHeight="1" x14ac:dyDescent="0.2">
      <c r="A124" s="764" t="s">
        <v>583</v>
      </c>
      <c r="B124" s="764"/>
      <c r="C124" s="533">
        <f t="shared" ref="C124:E128" si="2">C109</f>
        <v>830.22559673927776</v>
      </c>
      <c r="D124" s="642">
        <f t="shared" si="2"/>
        <v>631.87449344983406</v>
      </c>
      <c r="E124" s="643">
        <f t="shared" si="2"/>
        <v>485.5584186163141</v>
      </c>
    </row>
    <row r="125" spans="1:5" ht="15.75" customHeight="1" x14ac:dyDescent="0.2">
      <c r="A125" s="762" t="s">
        <v>584</v>
      </c>
      <c r="B125" s="762"/>
      <c r="C125" s="535">
        <f t="shared" si="2"/>
        <v>854.58064871597674</v>
      </c>
      <c r="D125" s="642">
        <f t="shared" si="2"/>
        <v>650.41082404619578</v>
      </c>
      <c r="E125" s="643">
        <f t="shared" si="2"/>
        <v>499.80249946562787</v>
      </c>
    </row>
    <row r="126" spans="1:5" ht="15.75" customHeight="1" x14ac:dyDescent="0.2">
      <c r="A126" s="762" t="s">
        <v>585</v>
      </c>
      <c r="B126" s="762"/>
      <c r="C126" s="535">
        <f t="shared" si="2"/>
        <v>879.21325114255274</v>
      </c>
      <c r="D126" s="642">
        <f t="shared" si="2"/>
        <v>669.15839487727408</v>
      </c>
      <c r="E126" s="643">
        <f t="shared" si="2"/>
        <v>514.20890602262625</v>
      </c>
    </row>
    <row r="127" spans="1:5" ht="15.75" customHeight="1" x14ac:dyDescent="0.2">
      <c r="A127" s="762" t="s">
        <v>586</v>
      </c>
      <c r="B127" s="762"/>
      <c r="C127" s="535">
        <f t="shared" si="2"/>
        <v>929.33030391823741</v>
      </c>
      <c r="D127" s="642">
        <f t="shared" si="2"/>
        <v>707.30186751917972</v>
      </c>
      <c r="E127" s="643">
        <f t="shared" si="2"/>
        <v>543.51992339795993</v>
      </c>
    </row>
    <row r="128" spans="1:5" ht="15.75" customHeight="1" x14ac:dyDescent="0.2">
      <c r="A128" s="764" t="s">
        <v>587</v>
      </c>
      <c r="B128" s="764"/>
      <c r="C128" s="535">
        <f t="shared" si="2"/>
        <v>980.61626754583313</v>
      </c>
      <c r="D128" s="644">
        <f t="shared" si="2"/>
        <v>746.33498383786434</v>
      </c>
      <c r="E128" s="645">
        <f t="shared" si="2"/>
        <v>573.51457966251439</v>
      </c>
    </row>
    <row r="129" spans="1:5" ht="15.75" customHeight="1" x14ac:dyDescent="0.2">
      <c r="A129" s="537" t="s">
        <v>588</v>
      </c>
      <c r="B129" s="538"/>
      <c r="C129" s="539">
        <f>C123+C124</f>
        <v>4298.6666738873691</v>
      </c>
      <c r="D129" s="539">
        <f>D123+D124</f>
        <v>3271.662350257865</v>
      </c>
      <c r="E129" s="540">
        <f>E123+E124</f>
        <v>2514.08026990389</v>
      </c>
    </row>
    <row r="130" spans="1:5" ht="15.75" customHeight="1" x14ac:dyDescent="0.2">
      <c r="A130" s="541" t="s">
        <v>589</v>
      </c>
      <c r="B130" s="542"/>
      <c r="C130" s="543">
        <f>C123+C125</f>
        <v>4323.0217258640678</v>
      </c>
      <c r="D130" s="543">
        <f>D123+D125</f>
        <v>3290.198680854227</v>
      </c>
      <c r="E130" s="544">
        <f>E123+E125</f>
        <v>2528.3243507532038</v>
      </c>
    </row>
    <row r="131" spans="1:5" ht="15.75" customHeight="1" x14ac:dyDescent="0.2">
      <c r="A131" s="541" t="s">
        <v>590</v>
      </c>
      <c r="B131" s="542"/>
      <c r="C131" s="543">
        <f>C123+C126</f>
        <v>4347.6543282906441</v>
      </c>
      <c r="D131" s="543">
        <f>D123+D126</f>
        <v>3308.946251685305</v>
      </c>
      <c r="E131" s="544">
        <f>E123+E126</f>
        <v>2542.7307573102021</v>
      </c>
    </row>
    <row r="132" spans="1:5" ht="15.75" customHeight="1" x14ac:dyDescent="0.2">
      <c r="A132" s="541" t="s">
        <v>591</v>
      </c>
      <c r="B132" s="542"/>
      <c r="C132" s="543">
        <f>C123+C127</f>
        <v>4397.7713810663281</v>
      </c>
      <c r="D132" s="543">
        <f>D123+D127</f>
        <v>3347.0897243272107</v>
      </c>
      <c r="E132" s="544">
        <f>E123+E127</f>
        <v>2572.0417746855355</v>
      </c>
    </row>
    <row r="133" spans="1:5" ht="15.75" customHeight="1" x14ac:dyDescent="0.2">
      <c r="A133" s="541" t="s">
        <v>592</v>
      </c>
      <c r="B133" s="542"/>
      <c r="C133" s="543">
        <f>C123+C128</f>
        <v>4449.0573446939243</v>
      </c>
      <c r="D133" s="646">
        <f>D123+D128</f>
        <v>3386.1228406458954</v>
      </c>
      <c r="E133" s="647">
        <f>E123+E128</f>
        <v>2602.0364309500901</v>
      </c>
    </row>
    <row r="134" spans="1:5" ht="15.75" customHeight="1" x14ac:dyDescent="0.2">
      <c r="A134" s="545" t="s">
        <v>593</v>
      </c>
      <c r="B134" s="546"/>
      <c r="C134" s="547">
        <f>C129/200</f>
        <v>21.493333369436847</v>
      </c>
      <c r="D134" s="547"/>
      <c r="E134" s="648"/>
    </row>
    <row r="135" spans="1:5" ht="15.75" customHeight="1" x14ac:dyDescent="0.2">
      <c r="A135" s="550" t="s">
        <v>594</v>
      </c>
      <c r="B135" s="551"/>
      <c r="C135" s="552">
        <f>C130/200</f>
        <v>21.615108629320339</v>
      </c>
      <c r="D135" s="552"/>
      <c r="E135" s="649"/>
    </row>
    <row r="136" spans="1:5" ht="15.75" customHeight="1" x14ac:dyDescent="0.2">
      <c r="A136" s="550" t="s">
        <v>595</v>
      </c>
      <c r="B136" s="551"/>
      <c r="C136" s="552">
        <f>C131/200</f>
        <v>21.73827164145322</v>
      </c>
      <c r="D136" s="552"/>
      <c r="E136" s="649"/>
    </row>
    <row r="137" spans="1:5" ht="15.75" customHeight="1" x14ac:dyDescent="0.2">
      <c r="A137" s="550" t="s">
        <v>596</v>
      </c>
      <c r="B137" s="551"/>
      <c r="C137" s="552">
        <f>C132/200</f>
        <v>21.988856905331641</v>
      </c>
      <c r="D137" s="552"/>
      <c r="E137" s="649"/>
    </row>
    <row r="138" spans="1:5" ht="15.75" customHeight="1" x14ac:dyDescent="0.2">
      <c r="A138" s="555" t="s">
        <v>597</v>
      </c>
      <c r="B138" s="556"/>
      <c r="C138" s="557">
        <f>C133/200</f>
        <v>22.245286723469622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7"/>
  <sheetViews>
    <sheetView showGridLines="0" zoomScale="75" zoomScaleNormal="75" workbookViewId="0">
      <pane xSplit="2" topLeftCell="C1" activePane="topRight" state="frozen"/>
      <selection pane="topRight" activeCell="D127" sqref="D127"/>
    </sheetView>
  </sheetViews>
  <sheetFormatPr defaultRowHeight="14.25" x14ac:dyDescent="0.2"/>
  <cols>
    <col min="1" max="1" width="51.125" style="89" customWidth="1"/>
    <col min="2" max="2" width="15.5" style="89" customWidth="1"/>
    <col min="3" max="4" width="15.625" style="89" customWidth="1"/>
    <col min="5" max="5" width="16" style="89" customWidth="1"/>
    <col min="6" max="6" width="17.375" style="89" customWidth="1"/>
    <col min="7" max="7" width="16.5" style="89" customWidth="1"/>
    <col min="8" max="9" width="15.25" style="89" customWidth="1"/>
    <col min="10" max="11" width="16" style="89" customWidth="1"/>
    <col min="12" max="12" width="10.5" style="89" customWidth="1"/>
    <col min="13" max="1025" width="9" style="89" customWidth="1"/>
  </cols>
  <sheetData>
    <row r="1" spans="1:19" s="90" customFormat="1" ht="20.25" customHeight="1" x14ac:dyDescent="0.2">
      <c r="A1" s="694" t="s">
        <v>128</v>
      </c>
      <c r="B1" s="694"/>
      <c r="C1" s="694"/>
      <c r="D1" s="694"/>
      <c r="E1" s="694"/>
      <c r="F1" s="694"/>
      <c r="G1" s="694"/>
      <c r="H1" s="694"/>
      <c r="J1" s="91" t="s">
        <v>129</v>
      </c>
      <c r="K1" s="92"/>
      <c r="L1" s="93"/>
      <c r="M1" s="92"/>
      <c r="N1" s="92"/>
      <c r="O1" s="92"/>
      <c r="P1" s="92"/>
      <c r="Q1" s="92"/>
      <c r="R1" s="92"/>
      <c r="S1" s="94"/>
    </row>
    <row r="2" spans="1:19" ht="52.5" customHeight="1" x14ac:dyDescent="0.2">
      <c r="A2" s="95" t="s">
        <v>130</v>
      </c>
      <c r="B2" s="96" t="s">
        <v>131</v>
      </c>
      <c r="C2" s="96" t="s">
        <v>132</v>
      </c>
      <c r="D2" s="96" t="s">
        <v>133</v>
      </c>
      <c r="E2" s="96" t="s">
        <v>134</v>
      </c>
      <c r="F2" s="97" t="s">
        <v>135</v>
      </c>
      <c r="G2" s="98" t="s">
        <v>136</v>
      </c>
      <c r="H2" s="99" t="s">
        <v>137</v>
      </c>
      <c r="J2" s="100" t="s">
        <v>138</v>
      </c>
      <c r="K2" s="101"/>
      <c r="L2" s="101"/>
      <c r="M2" s="101"/>
      <c r="N2" s="101"/>
      <c r="O2" s="101"/>
      <c r="P2" s="101"/>
      <c r="Q2" s="101"/>
      <c r="R2" s="101"/>
      <c r="S2" s="102"/>
    </row>
    <row r="3" spans="1:19" ht="15" customHeight="1" x14ac:dyDescent="0.2">
      <c r="A3" s="103" t="s">
        <v>139</v>
      </c>
      <c r="B3" s="104" t="s">
        <v>140</v>
      </c>
      <c r="C3" s="105">
        <v>0.31</v>
      </c>
      <c r="D3" s="106">
        <v>6.61</v>
      </c>
      <c r="E3" s="106">
        <v>7.33</v>
      </c>
      <c r="F3" s="107">
        <f t="shared" ref="F3:F36" si="0">(D3+E3)/2</f>
        <v>6.9700000000000006</v>
      </c>
      <c r="G3" s="108">
        <f t="shared" ref="G3:G36" si="1">C3*F3</f>
        <v>2.1607000000000003</v>
      </c>
      <c r="H3" s="109" t="s">
        <v>141</v>
      </c>
      <c r="J3" s="110" t="s">
        <v>142</v>
      </c>
      <c r="K3" s="111"/>
      <c r="L3" s="111"/>
      <c r="M3" s="111"/>
      <c r="N3" s="111"/>
      <c r="O3" s="111"/>
      <c r="P3" s="111"/>
      <c r="Q3" s="111"/>
      <c r="R3" s="111"/>
      <c r="S3" s="112"/>
    </row>
    <row r="4" spans="1:19" ht="15" customHeight="1" x14ac:dyDescent="0.2">
      <c r="A4" s="103" t="s">
        <v>143</v>
      </c>
      <c r="B4" s="104" t="s">
        <v>140</v>
      </c>
      <c r="C4" s="105">
        <v>4.74</v>
      </c>
      <c r="D4" s="106">
        <v>2.2000000000000002</v>
      </c>
      <c r="E4" s="106">
        <v>2.0099999999999998</v>
      </c>
      <c r="F4" s="107">
        <f t="shared" si="0"/>
        <v>2.105</v>
      </c>
      <c r="G4" s="108">
        <f t="shared" si="1"/>
        <v>9.9777000000000005</v>
      </c>
      <c r="H4" s="113" t="s">
        <v>144</v>
      </c>
      <c r="J4" s="110" t="s">
        <v>145</v>
      </c>
      <c r="K4" s="111"/>
      <c r="L4" s="111"/>
      <c r="M4" s="111"/>
      <c r="N4" s="111"/>
      <c r="O4" s="111"/>
      <c r="P4" s="111"/>
      <c r="Q4" s="111"/>
      <c r="R4" s="111"/>
      <c r="S4" s="112"/>
    </row>
    <row r="5" spans="1:19" ht="15" customHeight="1" x14ac:dyDescent="0.2">
      <c r="A5" s="103" t="s">
        <v>146</v>
      </c>
      <c r="B5" s="104" t="s">
        <v>147</v>
      </c>
      <c r="C5" s="105">
        <v>2.02</v>
      </c>
      <c r="D5" s="106">
        <v>7.37</v>
      </c>
      <c r="E5" s="106">
        <v>8.2100000000000009</v>
      </c>
      <c r="F5" s="107">
        <f t="shared" si="0"/>
        <v>7.7900000000000009</v>
      </c>
      <c r="G5" s="108">
        <f t="shared" si="1"/>
        <v>15.735800000000001</v>
      </c>
      <c r="H5" s="113" t="s">
        <v>148</v>
      </c>
      <c r="J5" s="110" t="s">
        <v>149</v>
      </c>
      <c r="K5" s="111"/>
      <c r="L5" s="111"/>
      <c r="M5" s="111"/>
      <c r="N5" s="111"/>
      <c r="O5" s="111"/>
      <c r="P5" s="111"/>
      <c r="Q5" s="111"/>
      <c r="R5" s="111"/>
      <c r="S5" s="112"/>
    </row>
    <row r="6" spans="1:19" ht="15" customHeight="1" x14ac:dyDescent="0.2">
      <c r="A6" s="103" t="s">
        <v>150</v>
      </c>
      <c r="B6" s="104" t="s">
        <v>140</v>
      </c>
      <c r="C6" s="105">
        <v>2.52</v>
      </c>
      <c r="D6" s="106">
        <v>7.25</v>
      </c>
      <c r="E6" s="106">
        <v>6.84</v>
      </c>
      <c r="F6" s="107">
        <f t="shared" si="0"/>
        <v>7.0449999999999999</v>
      </c>
      <c r="G6" s="108">
        <f t="shared" si="1"/>
        <v>17.753399999999999</v>
      </c>
      <c r="H6" s="113" t="s">
        <v>148</v>
      </c>
      <c r="J6" s="114" t="s">
        <v>151</v>
      </c>
      <c r="K6" s="115"/>
      <c r="L6" s="115"/>
      <c r="M6" s="115"/>
      <c r="N6" s="115"/>
      <c r="O6" s="115"/>
      <c r="P6" s="115"/>
      <c r="Q6" s="115"/>
      <c r="R6" s="115"/>
      <c r="S6" s="116"/>
    </row>
    <row r="7" spans="1:19" ht="15" customHeight="1" x14ac:dyDescent="0.2">
      <c r="A7" s="103" t="s">
        <v>152</v>
      </c>
      <c r="B7" s="104" t="s">
        <v>153</v>
      </c>
      <c r="C7" s="105">
        <v>0.3</v>
      </c>
      <c r="D7" s="106">
        <v>18.54</v>
      </c>
      <c r="E7" s="106">
        <v>24.19</v>
      </c>
      <c r="F7" s="107">
        <f t="shared" si="0"/>
        <v>21.365000000000002</v>
      </c>
      <c r="G7" s="108">
        <f t="shared" si="1"/>
        <v>6.4095000000000004</v>
      </c>
      <c r="H7" s="113" t="s">
        <v>154</v>
      </c>
    </row>
    <row r="8" spans="1:19" ht="15" customHeight="1" x14ac:dyDescent="0.2">
      <c r="A8" s="103" t="s">
        <v>155</v>
      </c>
      <c r="B8" s="104" t="s">
        <v>153</v>
      </c>
      <c r="C8" s="105">
        <v>1.35</v>
      </c>
      <c r="D8" s="106">
        <v>5.46</v>
      </c>
      <c r="E8" s="106">
        <v>11.8</v>
      </c>
      <c r="F8" s="107">
        <f t="shared" si="0"/>
        <v>8.6300000000000008</v>
      </c>
      <c r="G8" s="108">
        <f t="shared" si="1"/>
        <v>11.650500000000001</v>
      </c>
      <c r="H8" s="113" t="s">
        <v>156</v>
      </c>
    </row>
    <row r="9" spans="1:19" ht="15" customHeight="1" x14ac:dyDescent="0.2">
      <c r="A9" s="103" t="s">
        <v>157</v>
      </c>
      <c r="B9" s="104" t="s">
        <v>153</v>
      </c>
      <c r="C9" s="105">
        <v>0.2</v>
      </c>
      <c r="D9" s="106">
        <v>47.92</v>
      </c>
      <c r="E9" s="106">
        <v>50.74</v>
      </c>
      <c r="F9" s="107">
        <f t="shared" si="0"/>
        <v>49.33</v>
      </c>
      <c r="G9" s="108">
        <f t="shared" si="1"/>
        <v>9.8659999999999997</v>
      </c>
      <c r="H9" s="113" t="s">
        <v>158</v>
      </c>
    </row>
    <row r="10" spans="1:19" ht="15" customHeight="1" x14ac:dyDescent="0.2">
      <c r="A10" s="103" t="s">
        <v>159</v>
      </c>
      <c r="B10" s="104" t="s">
        <v>153</v>
      </c>
      <c r="C10" s="105">
        <v>0.5</v>
      </c>
      <c r="D10" s="106">
        <v>12.32</v>
      </c>
      <c r="E10" s="106">
        <v>14.65</v>
      </c>
      <c r="F10" s="107">
        <f t="shared" si="0"/>
        <v>13.484999999999999</v>
      </c>
      <c r="G10" s="108">
        <f t="shared" si="1"/>
        <v>6.7424999999999997</v>
      </c>
      <c r="H10" s="113" t="s">
        <v>160</v>
      </c>
    </row>
    <row r="11" spans="1:19" ht="15" customHeight="1" x14ac:dyDescent="0.2">
      <c r="A11" s="103" t="s">
        <v>161</v>
      </c>
      <c r="B11" s="104" t="s">
        <v>147</v>
      </c>
      <c r="C11" s="105">
        <v>1.43</v>
      </c>
      <c r="D11" s="106">
        <v>1.44</v>
      </c>
      <c r="E11" s="106">
        <v>1.82</v>
      </c>
      <c r="F11" s="107">
        <f t="shared" si="0"/>
        <v>1.63</v>
      </c>
      <c r="G11" s="108">
        <f t="shared" si="1"/>
        <v>2.3308999999999997</v>
      </c>
      <c r="H11" s="113" t="s">
        <v>162</v>
      </c>
    </row>
    <row r="12" spans="1:19" ht="15" customHeight="1" x14ac:dyDescent="0.2">
      <c r="A12" s="103" t="s">
        <v>163</v>
      </c>
      <c r="B12" s="104" t="s">
        <v>164</v>
      </c>
      <c r="C12" s="105">
        <v>1.0900000000000001</v>
      </c>
      <c r="D12" s="106">
        <v>6.86</v>
      </c>
      <c r="E12" s="106">
        <v>7.94</v>
      </c>
      <c r="F12" s="107">
        <f t="shared" si="0"/>
        <v>7.4</v>
      </c>
      <c r="G12" s="108">
        <f t="shared" si="1"/>
        <v>8.0660000000000007</v>
      </c>
      <c r="H12" s="113" t="s">
        <v>165</v>
      </c>
    </row>
    <row r="13" spans="1:19" ht="15" customHeight="1" x14ac:dyDescent="0.2">
      <c r="A13" s="103" t="s">
        <v>166</v>
      </c>
      <c r="B13" s="104" t="s">
        <v>164</v>
      </c>
      <c r="C13" s="105">
        <v>1.27</v>
      </c>
      <c r="D13" s="106">
        <v>2.0699999999999998</v>
      </c>
      <c r="E13" s="106">
        <v>2.86</v>
      </c>
      <c r="F13" s="107">
        <f t="shared" si="0"/>
        <v>2.4649999999999999</v>
      </c>
      <c r="G13" s="108">
        <f t="shared" si="1"/>
        <v>3.1305499999999999</v>
      </c>
      <c r="H13" s="113" t="s">
        <v>167</v>
      </c>
    </row>
    <row r="14" spans="1:19" ht="15" customHeight="1" x14ac:dyDescent="0.2">
      <c r="A14" s="103" t="s">
        <v>168</v>
      </c>
      <c r="B14" s="104" t="s">
        <v>164</v>
      </c>
      <c r="C14" s="105">
        <v>2.2200000000000002</v>
      </c>
      <c r="D14" s="106">
        <v>0.69</v>
      </c>
      <c r="E14" s="106">
        <v>0.83</v>
      </c>
      <c r="F14" s="107">
        <f t="shared" si="0"/>
        <v>0.76</v>
      </c>
      <c r="G14" s="108">
        <f t="shared" si="1"/>
        <v>1.6872000000000003</v>
      </c>
      <c r="H14" s="113" t="s">
        <v>156</v>
      </c>
    </row>
    <row r="15" spans="1:19" ht="15" customHeight="1" x14ac:dyDescent="0.2">
      <c r="A15" s="103" t="s">
        <v>169</v>
      </c>
      <c r="B15" s="104" t="s">
        <v>164</v>
      </c>
      <c r="C15" s="105">
        <v>2.41</v>
      </c>
      <c r="D15" s="106">
        <v>1.64</v>
      </c>
      <c r="E15" s="106">
        <v>2.9</v>
      </c>
      <c r="F15" s="107">
        <f t="shared" si="0"/>
        <v>2.27</v>
      </c>
      <c r="G15" s="108">
        <f t="shared" si="1"/>
        <v>5.4707000000000008</v>
      </c>
      <c r="H15" s="113" t="s">
        <v>170</v>
      </c>
    </row>
    <row r="16" spans="1:19" ht="15" customHeight="1" x14ac:dyDescent="0.2">
      <c r="A16" s="103" t="s">
        <v>171</v>
      </c>
      <c r="B16" s="104" t="s">
        <v>164</v>
      </c>
      <c r="C16" s="105">
        <v>0.25</v>
      </c>
      <c r="D16" s="106">
        <v>7.21</v>
      </c>
      <c r="E16" s="106">
        <v>8.66</v>
      </c>
      <c r="F16" s="107">
        <f t="shared" si="0"/>
        <v>7.9350000000000005</v>
      </c>
      <c r="G16" s="108">
        <f t="shared" si="1"/>
        <v>1.9837500000000001</v>
      </c>
      <c r="H16" s="113" t="s">
        <v>172</v>
      </c>
    </row>
    <row r="17" spans="1:8" ht="15" customHeight="1" x14ac:dyDescent="0.2">
      <c r="A17" s="103" t="s">
        <v>173</v>
      </c>
      <c r="B17" s="104" t="s">
        <v>174</v>
      </c>
      <c r="C17" s="105">
        <v>0.65</v>
      </c>
      <c r="D17" s="106">
        <v>1.38</v>
      </c>
      <c r="E17" s="106">
        <v>2.37</v>
      </c>
      <c r="F17" s="107">
        <f t="shared" si="0"/>
        <v>1.875</v>
      </c>
      <c r="G17" s="108">
        <f t="shared" si="1"/>
        <v>1.21875</v>
      </c>
      <c r="H17" s="113" t="s">
        <v>162</v>
      </c>
    </row>
    <row r="18" spans="1:8" ht="15" customHeight="1" x14ac:dyDescent="0.2">
      <c r="A18" s="103" t="s">
        <v>175</v>
      </c>
      <c r="B18" s="104" t="s">
        <v>147</v>
      </c>
      <c r="C18" s="105">
        <v>0.22</v>
      </c>
      <c r="D18" s="106">
        <v>2.41</v>
      </c>
      <c r="E18" s="106">
        <v>4.2300000000000004</v>
      </c>
      <c r="F18" s="107">
        <f t="shared" si="0"/>
        <v>3.3200000000000003</v>
      </c>
      <c r="G18" s="108">
        <f t="shared" si="1"/>
        <v>0.73040000000000005</v>
      </c>
      <c r="H18" s="113" t="s">
        <v>176</v>
      </c>
    </row>
    <row r="19" spans="1:8" ht="15" customHeight="1" x14ac:dyDescent="0.2">
      <c r="A19" s="103" t="s">
        <v>177</v>
      </c>
      <c r="B19" s="104" t="s">
        <v>178</v>
      </c>
      <c r="C19" s="105">
        <v>1.61</v>
      </c>
      <c r="D19" s="106">
        <v>3.57</v>
      </c>
      <c r="E19" s="106">
        <v>3.76</v>
      </c>
      <c r="F19" s="107">
        <f t="shared" si="0"/>
        <v>3.665</v>
      </c>
      <c r="G19" s="108">
        <f t="shared" si="1"/>
        <v>5.9006500000000006</v>
      </c>
      <c r="H19" s="113" t="s">
        <v>179</v>
      </c>
    </row>
    <row r="20" spans="1:8" ht="15" customHeight="1" x14ac:dyDescent="0.2">
      <c r="A20" s="103" t="s">
        <v>180</v>
      </c>
      <c r="B20" s="104" t="s">
        <v>147</v>
      </c>
      <c r="C20" s="105">
        <v>2.2000000000000002</v>
      </c>
      <c r="D20" s="106">
        <v>2.5299999999999998</v>
      </c>
      <c r="E20" s="106">
        <v>3.51</v>
      </c>
      <c r="F20" s="107">
        <f t="shared" si="0"/>
        <v>3.0199999999999996</v>
      </c>
      <c r="G20" s="108">
        <f t="shared" si="1"/>
        <v>6.6439999999999992</v>
      </c>
      <c r="H20" s="113" t="s">
        <v>160</v>
      </c>
    </row>
    <row r="21" spans="1:8" ht="15" customHeight="1" x14ac:dyDescent="0.2">
      <c r="A21" s="103" t="s">
        <v>181</v>
      </c>
      <c r="B21" s="104" t="s">
        <v>182</v>
      </c>
      <c r="C21" s="105">
        <v>0.3</v>
      </c>
      <c r="D21" s="106">
        <v>1.87</v>
      </c>
      <c r="E21" s="106">
        <v>2.73</v>
      </c>
      <c r="F21" s="107">
        <f t="shared" si="0"/>
        <v>2.2999999999999998</v>
      </c>
      <c r="G21" s="108">
        <f t="shared" si="1"/>
        <v>0.69</v>
      </c>
      <c r="H21" s="113" t="s">
        <v>148</v>
      </c>
    </row>
    <row r="22" spans="1:8" ht="15" customHeight="1" x14ac:dyDescent="0.2">
      <c r="A22" s="103" t="s">
        <v>183</v>
      </c>
      <c r="B22" s="104" t="s">
        <v>184</v>
      </c>
      <c r="C22" s="105">
        <v>2.2999999999999998</v>
      </c>
      <c r="D22" s="106">
        <v>4.3</v>
      </c>
      <c r="E22" s="106">
        <v>5.1100000000000003</v>
      </c>
      <c r="F22" s="107">
        <f t="shared" si="0"/>
        <v>4.7050000000000001</v>
      </c>
      <c r="G22" s="108">
        <f t="shared" si="1"/>
        <v>10.821499999999999</v>
      </c>
      <c r="H22" s="113" t="s">
        <v>160</v>
      </c>
    </row>
    <row r="23" spans="1:8" ht="15" customHeight="1" x14ac:dyDescent="0.2">
      <c r="A23" s="103" t="s">
        <v>185</v>
      </c>
      <c r="B23" s="104" t="s">
        <v>164</v>
      </c>
      <c r="C23" s="105">
        <v>1.48</v>
      </c>
      <c r="D23" s="106">
        <v>7.44</v>
      </c>
      <c r="E23" s="106">
        <v>7.96</v>
      </c>
      <c r="F23" s="107">
        <f t="shared" si="0"/>
        <v>7.7</v>
      </c>
      <c r="G23" s="108">
        <f t="shared" si="1"/>
        <v>11.396000000000001</v>
      </c>
      <c r="H23" s="113" t="s">
        <v>162</v>
      </c>
    </row>
    <row r="24" spans="1:8" ht="15" customHeight="1" x14ac:dyDescent="0.2">
      <c r="A24" s="103" t="s">
        <v>186</v>
      </c>
      <c r="B24" s="104" t="s">
        <v>164</v>
      </c>
      <c r="C24" s="105">
        <v>2.58</v>
      </c>
      <c r="D24" s="106">
        <v>3.37</v>
      </c>
      <c r="E24" s="106">
        <v>4.33</v>
      </c>
      <c r="F24" s="107">
        <f t="shared" si="0"/>
        <v>3.85</v>
      </c>
      <c r="G24" s="108">
        <f t="shared" si="1"/>
        <v>9.9329999999999998</v>
      </c>
      <c r="H24" s="113" t="s">
        <v>160</v>
      </c>
    </row>
    <row r="25" spans="1:8" ht="15" customHeight="1" x14ac:dyDescent="0.2">
      <c r="A25" s="103" t="s">
        <v>187</v>
      </c>
      <c r="B25" s="104" t="s">
        <v>188</v>
      </c>
      <c r="C25" s="105">
        <v>0.62</v>
      </c>
      <c r="D25" s="106">
        <v>59.32</v>
      </c>
      <c r="E25" s="106">
        <v>74.08</v>
      </c>
      <c r="F25" s="107">
        <f t="shared" si="0"/>
        <v>66.7</v>
      </c>
      <c r="G25" s="108">
        <f t="shared" si="1"/>
        <v>41.353999999999999</v>
      </c>
      <c r="H25" s="113" t="s">
        <v>162</v>
      </c>
    </row>
    <row r="26" spans="1:8" ht="15" customHeight="1" x14ac:dyDescent="0.2">
      <c r="A26" s="103" t="s">
        <v>189</v>
      </c>
      <c r="B26" s="104" t="s">
        <v>190</v>
      </c>
      <c r="C26" s="105">
        <v>2.41</v>
      </c>
      <c r="D26" s="106">
        <v>27.95</v>
      </c>
      <c r="E26" s="106">
        <v>26.37</v>
      </c>
      <c r="F26" s="107">
        <f t="shared" si="0"/>
        <v>27.16</v>
      </c>
      <c r="G26" s="108">
        <f t="shared" si="1"/>
        <v>65.455600000000004</v>
      </c>
      <c r="H26" s="113" t="s">
        <v>162</v>
      </c>
    </row>
    <row r="27" spans="1:8" ht="15" customHeight="1" x14ac:dyDescent="0.2">
      <c r="A27" s="103" t="s">
        <v>191</v>
      </c>
      <c r="B27" s="104" t="s">
        <v>192</v>
      </c>
      <c r="C27" s="105">
        <v>5.88</v>
      </c>
      <c r="D27" s="106">
        <v>10.61</v>
      </c>
      <c r="E27" s="106">
        <v>9.8000000000000007</v>
      </c>
      <c r="F27" s="107">
        <f t="shared" si="0"/>
        <v>10.205</v>
      </c>
      <c r="G27" s="108">
        <f t="shared" si="1"/>
        <v>60.005400000000002</v>
      </c>
      <c r="H27" s="113" t="s">
        <v>162</v>
      </c>
    </row>
    <row r="28" spans="1:8" ht="15" customHeight="1" x14ac:dyDescent="0.2">
      <c r="A28" s="103" t="s">
        <v>193</v>
      </c>
      <c r="B28" s="104" t="s">
        <v>194</v>
      </c>
      <c r="C28" s="105">
        <v>2.75</v>
      </c>
      <c r="D28" s="106">
        <v>1.37</v>
      </c>
      <c r="E28" s="106">
        <v>1.22</v>
      </c>
      <c r="F28" s="107">
        <f t="shared" si="0"/>
        <v>1.2949999999999999</v>
      </c>
      <c r="G28" s="108">
        <f t="shared" si="1"/>
        <v>3.5612499999999998</v>
      </c>
      <c r="H28" s="113" t="s">
        <v>162</v>
      </c>
    </row>
    <row r="29" spans="1:8" ht="15" customHeight="1" x14ac:dyDescent="0.2">
      <c r="A29" s="103" t="s">
        <v>195</v>
      </c>
      <c r="B29" s="104" t="s">
        <v>153</v>
      </c>
      <c r="C29" s="105">
        <v>0.67</v>
      </c>
      <c r="D29" s="106">
        <v>19.739999999999998</v>
      </c>
      <c r="E29" s="106">
        <v>20.96</v>
      </c>
      <c r="F29" s="107">
        <f t="shared" si="0"/>
        <v>20.350000000000001</v>
      </c>
      <c r="G29" s="108">
        <f t="shared" si="1"/>
        <v>13.634500000000001</v>
      </c>
      <c r="H29" s="113" t="s">
        <v>160</v>
      </c>
    </row>
    <row r="30" spans="1:8" ht="15" customHeight="1" x14ac:dyDescent="0.2">
      <c r="A30" s="103" t="s">
        <v>196</v>
      </c>
      <c r="B30" s="104" t="s">
        <v>164</v>
      </c>
      <c r="C30" s="105">
        <v>1.2</v>
      </c>
      <c r="D30" s="106">
        <v>1.19</v>
      </c>
      <c r="E30" s="106">
        <v>2.75</v>
      </c>
      <c r="F30" s="107">
        <f t="shared" si="0"/>
        <v>1.97</v>
      </c>
      <c r="G30" s="108">
        <f t="shared" si="1"/>
        <v>2.3639999999999999</v>
      </c>
      <c r="H30" s="113" t="s">
        <v>160</v>
      </c>
    </row>
    <row r="31" spans="1:8" ht="15" customHeight="1" x14ac:dyDescent="0.2">
      <c r="A31" s="103" t="s">
        <v>197</v>
      </c>
      <c r="B31" s="104" t="s">
        <v>198</v>
      </c>
      <c r="C31" s="105">
        <v>0.79</v>
      </c>
      <c r="D31" s="106">
        <v>4.72</v>
      </c>
      <c r="E31" s="106">
        <v>4.93</v>
      </c>
      <c r="F31" s="107">
        <f t="shared" si="0"/>
        <v>4.8249999999999993</v>
      </c>
      <c r="G31" s="108">
        <f t="shared" si="1"/>
        <v>3.8117499999999995</v>
      </c>
      <c r="H31" s="113" t="s">
        <v>160</v>
      </c>
    </row>
    <row r="32" spans="1:8" ht="15" customHeight="1" x14ac:dyDescent="0.2">
      <c r="A32" s="103" t="s">
        <v>199</v>
      </c>
      <c r="B32" s="104" t="s">
        <v>153</v>
      </c>
      <c r="C32" s="105">
        <v>0.77</v>
      </c>
      <c r="D32" s="106">
        <v>16.22</v>
      </c>
      <c r="E32" s="106">
        <v>25.11</v>
      </c>
      <c r="F32" s="107">
        <f t="shared" si="0"/>
        <v>20.664999999999999</v>
      </c>
      <c r="G32" s="108">
        <f t="shared" si="1"/>
        <v>15.912049999999999</v>
      </c>
      <c r="H32" s="113" t="s">
        <v>162</v>
      </c>
    </row>
    <row r="33" spans="1:8" ht="15" customHeight="1" x14ac:dyDescent="0.2">
      <c r="A33" s="103" t="s">
        <v>200</v>
      </c>
      <c r="B33" s="104" t="s">
        <v>164</v>
      </c>
      <c r="C33" s="105">
        <v>1.53</v>
      </c>
      <c r="D33" s="106">
        <v>3.47</v>
      </c>
      <c r="E33" s="106">
        <v>4.25</v>
      </c>
      <c r="F33" s="107">
        <f t="shared" si="0"/>
        <v>3.8600000000000003</v>
      </c>
      <c r="G33" s="108">
        <f t="shared" si="1"/>
        <v>5.9058000000000002</v>
      </c>
      <c r="H33" s="113" t="s">
        <v>201</v>
      </c>
    </row>
    <row r="34" spans="1:8" ht="15" customHeight="1" x14ac:dyDescent="0.2">
      <c r="A34" s="103" t="s">
        <v>202</v>
      </c>
      <c r="B34" s="104" t="s">
        <v>203</v>
      </c>
      <c r="C34" s="105">
        <v>0.68</v>
      </c>
      <c r="D34" s="106">
        <v>14.06</v>
      </c>
      <c r="E34" s="106">
        <v>17.690000000000001</v>
      </c>
      <c r="F34" s="107">
        <f t="shared" si="0"/>
        <v>15.875</v>
      </c>
      <c r="G34" s="108">
        <f t="shared" si="1"/>
        <v>10.795</v>
      </c>
      <c r="H34" s="113" t="s">
        <v>204</v>
      </c>
    </row>
    <row r="35" spans="1:8" ht="15" customHeight="1" x14ac:dyDescent="0.2">
      <c r="A35" s="103" t="s">
        <v>205</v>
      </c>
      <c r="B35" s="104" t="s">
        <v>203</v>
      </c>
      <c r="C35" s="105">
        <v>0.65</v>
      </c>
      <c r="D35" s="106">
        <v>14.34</v>
      </c>
      <c r="E35" s="106">
        <v>19.29</v>
      </c>
      <c r="F35" s="107">
        <f t="shared" si="0"/>
        <v>16.814999999999998</v>
      </c>
      <c r="G35" s="108">
        <f t="shared" si="1"/>
        <v>10.929749999999999</v>
      </c>
      <c r="H35" s="113" t="s">
        <v>204</v>
      </c>
    </row>
    <row r="36" spans="1:8" ht="15" customHeight="1" x14ac:dyDescent="0.2">
      <c r="A36" s="117" t="s">
        <v>206</v>
      </c>
      <c r="B36" s="118" t="s">
        <v>203</v>
      </c>
      <c r="C36" s="119">
        <v>1.02</v>
      </c>
      <c r="D36" s="120">
        <v>24.89</v>
      </c>
      <c r="E36" s="120">
        <v>25.63</v>
      </c>
      <c r="F36" s="121">
        <f t="shared" si="0"/>
        <v>25.259999999999998</v>
      </c>
      <c r="G36" s="122">
        <f t="shared" si="1"/>
        <v>25.7652</v>
      </c>
      <c r="H36" s="123" t="s">
        <v>160</v>
      </c>
    </row>
    <row r="37" spans="1:8" ht="20.25" customHeight="1" x14ac:dyDescent="0.2">
      <c r="A37" s="695" t="s">
        <v>207</v>
      </c>
      <c r="B37" s="695"/>
      <c r="C37" s="695"/>
      <c r="D37" s="695"/>
      <c r="E37" s="695"/>
      <c r="F37" s="695"/>
      <c r="G37" s="124">
        <f>SUM(G3:G36)</f>
        <v>409.79379999999998</v>
      </c>
    </row>
    <row r="38" spans="1:8" ht="20.25" customHeight="1" x14ac:dyDescent="0.2">
      <c r="A38" s="694" t="s">
        <v>208</v>
      </c>
      <c r="B38" s="694"/>
      <c r="C38" s="694"/>
      <c r="D38" s="694"/>
      <c r="E38" s="694"/>
      <c r="F38" s="694"/>
      <c r="G38" s="694"/>
      <c r="H38" s="694"/>
    </row>
    <row r="39" spans="1:8" ht="45.75" customHeight="1" x14ac:dyDescent="0.2">
      <c r="A39" s="95" t="s">
        <v>130</v>
      </c>
      <c r="B39" s="96" t="s">
        <v>131</v>
      </c>
      <c r="C39" s="96" t="s">
        <v>209</v>
      </c>
      <c r="D39" s="96" t="s">
        <v>133</v>
      </c>
      <c r="E39" s="96" t="s">
        <v>134</v>
      </c>
      <c r="F39" s="97" t="s">
        <v>135</v>
      </c>
      <c r="G39" s="125" t="s">
        <v>210</v>
      </c>
      <c r="H39" s="126" t="s">
        <v>137</v>
      </c>
    </row>
    <row r="40" spans="1:8" ht="15" customHeight="1" x14ac:dyDescent="0.2">
      <c r="A40" s="127" t="s">
        <v>211</v>
      </c>
      <c r="B40" s="128" t="s">
        <v>164</v>
      </c>
      <c r="C40" s="105">
        <v>3.19</v>
      </c>
      <c r="D40" s="129">
        <v>9.91</v>
      </c>
      <c r="E40" s="129">
        <v>7.95</v>
      </c>
      <c r="F40" s="107">
        <f t="shared" ref="F40:F58" si="2">(D40+E40)/2</f>
        <v>8.93</v>
      </c>
      <c r="G40" s="130">
        <f t="shared" ref="G40:G58" si="3">C40*F40/12</f>
        <v>2.3738916666666667</v>
      </c>
      <c r="H40" s="131" t="s">
        <v>160</v>
      </c>
    </row>
    <row r="41" spans="1:8" ht="15" customHeight="1" x14ac:dyDescent="0.2">
      <c r="A41" s="132" t="s">
        <v>212</v>
      </c>
      <c r="B41" s="133" t="s">
        <v>164</v>
      </c>
      <c r="C41" s="105">
        <v>0.75</v>
      </c>
      <c r="D41" s="129">
        <v>5.96</v>
      </c>
      <c r="E41" s="129">
        <v>3.96</v>
      </c>
      <c r="F41" s="107">
        <f t="shared" si="2"/>
        <v>4.96</v>
      </c>
      <c r="G41" s="130">
        <f t="shared" si="3"/>
        <v>0.31</v>
      </c>
      <c r="H41" s="134" t="s">
        <v>162</v>
      </c>
    </row>
    <row r="42" spans="1:8" ht="15" customHeight="1" x14ac:dyDescent="0.2">
      <c r="A42" s="132" t="s">
        <v>213</v>
      </c>
      <c r="B42" s="133" t="s">
        <v>164</v>
      </c>
      <c r="C42" s="105">
        <v>0.75</v>
      </c>
      <c r="D42" s="129">
        <v>7.93</v>
      </c>
      <c r="E42" s="129">
        <v>5.84</v>
      </c>
      <c r="F42" s="107">
        <f t="shared" si="2"/>
        <v>6.8849999999999998</v>
      </c>
      <c r="G42" s="130">
        <f t="shared" si="3"/>
        <v>0.43031250000000004</v>
      </c>
      <c r="H42" s="134" t="s">
        <v>162</v>
      </c>
    </row>
    <row r="43" spans="1:8" ht="15" customHeight="1" x14ac:dyDescent="0.2">
      <c r="A43" s="132" t="s">
        <v>214</v>
      </c>
      <c r="B43" s="133" t="s">
        <v>164</v>
      </c>
      <c r="C43" s="105">
        <v>1.94</v>
      </c>
      <c r="D43" s="129">
        <v>22.32</v>
      </c>
      <c r="E43" s="129">
        <v>19.21</v>
      </c>
      <c r="F43" s="107">
        <f t="shared" si="2"/>
        <v>20.765000000000001</v>
      </c>
      <c r="G43" s="130">
        <f t="shared" si="3"/>
        <v>3.3570083333333334</v>
      </c>
      <c r="H43" s="134" t="s">
        <v>160</v>
      </c>
    </row>
    <row r="44" spans="1:8" ht="15" customHeight="1" x14ac:dyDescent="0.2">
      <c r="A44" s="132" t="s">
        <v>215</v>
      </c>
      <c r="B44" s="133" t="s">
        <v>164</v>
      </c>
      <c r="C44" s="105">
        <v>2.85</v>
      </c>
      <c r="D44" s="129">
        <v>4.12</v>
      </c>
      <c r="E44" s="129">
        <v>6.08</v>
      </c>
      <c r="F44" s="107">
        <f t="shared" si="2"/>
        <v>5.0999999999999996</v>
      </c>
      <c r="G44" s="130">
        <f t="shared" si="3"/>
        <v>1.2112499999999999</v>
      </c>
      <c r="H44" s="134" t="s">
        <v>162</v>
      </c>
    </row>
    <row r="45" spans="1:8" ht="15" customHeight="1" x14ac:dyDescent="0.2">
      <c r="A45" s="132" t="s">
        <v>216</v>
      </c>
      <c r="B45" s="133" t="s">
        <v>164</v>
      </c>
      <c r="C45" s="105">
        <v>0.64</v>
      </c>
      <c r="D45" s="129">
        <v>47.9</v>
      </c>
      <c r="E45" s="129">
        <v>50.35</v>
      </c>
      <c r="F45" s="107">
        <f t="shared" si="2"/>
        <v>49.125</v>
      </c>
      <c r="G45" s="130">
        <f t="shared" si="3"/>
        <v>2.62</v>
      </c>
      <c r="H45" s="134" t="s">
        <v>160</v>
      </c>
    </row>
    <row r="46" spans="1:8" ht="15" customHeight="1" x14ac:dyDescent="0.2">
      <c r="A46" s="132" t="s">
        <v>217</v>
      </c>
      <c r="B46" s="133" t="s">
        <v>164</v>
      </c>
      <c r="C46" s="105">
        <v>1.6</v>
      </c>
      <c r="D46" s="129">
        <v>2.4500000000000002</v>
      </c>
      <c r="E46" s="129">
        <v>4.96</v>
      </c>
      <c r="F46" s="107">
        <f t="shared" si="2"/>
        <v>3.7050000000000001</v>
      </c>
      <c r="G46" s="130">
        <f t="shared" si="3"/>
        <v>0.49400000000000005</v>
      </c>
      <c r="H46" s="134" t="s">
        <v>201</v>
      </c>
    </row>
    <row r="47" spans="1:8" ht="15" customHeight="1" x14ac:dyDescent="0.2">
      <c r="A47" s="132" t="s">
        <v>218</v>
      </c>
      <c r="B47" s="133" t="s">
        <v>164</v>
      </c>
      <c r="C47" s="105">
        <v>0.92</v>
      </c>
      <c r="D47" s="129">
        <v>14.49</v>
      </c>
      <c r="E47" s="129">
        <v>14.32</v>
      </c>
      <c r="F47" s="107">
        <f t="shared" si="2"/>
        <v>14.405000000000001</v>
      </c>
      <c r="G47" s="130">
        <f t="shared" si="3"/>
        <v>1.1043833333333335</v>
      </c>
      <c r="H47" s="134" t="s">
        <v>160</v>
      </c>
    </row>
    <row r="48" spans="1:8" ht="15" customHeight="1" x14ac:dyDescent="0.2">
      <c r="A48" s="132" t="s">
        <v>219</v>
      </c>
      <c r="B48" s="133" t="s">
        <v>164</v>
      </c>
      <c r="C48" s="105">
        <v>1</v>
      </c>
      <c r="D48" s="129">
        <v>57.07</v>
      </c>
      <c r="E48" s="129">
        <v>56.66</v>
      </c>
      <c r="F48" s="107">
        <f t="shared" si="2"/>
        <v>56.864999999999995</v>
      </c>
      <c r="G48" s="130">
        <f t="shared" si="3"/>
        <v>4.7387499999999996</v>
      </c>
      <c r="H48" s="134" t="s">
        <v>204</v>
      </c>
    </row>
    <row r="49" spans="1:8" ht="15" customHeight="1" x14ac:dyDescent="0.2">
      <c r="A49" s="132" t="s">
        <v>220</v>
      </c>
      <c r="B49" s="133" t="s">
        <v>164</v>
      </c>
      <c r="C49" s="105">
        <v>2.6</v>
      </c>
      <c r="D49" s="129">
        <v>60.51</v>
      </c>
      <c r="E49" s="129">
        <v>70.319999999999993</v>
      </c>
      <c r="F49" s="107">
        <f t="shared" si="2"/>
        <v>65.414999999999992</v>
      </c>
      <c r="G49" s="130">
        <f t="shared" si="3"/>
        <v>14.173249999999998</v>
      </c>
      <c r="H49" s="134" t="s">
        <v>204</v>
      </c>
    </row>
    <row r="50" spans="1:8" ht="15" customHeight="1" x14ac:dyDescent="0.25">
      <c r="A50" s="135" t="s">
        <v>221</v>
      </c>
      <c r="B50" s="136" t="s">
        <v>164</v>
      </c>
      <c r="C50" s="105">
        <v>4</v>
      </c>
      <c r="D50" s="129">
        <v>17.62</v>
      </c>
      <c r="E50" s="129">
        <v>15.64</v>
      </c>
      <c r="F50" s="107">
        <f t="shared" si="2"/>
        <v>16.630000000000003</v>
      </c>
      <c r="G50" s="130">
        <f t="shared" si="3"/>
        <v>5.5433333333333339</v>
      </c>
      <c r="H50" s="137" t="s">
        <v>204</v>
      </c>
    </row>
    <row r="51" spans="1:8" ht="15" customHeight="1" x14ac:dyDescent="0.2">
      <c r="A51" s="132" t="s">
        <v>222</v>
      </c>
      <c r="B51" s="133" t="s">
        <v>164</v>
      </c>
      <c r="C51" s="105">
        <v>1</v>
      </c>
      <c r="D51" s="129">
        <v>3.44</v>
      </c>
      <c r="E51" s="129">
        <v>5.94</v>
      </c>
      <c r="F51" s="107">
        <f t="shared" si="2"/>
        <v>4.6900000000000004</v>
      </c>
      <c r="G51" s="130">
        <f t="shared" si="3"/>
        <v>0.39083333333333337</v>
      </c>
      <c r="H51" s="134" t="s">
        <v>160</v>
      </c>
    </row>
    <row r="52" spans="1:8" ht="15" customHeight="1" x14ac:dyDescent="0.2">
      <c r="A52" s="132" t="s">
        <v>223</v>
      </c>
      <c r="B52" s="133" t="s">
        <v>164</v>
      </c>
      <c r="C52" s="105">
        <v>1.24</v>
      </c>
      <c r="D52" s="129">
        <v>8.2799999999999994</v>
      </c>
      <c r="E52" s="129">
        <v>11.02</v>
      </c>
      <c r="F52" s="107">
        <f t="shared" si="2"/>
        <v>9.6499999999999986</v>
      </c>
      <c r="G52" s="130">
        <f t="shared" si="3"/>
        <v>0.99716666666666642</v>
      </c>
      <c r="H52" s="134" t="s">
        <v>179</v>
      </c>
    </row>
    <row r="53" spans="1:8" ht="15" customHeight="1" x14ac:dyDescent="0.2">
      <c r="A53" s="132" t="s">
        <v>224</v>
      </c>
      <c r="B53" s="133" t="s">
        <v>164</v>
      </c>
      <c r="C53" s="105">
        <v>3.85</v>
      </c>
      <c r="D53" s="129">
        <v>9.34</v>
      </c>
      <c r="E53" s="129">
        <v>11.3</v>
      </c>
      <c r="F53" s="107">
        <f t="shared" si="2"/>
        <v>10.32</v>
      </c>
      <c r="G53" s="130">
        <f t="shared" si="3"/>
        <v>3.3109999999999999</v>
      </c>
      <c r="H53" s="134" t="s">
        <v>204</v>
      </c>
    </row>
    <row r="54" spans="1:8" ht="15" customHeight="1" x14ac:dyDescent="0.2">
      <c r="A54" s="132" t="s">
        <v>225</v>
      </c>
      <c r="B54" s="133" t="s">
        <v>226</v>
      </c>
      <c r="C54" s="105">
        <v>0.64</v>
      </c>
      <c r="D54" s="129">
        <v>25.29</v>
      </c>
      <c r="E54" s="129">
        <v>18.899999999999999</v>
      </c>
      <c r="F54" s="107">
        <f t="shared" si="2"/>
        <v>22.094999999999999</v>
      </c>
      <c r="G54" s="130">
        <f t="shared" si="3"/>
        <v>1.1783999999999999</v>
      </c>
      <c r="H54" s="134" t="s">
        <v>160</v>
      </c>
    </row>
    <row r="55" spans="1:8" ht="15" customHeight="1" x14ac:dyDescent="0.2">
      <c r="A55" s="132" t="s">
        <v>227</v>
      </c>
      <c r="B55" s="133" t="s">
        <v>164</v>
      </c>
      <c r="C55" s="105">
        <v>1.28</v>
      </c>
      <c r="D55" s="129">
        <v>24.28</v>
      </c>
      <c r="E55" s="129">
        <v>27.24</v>
      </c>
      <c r="F55" s="107">
        <f t="shared" si="2"/>
        <v>25.759999999999998</v>
      </c>
      <c r="G55" s="130">
        <f t="shared" si="3"/>
        <v>2.7477333333333331</v>
      </c>
      <c r="H55" s="134" t="s">
        <v>228</v>
      </c>
    </row>
    <row r="56" spans="1:8" ht="15" customHeight="1" x14ac:dyDescent="0.2">
      <c r="A56" s="132" t="s">
        <v>229</v>
      </c>
      <c r="B56" s="133" t="s">
        <v>164</v>
      </c>
      <c r="C56" s="105">
        <v>0.99</v>
      </c>
      <c r="D56" s="129">
        <v>14.99</v>
      </c>
      <c r="E56" s="129">
        <v>18.84</v>
      </c>
      <c r="F56" s="107">
        <f t="shared" si="2"/>
        <v>16.914999999999999</v>
      </c>
      <c r="G56" s="130">
        <f t="shared" si="3"/>
        <v>1.3954874999999998</v>
      </c>
      <c r="H56" s="134" t="s">
        <v>230</v>
      </c>
    </row>
    <row r="57" spans="1:8" ht="15" customHeight="1" x14ac:dyDescent="0.2">
      <c r="A57" s="132" t="s">
        <v>231</v>
      </c>
      <c r="B57" s="133" t="s">
        <v>164</v>
      </c>
      <c r="C57" s="105">
        <v>3.9</v>
      </c>
      <c r="D57" s="129">
        <v>7.91</v>
      </c>
      <c r="E57" s="129">
        <v>8.61</v>
      </c>
      <c r="F57" s="107">
        <f t="shared" si="2"/>
        <v>8.26</v>
      </c>
      <c r="G57" s="130">
        <f t="shared" si="3"/>
        <v>2.6844999999999999</v>
      </c>
      <c r="H57" s="134" t="s">
        <v>232</v>
      </c>
    </row>
    <row r="58" spans="1:8" ht="15" customHeight="1" x14ac:dyDescent="0.2">
      <c r="A58" s="138" t="s">
        <v>233</v>
      </c>
      <c r="B58" s="139" t="s">
        <v>164</v>
      </c>
      <c r="C58" s="105">
        <v>1.48</v>
      </c>
      <c r="D58" s="140">
        <v>16.07</v>
      </c>
      <c r="E58" s="140">
        <v>22.46</v>
      </c>
      <c r="F58" s="121">
        <f t="shared" si="2"/>
        <v>19.265000000000001</v>
      </c>
      <c r="G58" s="141">
        <f t="shared" si="3"/>
        <v>2.3760166666666667</v>
      </c>
      <c r="H58" s="142" t="s">
        <v>160</v>
      </c>
    </row>
    <row r="59" spans="1:8" ht="20.25" customHeight="1" x14ac:dyDescent="0.2">
      <c r="A59" s="695" t="s">
        <v>234</v>
      </c>
      <c r="B59" s="695"/>
      <c r="C59" s="695"/>
      <c r="D59" s="695"/>
      <c r="E59" s="695"/>
      <c r="F59" s="695"/>
      <c r="G59" s="124">
        <f>SUM(G40:G58)</f>
        <v>51.437316666666661</v>
      </c>
    </row>
    <row r="60" spans="1:8" ht="20.25" customHeight="1" x14ac:dyDescent="0.2">
      <c r="A60" s="695" t="s">
        <v>235</v>
      </c>
      <c r="B60" s="695"/>
      <c r="C60" s="695"/>
      <c r="D60" s="695"/>
      <c r="E60" s="695"/>
      <c r="F60" s="695"/>
      <c r="G60" s="143">
        <f>G59+G37</f>
        <v>461.23111666666665</v>
      </c>
    </row>
    <row r="61" spans="1:8" x14ac:dyDescent="0.2">
      <c r="A61" s="144"/>
      <c r="B61" s="145"/>
      <c r="C61" s="145"/>
      <c r="D61" s="145"/>
      <c r="E61" s="145"/>
      <c r="F61" s="145"/>
      <c r="G61" s="145"/>
      <c r="H61" s="146"/>
    </row>
    <row r="62" spans="1:8" ht="20.25" customHeight="1" x14ac:dyDescent="0.2">
      <c r="A62" s="694" t="s">
        <v>236</v>
      </c>
      <c r="B62" s="694"/>
      <c r="C62" s="694"/>
      <c r="D62" s="694"/>
      <c r="E62" s="694"/>
      <c r="F62" s="694"/>
      <c r="G62" s="694"/>
      <c r="H62" s="694"/>
    </row>
    <row r="63" spans="1:8" ht="54.75" customHeight="1" x14ac:dyDescent="0.2">
      <c r="A63" s="147" t="s">
        <v>130</v>
      </c>
      <c r="B63" s="148" t="s">
        <v>131</v>
      </c>
      <c r="C63" s="148" t="s">
        <v>237</v>
      </c>
      <c r="D63" s="96" t="s">
        <v>238</v>
      </c>
      <c r="E63" s="96" t="s">
        <v>134</v>
      </c>
      <c r="F63" s="97" t="s">
        <v>135</v>
      </c>
      <c r="G63" s="98" t="s">
        <v>239</v>
      </c>
      <c r="H63" s="149" t="s">
        <v>137</v>
      </c>
    </row>
    <row r="64" spans="1:8" ht="15" customHeight="1" x14ac:dyDescent="0.2">
      <c r="A64" s="135" t="s">
        <v>240</v>
      </c>
      <c r="B64" s="133" t="s">
        <v>140</v>
      </c>
      <c r="C64" s="150">
        <f>0.1*22</f>
        <v>2.2000000000000002</v>
      </c>
      <c r="D64" s="129">
        <v>36.18</v>
      </c>
      <c r="E64" s="129">
        <v>34.57</v>
      </c>
      <c r="F64" s="107">
        <f>(D64+E64)/2</f>
        <v>35.375</v>
      </c>
      <c r="G64" s="108">
        <f>C64*F64</f>
        <v>77.825000000000003</v>
      </c>
      <c r="H64" s="113" t="s">
        <v>241</v>
      </c>
    </row>
    <row r="65" spans="1:9" ht="15" customHeight="1" x14ac:dyDescent="0.2">
      <c r="A65" s="151" t="s">
        <v>150</v>
      </c>
      <c r="B65" s="133" t="s">
        <v>140</v>
      </c>
      <c r="C65" s="150">
        <f>0.5*22</f>
        <v>11</v>
      </c>
      <c r="D65" s="129">
        <v>7.25</v>
      </c>
      <c r="E65" s="129">
        <v>6.84</v>
      </c>
      <c r="F65" s="107">
        <f>(D65+E65)/2</f>
        <v>7.0449999999999999</v>
      </c>
      <c r="G65" s="108">
        <f>C65*F65</f>
        <v>77.495000000000005</v>
      </c>
      <c r="H65" s="113" t="s">
        <v>148</v>
      </c>
    </row>
    <row r="66" spans="1:9" ht="15" customHeight="1" x14ac:dyDescent="0.2">
      <c r="A66" s="152" t="s">
        <v>169</v>
      </c>
      <c r="B66" s="139" t="s">
        <v>164</v>
      </c>
      <c r="C66" s="150">
        <v>4</v>
      </c>
      <c r="D66" s="129">
        <v>1.64</v>
      </c>
      <c r="E66" s="129">
        <v>2.9</v>
      </c>
      <c r="F66" s="107">
        <f>(D66+E66)/2</f>
        <v>2.27</v>
      </c>
      <c r="G66" s="108">
        <f>C66*F66</f>
        <v>9.08</v>
      </c>
      <c r="H66" s="153" t="s">
        <v>242</v>
      </c>
    </row>
    <row r="67" spans="1:9" ht="15" customHeight="1" x14ac:dyDescent="0.2">
      <c r="A67" s="154" t="s">
        <v>243</v>
      </c>
      <c r="B67" s="133" t="s">
        <v>203</v>
      </c>
      <c r="C67" s="150">
        <f>4*2*22</f>
        <v>176</v>
      </c>
      <c r="D67" s="140">
        <v>0.44</v>
      </c>
      <c r="E67" s="140">
        <v>0.46</v>
      </c>
      <c r="F67" s="107">
        <f>(D67+E67)/2</f>
        <v>0.45</v>
      </c>
      <c r="G67" s="108">
        <f>C67*F67</f>
        <v>79.2</v>
      </c>
      <c r="H67" s="153" t="s">
        <v>244</v>
      </c>
    </row>
    <row r="68" spans="1:9" ht="35.25" customHeight="1" x14ac:dyDescent="0.2">
      <c r="A68" s="147" t="s">
        <v>130</v>
      </c>
      <c r="B68" s="148" t="s">
        <v>131</v>
      </c>
      <c r="C68" s="148" t="s">
        <v>245</v>
      </c>
      <c r="D68" s="148" t="s">
        <v>238</v>
      </c>
      <c r="E68" s="148" t="s">
        <v>134</v>
      </c>
      <c r="F68" s="155" t="s">
        <v>135</v>
      </c>
      <c r="G68" s="98" t="s">
        <v>239</v>
      </c>
      <c r="H68" s="149" t="s">
        <v>137</v>
      </c>
    </row>
    <row r="69" spans="1:9" ht="15" customHeight="1" x14ac:dyDescent="0.2">
      <c r="A69" s="127" t="s">
        <v>246</v>
      </c>
      <c r="B69" s="128" t="s">
        <v>164</v>
      </c>
      <c r="C69" s="150">
        <f>2*4</f>
        <v>8</v>
      </c>
      <c r="D69" s="129">
        <v>5.0999999999999996</v>
      </c>
      <c r="E69" s="129">
        <v>5.45</v>
      </c>
      <c r="F69" s="107">
        <f>(D69+E69)/2</f>
        <v>5.2750000000000004</v>
      </c>
      <c r="G69" s="141">
        <f>C69*F69/12</f>
        <v>3.5166666666666671</v>
      </c>
      <c r="H69" s="142" t="s">
        <v>244</v>
      </c>
    </row>
    <row r="70" spans="1:9" ht="20.25" customHeight="1" x14ac:dyDescent="0.2">
      <c r="A70" s="696" t="s">
        <v>247</v>
      </c>
      <c r="B70" s="696"/>
      <c r="C70" s="696"/>
      <c r="D70" s="696"/>
      <c r="E70" s="696"/>
      <c r="F70" s="696"/>
      <c r="G70" s="156">
        <f>G64+G65+G66+G67+G69</f>
        <v>247.1166666666667</v>
      </c>
    </row>
    <row r="71" spans="1:9" x14ac:dyDescent="0.2">
      <c r="A71" s="144"/>
      <c r="B71" s="145"/>
      <c r="C71" s="145"/>
      <c r="D71" s="145"/>
      <c r="E71" s="145"/>
      <c r="F71" s="145"/>
      <c r="G71" s="145"/>
      <c r="H71" s="145"/>
      <c r="I71" s="145"/>
    </row>
    <row r="72" spans="1:9" x14ac:dyDescent="0.2">
      <c r="A72" s="145" t="s">
        <v>248</v>
      </c>
      <c r="B72" s="145"/>
      <c r="C72" s="145"/>
      <c r="D72" s="145"/>
      <c r="E72" s="157"/>
      <c r="F72" s="145"/>
      <c r="G72" s="145"/>
      <c r="H72" s="146"/>
      <c r="I72" s="146"/>
    </row>
    <row r="73" spans="1:9" x14ac:dyDescent="0.2">
      <c r="A73" s="145"/>
      <c r="B73" s="145"/>
      <c r="C73" s="145"/>
      <c r="D73" s="145"/>
      <c r="E73" s="157"/>
      <c r="F73" s="145"/>
      <c r="G73" s="157"/>
      <c r="H73" s="146"/>
      <c r="I73" s="146"/>
    </row>
    <row r="74" spans="1:9" x14ac:dyDescent="0.2">
      <c r="A74" s="145" t="s">
        <v>249</v>
      </c>
      <c r="B74" s="145"/>
      <c r="C74" s="145"/>
      <c r="D74" s="145"/>
      <c r="E74" s="145"/>
      <c r="F74" s="145"/>
      <c r="G74" s="145"/>
      <c r="H74" s="145"/>
      <c r="I74" s="145"/>
    </row>
    <row r="75" spans="1:9" x14ac:dyDescent="0.2">
      <c r="A75" s="145" t="s">
        <v>250</v>
      </c>
      <c r="B75" s="145"/>
      <c r="C75" s="145"/>
      <c r="D75" s="145"/>
      <c r="E75" s="145"/>
      <c r="F75" s="145"/>
      <c r="G75" s="145"/>
      <c r="H75" s="157"/>
      <c r="I75" s="157"/>
    </row>
    <row r="76" spans="1:9" x14ac:dyDescent="0.2">
      <c r="A76" s="145" t="s">
        <v>251</v>
      </c>
      <c r="B76" s="145"/>
      <c r="C76" s="145"/>
      <c r="D76" s="145"/>
      <c r="E76" s="145"/>
      <c r="F76" s="145"/>
      <c r="G76" s="145"/>
      <c r="H76" s="158"/>
      <c r="I76" s="158"/>
    </row>
    <row r="77" spans="1:9" x14ac:dyDescent="0.2">
      <c r="A77" s="145" t="s">
        <v>252</v>
      </c>
      <c r="B77" s="145"/>
      <c r="C77" s="145"/>
      <c r="D77" s="145"/>
      <c r="E77" s="145"/>
      <c r="F77" s="145"/>
      <c r="G77" s="145"/>
      <c r="H77" s="157"/>
      <c r="I77" s="157"/>
    </row>
    <row r="78" spans="1:9" x14ac:dyDescent="0.2">
      <c r="A78" s="145" t="s">
        <v>253</v>
      </c>
      <c r="B78" s="145"/>
      <c r="C78" s="145"/>
      <c r="D78" s="145"/>
      <c r="E78" s="145"/>
      <c r="F78" s="145"/>
      <c r="G78" s="145"/>
      <c r="H78" s="145"/>
      <c r="I78" s="145"/>
    </row>
    <row r="79" spans="1:9" x14ac:dyDescent="0.2">
      <c r="A79" s="145" t="s">
        <v>254</v>
      </c>
      <c r="B79" s="145"/>
      <c r="C79" s="145"/>
      <c r="D79" s="145"/>
      <c r="E79" s="145"/>
      <c r="F79" s="145"/>
      <c r="G79" s="145"/>
      <c r="H79" s="145"/>
      <c r="I79" s="145"/>
    </row>
    <row r="80" spans="1:9" x14ac:dyDescent="0.2">
      <c r="A80" s="145" t="s">
        <v>255</v>
      </c>
      <c r="B80" s="145"/>
      <c r="C80" s="145"/>
      <c r="D80" s="145"/>
      <c r="E80" s="145"/>
      <c r="F80" s="145"/>
      <c r="G80" s="145"/>
      <c r="H80" s="145"/>
      <c r="I80" s="145"/>
    </row>
    <row r="81" spans="1:11" x14ac:dyDescent="0.2">
      <c r="A81" s="145" t="s">
        <v>256</v>
      </c>
      <c r="B81" s="145"/>
      <c r="C81" s="145"/>
      <c r="D81" s="145"/>
      <c r="E81" s="145"/>
      <c r="F81" s="145"/>
      <c r="G81" s="145"/>
      <c r="H81" s="145"/>
      <c r="I81" s="145"/>
    </row>
    <row r="82" spans="1:11" x14ac:dyDescent="0.2">
      <c r="A82" s="145" t="s">
        <v>257</v>
      </c>
      <c r="B82" s="145"/>
      <c r="C82" s="145"/>
      <c r="D82" s="145"/>
      <c r="E82" s="145"/>
      <c r="F82" s="145"/>
      <c r="G82" s="145"/>
      <c r="H82" s="145"/>
      <c r="I82" s="145"/>
    </row>
    <row r="83" spans="1:11" x14ac:dyDescent="0.2">
      <c r="A83" s="145" t="s">
        <v>258</v>
      </c>
      <c r="B83" s="145"/>
      <c r="C83" s="145"/>
      <c r="D83" s="145"/>
      <c r="E83" s="145"/>
      <c r="F83" s="145"/>
      <c r="G83" s="145"/>
      <c r="H83" s="145"/>
      <c r="I83" s="145"/>
    </row>
    <row r="84" spans="1:11" x14ac:dyDescent="0.2">
      <c r="A84" s="144"/>
      <c r="B84" s="145"/>
      <c r="C84" s="145"/>
      <c r="D84" s="145"/>
      <c r="E84" s="145"/>
      <c r="F84" s="145"/>
      <c r="G84" s="145"/>
      <c r="H84" s="145"/>
      <c r="I84" s="145"/>
    </row>
    <row r="85" spans="1:11" x14ac:dyDescent="0.2">
      <c r="A85" s="144"/>
      <c r="B85" s="145"/>
      <c r="C85" s="145"/>
      <c r="D85" s="145"/>
      <c r="E85" s="145"/>
      <c r="F85" s="145"/>
      <c r="G85" s="145"/>
      <c r="H85" s="145"/>
      <c r="I85" s="145"/>
    </row>
    <row r="86" spans="1:11" ht="20.25" customHeight="1" x14ac:dyDescent="0.2">
      <c r="A86" s="697" t="s">
        <v>259</v>
      </c>
      <c r="B86" s="697"/>
      <c r="C86" s="697"/>
      <c r="D86" s="697"/>
      <c r="E86" s="697"/>
      <c r="F86" s="697"/>
      <c r="G86" s="697"/>
      <c r="H86" s="697"/>
      <c r="I86" s="697"/>
      <c r="J86" s="697"/>
      <c r="K86" s="697"/>
    </row>
    <row r="87" spans="1:11" s="163" customFormat="1" ht="36" x14ac:dyDescent="0.2">
      <c r="A87" s="159" t="s">
        <v>130</v>
      </c>
      <c r="B87" s="160" t="s">
        <v>131</v>
      </c>
      <c r="C87" s="160" t="s">
        <v>260</v>
      </c>
      <c r="D87" s="160" t="s">
        <v>261</v>
      </c>
      <c r="E87" s="160" t="s">
        <v>262</v>
      </c>
      <c r="F87" s="160" t="s">
        <v>238</v>
      </c>
      <c r="G87" s="161" t="s">
        <v>134</v>
      </c>
      <c r="H87" s="161" t="s">
        <v>135</v>
      </c>
      <c r="I87" s="162" t="s">
        <v>263</v>
      </c>
      <c r="J87" s="162" t="s">
        <v>264</v>
      </c>
      <c r="K87" s="162" t="s">
        <v>265</v>
      </c>
    </row>
    <row r="88" spans="1:11" ht="15" customHeight="1" x14ac:dyDescent="0.2">
      <c r="A88" s="151" t="s">
        <v>266</v>
      </c>
      <c r="B88" s="128" t="s">
        <v>164</v>
      </c>
      <c r="C88" s="128">
        <v>12</v>
      </c>
      <c r="D88" s="128">
        <v>17</v>
      </c>
      <c r="E88" s="128">
        <v>13</v>
      </c>
      <c r="F88" s="129">
        <v>397.54</v>
      </c>
      <c r="G88" s="164">
        <v>249.3</v>
      </c>
      <c r="H88" s="107">
        <f t="shared" ref="H88:H96" si="4">(F88+G88)/2</f>
        <v>323.42</v>
      </c>
      <c r="I88" s="108">
        <f t="shared" ref="I88:I97" si="5">(C88*H88)</f>
        <v>3881.04</v>
      </c>
      <c r="J88" s="108">
        <f t="shared" ref="J88:J97" si="6">(D88*H88)</f>
        <v>5498.14</v>
      </c>
      <c r="K88" s="108">
        <f t="shared" ref="K88:K97" si="7">(E88*H88)</f>
        <v>4204.46</v>
      </c>
    </row>
    <row r="89" spans="1:11" ht="15" customHeight="1" x14ac:dyDescent="0.2">
      <c r="A89" s="151" t="s">
        <v>267</v>
      </c>
      <c r="B89" s="133" t="s">
        <v>164</v>
      </c>
      <c r="C89" s="128">
        <f>C88</f>
        <v>12</v>
      </c>
      <c r="D89" s="128">
        <f>D88</f>
        <v>17</v>
      </c>
      <c r="E89" s="128">
        <f>E88</f>
        <v>13</v>
      </c>
      <c r="F89" s="129">
        <v>89.63</v>
      </c>
      <c r="G89" s="164">
        <v>94.72</v>
      </c>
      <c r="H89" s="107">
        <f t="shared" si="4"/>
        <v>92.174999999999997</v>
      </c>
      <c r="I89" s="108">
        <f t="shared" si="5"/>
        <v>1106.0999999999999</v>
      </c>
      <c r="J89" s="108">
        <f t="shared" si="6"/>
        <v>1566.9749999999999</v>
      </c>
      <c r="K89" s="108">
        <f t="shared" si="7"/>
        <v>1198.2749999999999</v>
      </c>
    </row>
    <row r="90" spans="1:11" ht="15" customHeight="1" x14ac:dyDescent="0.2">
      <c r="A90" s="151" t="s">
        <v>268</v>
      </c>
      <c r="B90" s="133" t="s">
        <v>164</v>
      </c>
      <c r="C90" s="128">
        <f>C88</f>
        <v>12</v>
      </c>
      <c r="D90" s="128">
        <f>D88</f>
        <v>17</v>
      </c>
      <c r="E90" s="128">
        <f>E88</f>
        <v>13</v>
      </c>
      <c r="F90" s="129">
        <v>762.14</v>
      </c>
      <c r="G90" s="164">
        <v>710.18</v>
      </c>
      <c r="H90" s="107">
        <f t="shared" si="4"/>
        <v>736.16</v>
      </c>
      <c r="I90" s="108">
        <f t="shared" si="5"/>
        <v>8833.92</v>
      </c>
      <c r="J90" s="108">
        <f t="shared" si="6"/>
        <v>12514.72</v>
      </c>
      <c r="K90" s="108">
        <f t="shared" si="7"/>
        <v>9570.08</v>
      </c>
    </row>
    <row r="91" spans="1:11" ht="15" customHeight="1" x14ac:dyDescent="0.2">
      <c r="A91" s="151" t="s">
        <v>269</v>
      </c>
      <c r="B91" s="133" t="s">
        <v>164</v>
      </c>
      <c r="C91" s="128">
        <f>C88</f>
        <v>12</v>
      </c>
      <c r="D91" s="128">
        <f>D88</f>
        <v>17</v>
      </c>
      <c r="E91" s="128">
        <f>E88</f>
        <v>13</v>
      </c>
      <c r="F91" s="129">
        <v>1854.64</v>
      </c>
      <c r="G91" s="164">
        <v>1694.57</v>
      </c>
      <c r="H91" s="107">
        <f t="shared" si="4"/>
        <v>1774.605</v>
      </c>
      <c r="I91" s="108">
        <f t="shared" si="5"/>
        <v>21295.260000000002</v>
      </c>
      <c r="J91" s="108">
        <f t="shared" si="6"/>
        <v>30168.285</v>
      </c>
      <c r="K91" s="108">
        <f t="shared" si="7"/>
        <v>23069.865000000002</v>
      </c>
    </row>
    <row r="92" spans="1:11" ht="15" customHeight="1" x14ac:dyDescent="0.2">
      <c r="A92" s="151" t="s">
        <v>270</v>
      </c>
      <c r="B92" s="133" t="s">
        <v>164</v>
      </c>
      <c r="C92" s="128">
        <f>C88</f>
        <v>12</v>
      </c>
      <c r="D92" s="128">
        <f>D88</f>
        <v>17</v>
      </c>
      <c r="E92" s="128">
        <f>E88</f>
        <v>13</v>
      </c>
      <c r="F92" s="129">
        <v>198.83</v>
      </c>
      <c r="G92" s="164">
        <v>181.11</v>
      </c>
      <c r="H92" s="107">
        <f t="shared" si="4"/>
        <v>189.97000000000003</v>
      </c>
      <c r="I92" s="108">
        <f t="shared" si="5"/>
        <v>2279.6400000000003</v>
      </c>
      <c r="J92" s="108">
        <f t="shared" si="6"/>
        <v>3229.4900000000007</v>
      </c>
      <c r="K92" s="108">
        <f t="shared" si="7"/>
        <v>2469.6100000000006</v>
      </c>
    </row>
    <row r="93" spans="1:11" ht="15" customHeight="1" x14ac:dyDescent="0.2">
      <c r="A93" s="151" t="s">
        <v>271</v>
      </c>
      <c r="B93" s="133" t="s">
        <v>164</v>
      </c>
      <c r="C93" s="128">
        <f>C88</f>
        <v>12</v>
      </c>
      <c r="D93" s="128">
        <f>D88</f>
        <v>17</v>
      </c>
      <c r="E93" s="128">
        <f>E88</f>
        <v>13</v>
      </c>
      <c r="F93" s="129">
        <v>79.3</v>
      </c>
      <c r="G93" s="164">
        <v>91.34</v>
      </c>
      <c r="H93" s="107">
        <f t="shared" si="4"/>
        <v>85.32</v>
      </c>
      <c r="I93" s="108">
        <f t="shared" si="5"/>
        <v>1023.8399999999999</v>
      </c>
      <c r="J93" s="108">
        <f t="shared" si="6"/>
        <v>1450.4399999999998</v>
      </c>
      <c r="K93" s="108">
        <f t="shared" si="7"/>
        <v>1109.1599999999999</v>
      </c>
    </row>
    <row r="94" spans="1:11" ht="15" customHeight="1" x14ac:dyDescent="0.2">
      <c r="A94" s="151" t="s">
        <v>272</v>
      </c>
      <c r="B94" s="133" t="s">
        <v>164</v>
      </c>
      <c r="C94" s="128">
        <f>C88</f>
        <v>12</v>
      </c>
      <c r="D94" s="128">
        <f>D88</f>
        <v>17</v>
      </c>
      <c r="E94" s="128">
        <f>E88</f>
        <v>13</v>
      </c>
      <c r="F94" s="129">
        <v>751.56</v>
      </c>
      <c r="G94" s="164">
        <v>452.92</v>
      </c>
      <c r="H94" s="107">
        <f t="shared" si="4"/>
        <v>602.24</v>
      </c>
      <c r="I94" s="108">
        <f t="shared" si="5"/>
        <v>7226.88</v>
      </c>
      <c r="J94" s="108">
        <f t="shared" si="6"/>
        <v>10238.08</v>
      </c>
      <c r="K94" s="108">
        <f t="shared" si="7"/>
        <v>7829.12</v>
      </c>
    </row>
    <row r="95" spans="1:11" ht="15" customHeight="1" x14ac:dyDescent="0.2">
      <c r="A95" s="151" t="s">
        <v>273</v>
      </c>
      <c r="B95" s="133" t="s">
        <v>164</v>
      </c>
      <c r="C95" s="128">
        <f>C88</f>
        <v>12</v>
      </c>
      <c r="D95" s="128">
        <f>D88</f>
        <v>17</v>
      </c>
      <c r="E95" s="128">
        <f>E88</f>
        <v>13</v>
      </c>
      <c r="F95" s="129">
        <v>71.430000000000007</v>
      </c>
      <c r="G95" s="164">
        <v>69.900000000000006</v>
      </c>
      <c r="H95" s="107">
        <f t="shared" si="4"/>
        <v>70.665000000000006</v>
      </c>
      <c r="I95" s="108">
        <f t="shared" si="5"/>
        <v>847.98</v>
      </c>
      <c r="J95" s="108">
        <f t="shared" si="6"/>
        <v>1201.3050000000001</v>
      </c>
      <c r="K95" s="108">
        <f t="shared" si="7"/>
        <v>918.6450000000001</v>
      </c>
    </row>
    <row r="96" spans="1:11" ht="15" customHeight="1" x14ac:dyDescent="0.2">
      <c r="A96" s="151" t="s">
        <v>274</v>
      </c>
      <c r="B96" s="133" t="s">
        <v>164</v>
      </c>
      <c r="C96" s="128">
        <f>C88*2</f>
        <v>24</v>
      </c>
      <c r="D96" s="128">
        <f>D88*2</f>
        <v>34</v>
      </c>
      <c r="E96" s="128">
        <f>E88*2</f>
        <v>26</v>
      </c>
      <c r="F96" s="129">
        <v>39.53</v>
      </c>
      <c r="G96" s="164">
        <v>40.409999999999997</v>
      </c>
      <c r="H96" s="121">
        <f t="shared" si="4"/>
        <v>39.97</v>
      </c>
      <c r="I96" s="108">
        <f t="shared" si="5"/>
        <v>959.28</v>
      </c>
      <c r="J96" s="108">
        <f t="shared" si="6"/>
        <v>1358.98</v>
      </c>
      <c r="K96" s="108">
        <f t="shared" si="7"/>
        <v>1039.22</v>
      </c>
    </row>
    <row r="97" spans="1:11" ht="15" customHeight="1" x14ac:dyDescent="0.2">
      <c r="A97" s="165" t="s">
        <v>275</v>
      </c>
      <c r="B97" s="133" t="s">
        <v>164</v>
      </c>
      <c r="C97" s="128">
        <v>3</v>
      </c>
      <c r="D97" s="128">
        <v>15</v>
      </c>
      <c r="E97" s="128">
        <v>0</v>
      </c>
      <c r="F97" s="166">
        <v>23.07</v>
      </c>
      <c r="G97" s="167">
        <v>25.51</v>
      </c>
      <c r="H97" s="166">
        <v>24.29</v>
      </c>
      <c r="I97" s="108">
        <f t="shared" si="5"/>
        <v>72.87</v>
      </c>
      <c r="J97" s="108">
        <f t="shared" si="6"/>
        <v>364.34999999999997</v>
      </c>
      <c r="K97" s="108">
        <f t="shared" si="7"/>
        <v>0</v>
      </c>
    </row>
    <row r="98" spans="1:11" ht="20.25" customHeight="1" x14ac:dyDescent="0.2">
      <c r="A98" s="698" t="s">
        <v>276</v>
      </c>
      <c r="B98" s="698"/>
      <c r="C98" s="698"/>
      <c r="D98" s="698"/>
      <c r="E98" s="698"/>
      <c r="F98" s="698"/>
      <c r="G98" s="698"/>
      <c r="H98" s="698"/>
      <c r="I98" s="168">
        <f>SUM(I88:I97)</f>
        <v>47526.81</v>
      </c>
      <c r="J98" s="168">
        <f>SUM(J88:J97)</f>
        <v>67590.764999999999</v>
      </c>
      <c r="K98" s="168">
        <f>SUM(K88:K97)</f>
        <v>51408.434999999998</v>
      </c>
    </row>
    <row r="99" spans="1:11" ht="20.25" customHeight="1" x14ac:dyDescent="0.2">
      <c r="A99" s="698" t="s">
        <v>277</v>
      </c>
      <c r="B99" s="698"/>
      <c r="C99" s="698"/>
      <c r="D99" s="698"/>
      <c r="E99" s="698"/>
      <c r="F99" s="698"/>
      <c r="G99" s="698"/>
      <c r="H99" s="698"/>
      <c r="I99" s="169">
        <f>I98/120</f>
        <v>396.05674999999997</v>
      </c>
      <c r="J99" s="169">
        <f>J98/120</f>
        <v>563.25637500000005</v>
      </c>
      <c r="K99" s="169">
        <f>K98/120</f>
        <v>428.40362499999998</v>
      </c>
    </row>
    <row r="100" spans="1:11" ht="20.25" customHeight="1" x14ac:dyDescent="0.2">
      <c r="A100" s="699" t="s">
        <v>278</v>
      </c>
      <c r="B100" s="699"/>
      <c r="C100" s="699"/>
      <c r="D100" s="699"/>
      <c r="E100" s="699"/>
      <c r="F100" s="699"/>
      <c r="G100" s="699"/>
      <c r="H100" s="699"/>
      <c r="I100" s="168">
        <f>I99/'Prod. GEXCAX'!Q17</f>
        <v>26.40378333333333</v>
      </c>
      <c r="J100" s="168">
        <f>J99/'Prod. GEXIJU'!Q22</f>
        <v>21.663706730769231</v>
      </c>
      <c r="K100" s="168">
        <f>K99/'Prod. GEXPSF'!Q18</f>
        <v>19.472892045454543</v>
      </c>
    </row>
    <row r="101" spans="1:11" x14ac:dyDescent="0.2">
      <c r="A101" s="144"/>
      <c r="B101" s="145"/>
      <c r="C101" s="145"/>
      <c r="D101" s="145"/>
      <c r="E101" s="145"/>
      <c r="F101" s="145"/>
      <c r="G101" s="157"/>
      <c r="H101" s="145"/>
      <c r="I101" s="145"/>
      <c r="J101" s="145"/>
    </row>
    <row r="102" spans="1:11" x14ac:dyDescent="0.2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</row>
    <row r="103" spans="1:11" x14ac:dyDescent="0.2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</row>
    <row r="104" spans="1:11" ht="20.25" customHeight="1" x14ac:dyDescent="0.2">
      <c r="A104" s="700" t="s">
        <v>279</v>
      </c>
      <c r="B104" s="700"/>
      <c r="C104" s="700"/>
      <c r="D104" s="700"/>
      <c r="E104" s="700"/>
      <c r="F104" s="700"/>
      <c r="G104" s="700"/>
      <c r="H104" s="700"/>
      <c r="I104" s="700"/>
      <c r="J104" s="700"/>
      <c r="K104" s="700"/>
    </row>
    <row r="105" spans="1:11" s="163" customFormat="1" ht="47.25" customHeight="1" x14ac:dyDescent="0.2">
      <c r="A105" s="170" t="s">
        <v>130</v>
      </c>
      <c r="B105" s="171" t="s">
        <v>131</v>
      </c>
      <c r="C105" s="171" t="s">
        <v>280</v>
      </c>
      <c r="D105" s="171" t="s">
        <v>281</v>
      </c>
      <c r="E105" s="171" t="s">
        <v>282</v>
      </c>
      <c r="F105" s="171" t="s">
        <v>283</v>
      </c>
      <c r="G105" s="172" t="s">
        <v>284</v>
      </c>
      <c r="H105" s="172" t="s">
        <v>285</v>
      </c>
      <c r="I105" s="173" t="s">
        <v>286</v>
      </c>
      <c r="J105" s="173" t="s">
        <v>287</v>
      </c>
      <c r="K105" s="173" t="s">
        <v>288</v>
      </c>
    </row>
    <row r="106" spans="1:11" ht="20.25" customHeight="1" x14ac:dyDescent="0.2">
      <c r="A106" s="701" t="s">
        <v>289</v>
      </c>
      <c r="B106" s="701"/>
      <c r="C106" s="701"/>
      <c r="D106" s="701"/>
      <c r="E106" s="701"/>
      <c r="F106" s="701"/>
      <c r="G106" s="701"/>
      <c r="H106" s="701"/>
      <c r="I106" s="174">
        <f>SUM(I107:I112)</f>
        <v>27.875416666666666</v>
      </c>
      <c r="J106" s="174">
        <f>SUM(J107:J112)</f>
        <v>27.875416666666666</v>
      </c>
      <c r="K106" s="174">
        <f>SUM(K107:K112)</f>
        <v>27.875416666666666</v>
      </c>
    </row>
    <row r="107" spans="1:11" ht="15" customHeight="1" x14ac:dyDescent="0.2">
      <c r="A107" s="127" t="s">
        <v>290</v>
      </c>
      <c r="B107" s="128" t="s">
        <v>164</v>
      </c>
      <c r="C107" s="128">
        <v>2</v>
      </c>
      <c r="D107" s="128">
        <v>2</v>
      </c>
      <c r="E107" s="128">
        <v>2</v>
      </c>
      <c r="F107" s="166">
        <v>17.809999999999999</v>
      </c>
      <c r="G107" s="175">
        <v>24.93</v>
      </c>
      <c r="H107" s="107">
        <f t="shared" ref="H107:H112" si="8">(F107+G107)/2</f>
        <v>21.369999999999997</v>
      </c>
      <c r="I107" s="108">
        <f t="shared" ref="I107:K112" si="9">(C107*$H107)/12</f>
        <v>3.5616666666666661</v>
      </c>
      <c r="J107" s="108">
        <f t="shared" si="9"/>
        <v>3.5616666666666661</v>
      </c>
      <c r="K107" s="108">
        <f t="shared" si="9"/>
        <v>3.5616666666666661</v>
      </c>
    </row>
    <row r="108" spans="1:11" ht="15" customHeight="1" x14ac:dyDescent="0.2">
      <c r="A108" s="132" t="s">
        <v>291</v>
      </c>
      <c r="B108" s="133" t="s">
        <v>164</v>
      </c>
      <c r="C108" s="133">
        <v>1</v>
      </c>
      <c r="D108" s="133">
        <v>1</v>
      </c>
      <c r="E108" s="133">
        <v>1</v>
      </c>
      <c r="F108" s="166">
        <v>38.08</v>
      </c>
      <c r="G108" s="175">
        <v>40.880000000000003</v>
      </c>
      <c r="H108" s="107">
        <f t="shared" si="8"/>
        <v>39.480000000000004</v>
      </c>
      <c r="I108" s="108">
        <f t="shared" si="9"/>
        <v>3.2900000000000005</v>
      </c>
      <c r="J108" s="108">
        <f t="shared" si="9"/>
        <v>3.2900000000000005</v>
      </c>
      <c r="K108" s="108">
        <f t="shared" si="9"/>
        <v>3.2900000000000005</v>
      </c>
    </row>
    <row r="109" spans="1:11" ht="15" customHeight="1" x14ac:dyDescent="0.2">
      <c r="A109" s="132" t="s">
        <v>292</v>
      </c>
      <c r="B109" s="133" t="s">
        <v>164</v>
      </c>
      <c r="C109" s="133">
        <v>2</v>
      </c>
      <c r="D109" s="133">
        <v>2</v>
      </c>
      <c r="E109" s="133">
        <v>2</v>
      </c>
      <c r="F109" s="166">
        <v>48.63</v>
      </c>
      <c r="G109" s="175">
        <v>58.87</v>
      </c>
      <c r="H109" s="107">
        <f t="shared" si="8"/>
        <v>53.75</v>
      </c>
      <c r="I109" s="108">
        <f t="shared" si="9"/>
        <v>8.9583333333333339</v>
      </c>
      <c r="J109" s="108">
        <f t="shared" si="9"/>
        <v>8.9583333333333339</v>
      </c>
      <c r="K109" s="108">
        <f t="shared" si="9"/>
        <v>8.9583333333333339</v>
      </c>
    </row>
    <row r="110" spans="1:11" ht="15" customHeight="1" x14ac:dyDescent="0.2">
      <c r="A110" s="132" t="s">
        <v>293</v>
      </c>
      <c r="B110" s="133" t="s">
        <v>164</v>
      </c>
      <c r="C110" s="133">
        <v>2</v>
      </c>
      <c r="D110" s="133">
        <v>2</v>
      </c>
      <c r="E110" s="133">
        <v>2</v>
      </c>
      <c r="F110" s="166">
        <v>19.149999999999999</v>
      </c>
      <c r="G110" s="175">
        <v>28.23</v>
      </c>
      <c r="H110" s="107">
        <f t="shared" si="8"/>
        <v>23.689999999999998</v>
      </c>
      <c r="I110" s="108">
        <f t="shared" si="9"/>
        <v>3.9483333333333328</v>
      </c>
      <c r="J110" s="108">
        <f t="shared" si="9"/>
        <v>3.9483333333333328</v>
      </c>
      <c r="K110" s="108">
        <f t="shared" si="9"/>
        <v>3.9483333333333328</v>
      </c>
    </row>
    <row r="111" spans="1:11" ht="15" customHeight="1" x14ac:dyDescent="0.2">
      <c r="A111" s="138" t="s">
        <v>294</v>
      </c>
      <c r="B111" s="139" t="s">
        <v>164</v>
      </c>
      <c r="C111" s="139">
        <v>1</v>
      </c>
      <c r="D111" s="139">
        <v>1</v>
      </c>
      <c r="E111" s="139">
        <v>1</v>
      </c>
      <c r="F111" s="176">
        <v>9.18</v>
      </c>
      <c r="G111" s="177">
        <v>9.3699999999999992</v>
      </c>
      <c r="H111" s="107">
        <f t="shared" si="8"/>
        <v>9.2749999999999986</v>
      </c>
      <c r="I111" s="108">
        <f t="shared" si="9"/>
        <v>0.77291666666666659</v>
      </c>
      <c r="J111" s="108">
        <f t="shared" si="9"/>
        <v>0.77291666666666659</v>
      </c>
      <c r="K111" s="108">
        <f t="shared" si="9"/>
        <v>0.77291666666666659</v>
      </c>
    </row>
    <row r="112" spans="1:11" ht="15" customHeight="1" x14ac:dyDescent="0.2">
      <c r="A112" s="178" t="s">
        <v>295</v>
      </c>
      <c r="B112" s="179" t="s">
        <v>184</v>
      </c>
      <c r="C112" s="179">
        <v>2</v>
      </c>
      <c r="D112" s="179">
        <v>2</v>
      </c>
      <c r="E112" s="179">
        <v>2</v>
      </c>
      <c r="F112" s="180">
        <v>47.88</v>
      </c>
      <c r="G112" s="181">
        <v>40.25</v>
      </c>
      <c r="H112" s="182">
        <f t="shared" si="8"/>
        <v>44.064999999999998</v>
      </c>
      <c r="I112" s="108">
        <f t="shared" si="9"/>
        <v>7.3441666666666663</v>
      </c>
      <c r="J112" s="108">
        <f t="shared" si="9"/>
        <v>7.3441666666666663</v>
      </c>
      <c r="K112" s="108">
        <f t="shared" si="9"/>
        <v>7.3441666666666663</v>
      </c>
    </row>
    <row r="113" spans="1:11" ht="20.25" customHeight="1" x14ac:dyDescent="0.2">
      <c r="A113" s="701" t="s">
        <v>296</v>
      </c>
      <c r="B113" s="701"/>
      <c r="C113" s="701"/>
      <c r="D113" s="701"/>
      <c r="E113" s="701"/>
      <c r="F113" s="701"/>
      <c r="G113" s="701"/>
      <c r="H113" s="701"/>
      <c r="I113" s="174">
        <f>SUM(I114:I117)</f>
        <v>34.030416666666667</v>
      </c>
      <c r="J113" s="174">
        <f>SUM(J114:J117)</f>
        <v>34.030416666666667</v>
      </c>
      <c r="K113" s="174">
        <f>SUM(K114:K117)</f>
        <v>34.030416666666667</v>
      </c>
    </row>
    <row r="114" spans="1:11" ht="15" customHeight="1" x14ac:dyDescent="0.2">
      <c r="A114" s="151" t="s">
        <v>297</v>
      </c>
      <c r="B114" s="128" t="s">
        <v>164</v>
      </c>
      <c r="C114" s="128">
        <v>2</v>
      </c>
      <c r="D114" s="128">
        <v>2</v>
      </c>
      <c r="E114" s="128">
        <v>2</v>
      </c>
      <c r="F114" s="166">
        <v>52.12</v>
      </c>
      <c r="G114" s="175">
        <v>57.27</v>
      </c>
      <c r="H114" s="107">
        <f>(F114+G114)/2</f>
        <v>54.695</v>
      </c>
      <c r="I114" s="108">
        <f t="shared" ref="I114:K117" si="10">(C114*$H114)/12</f>
        <v>9.1158333333333328</v>
      </c>
      <c r="J114" s="108">
        <f t="shared" si="10"/>
        <v>9.1158333333333328</v>
      </c>
      <c r="K114" s="108">
        <f t="shared" si="10"/>
        <v>9.1158333333333328</v>
      </c>
    </row>
    <row r="115" spans="1:11" ht="15" customHeight="1" x14ac:dyDescent="0.2">
      <c r="A115" s="151" t="s">
        <v>298</v>
      </c>
      <c r="B115" s="133" t="s">
        <v>164</v>
      </c>
      <c r="C115" s="133">
        <v>2</v>
      </c>
      <c r="D115" s="133">
        <v>2</v>
      </c>
      <c r="E115" s="133">
        <v>2</v>
      </c>
      <c r="F115" s="166">
        <v>58.38</v>
      </c>
      <c r="G115" s="175">
        <v>63.97</v>
      </c>
      <c r="H115" s="107">
        <f>(F115+G115)/2</f>
        <v>61.174999999999997</v>
      </c>
      <c r="I115" s="108">
        <f t="shared" si="10"/>
        <v>10.195833333333333</v>
      </c>
      <c r="J115" s="108">
        <f t="shared" si="10"/>
        <v>10.195833333333333</v>
      </c>
      <c r="K115" s="108">
        <f t="shared" si="10"/>
        <v>10.195833333333333</v>
      </c>
    </row>
    <row r="116" spans="1:11" ht="15" customHeight="1" x14ac:dyDescent="0.2">
      <c r="A116" s="151" t="s">
        <v>299</v>
      </c>
      <c r="B116" s="133" t="s">
        <v>164</v>
      </c>
      <c r="C116" s="133">
        <v>1</v>
      </c>
      <c r="D116" s="133">
        <v>1</v>
      </c>
      <c r="E116" s="133">
        <v>1</v>
      </c>
      <c r="F116" s="166">
        <v>9.18</v>
      </c>
      <c r="G116" s="175">
        <v>9.3699999999999992</v>
      </c>
      <c r="H116" s="107">
        <f>(F116+G116)/2</f>
        <v>9.2749999999999986</v>
      </c>
      <c r="I116" s="108">
        <f t="shared" si="10"/>
        <v>0.77291666666666659</v>
      </c>
      <c r="J116" s="108">
        <f t="shared" si="10"/>
        <v>0.77291666666666659</v>
      </c>
      <c r="K116" s="108">
        <f t="shared" si="10"/>
        <v>0.77291666666666659</v>
      </c>
    </row>
    <row r="117" spans="1:11" ht="15" customHeight="1" x14ac:dyDescent="0.2">
      <c r="A117" s="152" t="s">
        <v>300</v>
      </c>
      <c r="B117" s="139" t="s">
        <v>184</v>
      </c>
      <c r="C117" s="139">
        <v>2</v>
      </c>
      <c r="D117" s="139">
        <v>2</v>
      </c>
      <c r="E117" s="139">
        <v>2</v>
      </c>
      <c r="F117" s="176">
        <v>82.38</v>
      </c>
      <c r="G117" s="177">
        <v>84.97</v>
      </c>
      <c r="H117" s="107">
        <f>(F117+G117)/2</f>
        <v>83.674999999999997</v>
      </c>
      <c r="I117" s="108">
        <f t="shared" si="10"/>
        <v>13.945833333333333</v>
      </c>
      <c r="J117" s="108">
        <f t="shared" si="10"/>
        <v>13.945833333333333</v>
      </c>
      <c r="K117" s="108">
        <f t="shared" si="10"/>
        <v>13.945833333333333</v>
      </c>
    </row>
    <row r="118" spans="1:11" ht="20.25" customHeight="1" x14ac:dyDescent="0.2">
      <c r="A118" s="702" t="s">
        <v>301</v>
      </c>
      <c r="B118" s="702"/>
      <c r="C118" s="702"/>
      <c r="D118" s="702"/>
      <c r="E118" s="702"/>
      <c r="F118" s="702"/>
      <c r="G118" s="702"/>
      <c r="H118" s="702"/>
      <c r="I118" s="183">
        <f>I106</f>
        <v>27.875416666666666</v>
      </c>
      <c r="J118" s="183">
        <f>J106</f>
        <v>27.875416666666666</v>
      </c>
      <c r="K118" s="183">
        <f>K106</f>
        <v>27.875416666666666</v>
      </c>
    </row>
    <row r="119" spans="1:11" ht="20.25" customHeight="1" x14ac:dyDescent="0.2">
      <c r="A119" s="702" t="s">
        <v>302</v>
      </c>
      <c r="B119" s="702"/>
      <c r="C119" s="702"/>
      <c r="D119" s="702"/>
      <c r="E119" s="702"/>
      <c r="F119" s="702"/>
      <c r="G119" s="702"/>
      <c r="H119" s="702"/>
      <c r="I119" s="183">
        <f>I113</f>
        <v>34.030416666666667</v>
      </c>
      <c r="J119" s="183">
        <f>J113</f>
        <v>34.030416666666667</v>
      </c>
      <c r="K119" s="183">
        <f>K113</f>
        <v>34.030416666666667</v>
      </c>
    </row>
    <row r="120" spans="1:11" x14ac:dyDescent="0.2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</row>
    <row r="121" spans="1:11" ht="20.25" customHeight="1" x14ac:dyDescent="0.2">
      <c r="A121" s="703" t="s">
        <v>303</v>
      </c>
      <c r="B121" s="703"/>
      <c r="C121" s="703"/>
      <c r="D121" s="703"/>
      <c r="E121" s="703"/>
      <c r="F121" s="703"/>
      <c r="G121" s="703"/>
      <c r="H121" s="703"/>
      <c r="I121" s="703"/>
    </row>
    <row r="122" spans="1:11" s="163" customFormat="1" ht="59.25" customHeight="1" x14ac:dyDescent="0.2">
      <c r="A122" s="184" t="s">
        <v>130</v>
      </c>
      <c r="B122" s="185" t="s">
        <v>131</v>
      </c>
      <c r="C122" s="185" t="s">
        <v>304</v>
      </c>
      <c r="D122" s="185" t="s">
        <v>305</v>
      </c>
      <c r="E122" s="185" t="s">
        <v>238</v>
      </c>
      <c r="F122" s="186" t="s">
        <v>306</v>
      </c>
      <c r="G122" s="186" t="s">
        <v>285</v>
      </c>
      <c r="H122" s="187" t="s">
        <v>307</v>
      </c>
      <c r="I122" s="187" t="s">
        <v>308</v>
      </c>
    </row>
    <row r="123" spans="1:11" ht="20.25" customHeight="1" x14ac:dyDescent="0.2">
      <c r="A123" s="704" t="s">
        <v>309</v>
      </c>
      <c r="B123" s="704"/>
      <c r="C123" s="704"/>
      <c r="D123" s="704"/>
      <c r="E123" s="704"/>
      <c r="F123" s="704"/>
      <c r="G123" s="704"/>
      <c r="H123" s="188">
        <f>SUM(H124:H128)</f>
        <v>122.52333333333333</v>
      </c>
      <c r="I123" s="188">
        <f>SUM(I124:I128)</f>
        <v>142.21333333333334</v>
      </c>
    </row>
    <row r="124" spans="1:11" ht="15" customHeight="1" x14ac:dyDescent="0.2">
      <c r="A124" s="151" t="s">
        <v>310</v>
      </c>
      <c r="B124" s="189" t="s">
        <v>164</v>
      </c>
      <c r="C124" s="128">
        <f>22</f>
        <v>22</v>
      </c>
      <c r="D124" s="128">
        <f>22</f>
        <v>22</v>
      </c>
      <c r="E124" s="166">
        <v>2.83</v>
      </c>
      <c r="F124" s="129">
        <v>4.34</v>
      </c>
      <c r="G124" s="107">
        <f>(E124+F124)/2</f>
        <v>3.585</v>
      </c>
      <c r="H124" s="190">
        <f>C124*G124</f>
        <v>78.87</v>
      </c>
      <c r="I124" s="191">
        <f>D124*G124</f>
        <v>78.87</v>
      </c>
    </row>
    <row r="125" spans="1:11" ht="15" customHeight="1" x14ac:dyDescent="0.2">
      <c r="A125" s="151" t="s">
        <v>311</v>
      </c>
      <c r="B125" s="192" t="s">
        <v>164</v>
      </c>
      <c r="C125" s="193">
        <f>1/6</f>
        <v>0.16666666666666666</v>
      </c>
      <c r="D125" s="194">
        <f>1/6</f>
        <v>0.16666666666666666</v>
      </c>
      <c r="E125" s="166">
        <v>9.4499999999999993</v>
      </c>
      <c r="F125" s="129">
        <v>7.51</v>
      </c>
      <c r="G125" s="195">
        <f>(E125+F125)/2</f>
        <v>8.48</v>
      </c>
      <c r="H125" s="196">
        <f>C125*G125</f>
        <v>1.4133333333333333</v>
      </c>
      <c r="I125" s="191">
        <f>D125*G125</f>
        <v>1.4133333333333333</v>
      </c>
    </row>
    <row r="126" spans="1:11" ht="15" customHeight="1" x14ac:dyDescent="0.2">
      <c r="A126" s="151" t="s">
        <v>312</v>
      </c>
      <c r="B126" s="192" t="s">
        <v>184</v>
      </c>
      <c r="C126" s="133">
        <f>2*22</f>
        <v>44</v>
      </c>
      <c r="D126" s="128">
        <f>3*22</f>
        <v>66</v>
      </c>
      <c r="E126" s="166">
        <v>0.61</v>
      </c>
      <c r="F126" s="129">
        <v>0.54</v>
      </c>
      <c r="G126" s="195">
        <f>(E126+F126)/2</f>
        <v>0.57499999999999996</v>
      </c>
      <c r="H126" s="196">
        <f>C126*G126</f>
        <v>25.299999999999997</v>
      </c>
      <c r="I126" s="191">
        <f>D126*G126</f>
        <v>37.949999999999996</v>
      </c>
    </row>
    <row r="127" spans="1:11" ht="15" customHeight="1" x14ac:dyDescent="0.2">
      <c r="A127" s="151" t="s">
        <v>313</v>
      </c>
      <c r="B127" s="192" t="s">
        <v>164</v>
      </c>
      <c r="C127" s="139">
        <f>2*22</f>
        <v>44</v>
      </c>
      <c r="D127" s="197">
        <f>3*22</f>
        <v>66</v>
      </c>
      <c r="E127" s="176">
        <v>0.23</v>
      </c>
      <c r="F127" s="129">
        <v>0.41</v>
      </c>
      <c r="G127" s="195">
        <f>(E127+F127)/2</f>
        <v>0.32</v>
      </c>
      <c r="H127" s="196">
        <f>C127*G127</f>
        <v>14.08</v>
      </c>
      <c r="I127" s="191">
        <f>D127*G127</f>
        <v>21.12</v>
      </c>
    </row>
    <row r="128" spans="1:11" ht="15" customHeight="1" x14ac:dyDescent="0.2">
      <c r="A128" s="152" t="s">
        <v>314</v>
      </c>
      <c r="B128" s="198" t="s">
        <v>164</v>
      </c>
      <c r="C128" s="139">
        <f>22</f>
        <v>22</v>
      </c>
      <c r="D128" s="139">
        <f>22</f>
        <v>22</v>
      </c>
      <c r="E128" s="199">
        <v>0.13</v>
      </c>
      <c r="F128" s="140">
        <v>0.13</v>
      </c>
      <c r="G128" s="200">
        <f>(E128+F128)/2</f>
        <v>0.13</v>
      </c>
      <c r="H128" s="201">
        <f>C128*G128</f>
        <v>2.8600000000000003</v>
      </c>
      <c r="I128" s="191">
        <f>D128*G128</f>
        <v>2.8600000000000003</v>
      </c>
    </row>
    <row r="129" spans="1:9" s="163" customFormat="1" ht="56.25" customHeight="1" x14ac:dyDescent="0.2">
      <c r="A129" s="202" t="s">
        <v>130</v>
      </c>
      <c r="B129" s="203" t="s">
        <v>131</v>
      </c>
      <c r="C129" s="203" t="s">
        <v>315</v>
      </c>
      <c r="D129" s="203" t="s">
        <v>316</v>
      </c>
      <c r="E129" s="203" t="s">
        <v>317</v>
      </c>
      <c r="F129" s="204" t="s">
        <v>306</v>
      </c>
      <c r="G129" s="204" t="s">
        <v>285</v>
      </c>
      <c r="H129" s="205" t="s">
        <v>307</v>
      </c>
      <c r="I129" s="205" t="s">
        <v>308</v>
      </c>
    </row>
    <row r="130" spans="1:9" ht="20.25" customHeight="1" x14ac:dyDescent="0.2">
      <c r="A130" s="705" t="s">
        <v>318</v>
      </c>
      <c r="B130" s="705"/>
      <c r="C130" s="705"/>
      <c r="D130" s="705"/>
      <c r="E130" s="705"/>
      <c r="F130" s="705"/>
      <c r="G130" s="705"/>
      <c r="H130" s="206">
        <f>SUM(H131:H134)</f>
        <v>25.446666666666665</v>
      </c>
      <c r="I130" s="206">
        <f>SUM(I131:I134)</f>
        <v>36.666666666666671</v>
      </c>
    </row>
    <row r="131" spans="1:9" ht="15" customHeight="1" x14ac:dyDescent="0.2">
      <c r="A131" s="151" t="s">
        <v>319</v>
      </c>
      <c r="B131" s="128" t="s">
        <v>164</v>
      </c>
      <c r="C131" s="194">
        <v>1</v>
      </c>
      <c r="D131" s="194">
        <v>1</v>
      </c>
      <c r="E131" s="166">
        <v>11.69</v>
      </c>
      <c r="F131" s="129">
        <v>10</v>
      </c>
      <c r="G131" s="107">
        <f>(E131+F131)/2</f>
        <v>10.844999999999999</v>
      </c>
      <c r="H131" s="190">
        <f>(C131*G131)/12</f>
        <v>0.90374999999999994</v>
      </c>
      <c r="I131" s="190">
        <f>(D131*G131)/12</f>
        <v>0.90374999999999994</v>
      </c>
    </row>
    <row r="132" spans="1:9" ht="15" customHeight="1" x14ac:dyDescent="0.2">
      <c r="A132" s="151" t="s">
        <v>320</v>
      </c>
      <c r="B132" s="133" t="s">
        <v>184</v>
      </c>
      <c r="C132" s="193">
        <v>2</v>
      </c>
      <c r="D132" s="193">
        <v>2</v>
      </c>
      <c r="E132" s="166">
        <v>10.07</v>
      </c>
      <c r="F132" s="129">
        <v>10.98</v>
      </c>
      <c r="G132" s="195">
        <f>(E132+F132)/2</f>
        <v>10.525</v>
      </c>
      <c r="H132" s="190">
        <f>(C132*G132)/12</f>
        <v>1.7541666666666667</v>
      </c>
      <c r="I132" s="190">
        <f>(D132*G132)/12</f>
        <v>1.7541666666666667</v>
      </c>
    </row>
    <row r="133" spans="1:9" ht="15" customHeight="1" x14ac:dyDescent="0.2">
      <c r="A133" s="151" t="s">
        <v>313</v>
      </c>
      <c r="B133" s="133" t="s">
        <v>164</v>
      </c>
      <c r="C133" s="133">
        <f>2*22*12</f>
        <v>528</v>
      </c>
      <c r="D133" s="133">
        <f>3*22*12</f>
        <v>792</v>
      </c>
      <c r="E133" s="166">
        <v>0.61</v>
      </c>
      <c r="F133" s="129">
        <v>0.41</v>
      </c>
      <c r="G133" s="195">
        <f>(E133+F133)/2</f>
        <v>0.51</v>
      </c>
      <c r="H133" s="190">
        <f>(C133*G133)/12</f>
        <v>22.44</v>
      </c>
      <c r="I133" s="190">
        <f>(D133*G133)/12</f>
        <v>33.660000000000004</v>
      </c>
    </row>
    <row r="134" spans="1:9" ht="15" customHeight="1" x14ac:dyDescent="0.2">
      <c r="A134" s="151" t="s">
        <v>321</v>
      </c>
      <c r="B134" s="133" t="s">
        <v>164</v>
      </c>
      <c r="C134" s="193">
        <v>1</v>
      </c>
      <c r="D134" s="193">
        <v>1</v>
      </c>
      <c r="E134" s="166">
        <v>4.62</v>
      </c>
      <c r="F134" s="129">
        <v>3.75</v>
      </c>
      <c r="G134" s="195">
        <f>(E134+F134)/2</f>
        <v>4.1850000000000005</v>
      </c>
      <c r="H134" s="190">
        <f>(C134*G134)/12</f>
        <v>0.34875000000000006</v>
      </c>
      <c r="I134" s="190">
        <f>(D134*G134)/12</f>
        <v>0.34875000000000006</v>
      </c>
    </row>
    <row r="135" spans="1:9" x14ac:dyDescent="0.2">
      <c r="A135" s="144"/>
      <c r="B135" s="145"/>
      <c r="C135" s="145"/>
      <c r="D135" s="145"/>
      <c r="E135" s="145"/>
      <c r="F135" s="145"/>
      <c r="G135" s="145"/>
    </row>
    <row r="136" spans="1:9" ht="12.75" customHeight="1" x14ac:dyDescent="0.2">
      <c r="A136" s="706" t="s">
        <v>322</v>
      </c>
      <c r="B136" s="706"/>
      <c r="C136" s="706"/>
      <c r="D136" s="706"/>
      <c r="E136" s="706"/>
      <c r="F136" s="706"/>
      <c r="G136" s="145"/>
    </row>
    <row r="137" spans="1:9" ht="12.75" customHeight="1" x14ac:dyDescent="0.2">
      <c r="A137" s="207" t="s">
        <v>310</v>
      </c>
      <c r="B137" s="707" t="s">
        <v>323</v>
      </c>
      <c r="C137" s="707"/>
      <c r="D137" s="707"/>
      <c r="E137" s="707"/>
      <c r="F137" s="707"/>
      <c r="G137" s="145"/>
    </row>
    <row r="138" spans="1:9" ht="12.75" customHeight="1" x14ac:dyDescent="0.2">
      <c r="A138" s="207" t="s">
        <v>311</v>
      </c>
      <c r="B138" s="707" t="s">
        <v>324</v>
      </c>
      <c r="C138" s="707"/>
      <c r="D138" s="707"/>
      <c r="E138" s="707"/>
      <c r="F138" s="707"/>
      <c r="G138" s="145"/>
    </row>
    <row r="139" spans="1:9" ht="12.75" customHeight="1" x14ac:dyDescent="0.2">
      <c r="A139" s="207" t="s">
        <v>312</v>
      </c>
      <c r="B139" s="707" t="s">
        <v>325</v>
      </c>
      <c r="C139" s="707"/>
      <c r="D139" s="707"/>
      <c r="E139" s="707"/>
      <c r="F139" s="707"/>
      <c r="G139" s="145"/>
    </row>
    <row r="140" spans="1:9" ht="12.75" customHeight="1" x14ac:dyDescent="0.2">
      <c r="A140" s="207" t="s">
        <v>313</v>
      </c>
      <c r="B140" s="707" t="s">
        <v>326</v>
      </c>
      <c r="C140" s="707"/>
      <c r="D140" s="707"/>
      <c r="E140" s="707"/>
      <c r="F140" s="707"/>
      <c r="G140" s="145"/>
    </row>
    <row r="141" spans="1:9" ht="12.75" customHeight="1" x14ac:dyDescent="0.2">
      <c r="A141" s="207" t="s">
        <v>314</v>
      </c>
      <c r="B141" s="707" t="s">
        <v>323</v>
      </c>
      <c r="C141" s="707"/>
      <c r="D141" s="707"/>
      <c r="E141" s="707"/>
      <c r="F141" s="707"/>
      <c r="G141" s="145"/>
    </row>
    <row r="142" spans="1:9" ht="12.75" customHeight="1" x14ac:dyDescent="0.2">
      <c r="A142" s="207" t="s">
        <v>327</v>
      </c>
      <c r="B142" s="707" t="s">
        <v>328</v>
      </c>
      <c r="C142" s="707"/>
      <c r="D142" s="707"/>
      <c r="E142" s="707"/>
      <c r="F142" s="707"/>
      <c r="G142" s="145"/>
    </row>
    <row r="143" spans="1:9" ht="12.75" customHeight="1" x14ac:dyDescent="0.2">
      <c r="A143" s="207" t="s">
        <v>329</v>
      </c>
      <c r="B143" s="707" t="s">
        <v>330</v>
      </c>
      <c r="C143" s="707"/>
      <c r="D143" s="707"/>
      <c r="E143" s="707"/>
      <c r="F143" s="707"/>
      <c r="G143" s="145"/>
      <c r="H143" s="145"/>
    </row>
    <row r="144" spans="1:9" ht="12.75" customHeight="1" x14ac:dyDescent="0.2">
      <c r="A144" s="207" t="s">
        <v>331</v>
      </c>
      <c r="B144" s="707" t="s">
        <v>332</v>
      </c>
      <c r="C144" s="707"/>
      <c r="D144" s="707"/>
      <c r="E144" s="707"/>
      <c r="F144" s="707"/>
      <c r="G144" s="145"/>
      <c r="H144" s="145"/>
    </row>
    <row r="145" spans="1:8" x14ac:dyDescent="0.2">
      <c r="A145" s="144"/>
      <c r="B145" s="145"/>
      <c r="C145" s="145"/>
      <c r="D145" s="145"/>
      <c r="E145" s="145"/>
      <c r="F145" s="145"/>
      <c r="G145" s="145"/>
      <c r="H145" s="145"/>
    </row>
    <row r="146" spans="1:8" ht="20.25" customHeight="1" x14ac:dyDescent="0.2">
      <c r="A146" s="708" t="s">
        <v>333</v>
      </c>
      <c r="B146" s="708"/>
      <c r="C146" s="708"/>
      <c r="D146" s="708"/>
      <c r="E146" s="708"/>
      <c r="F146" s="708"/>
      <c r="G146" s="708"/>
      <c r="H146" s="208">
        <f>SUM(H147:H147)</f>
        <v>50.323333333333331</v>
      </c>
    </row>
    <row r="147" spans="1:8" ht="15" customHeight="1" x14ac:dyDescent="0.2">
      <c r="A147" s="209" t="s">
        <v>334</v>
      </c>
      <c r="B147" s="210" t="s">
        <v>164</v>
      </c>
      <c r="C147" s="210">
        <v>1</v>
      </c>
      <c r="D147" s="709">
        <f>(54.99+39.99+55.99)/3</f>
        <v>50.323333333333331</v>
      </c>
      <c r="E147" s="709"/>
      <c r="F147" s="709"/>
      <c r="G147" s="709"/>
      <c r="H147" s="211">
        <f>D147</f>
        <v>50.323333333333331</v>
      </c>
    </row>
  </sheetData>
  <mergeCells count="30">
    <mergeCell ref="B142:F142"/>
    <mergeCell ref="B143:F143"/>
    <mergeCell ref="B144:F144"/>
    <mergeCell ref="A146:G146"/>
    <mergeCell ref="D147:G147"/>
    <mergeCell ref="B137:F137"/>
    <mergeCell ref="B138:F138"/>
    <mergeCell ref="B139:F139"/>
    <mergeCell ref="B140:F140"/>
    <mergeCell ref="B141:F141"/>
    <mergeCell ref="A119:H119"/>
    <mergeCell ref="A121:I121"/>
    <mergeCell ref="A123:G123"/>
    <mergeCell ref="A130:G130"/>
    <mergeCell ref="A136:F136"/>
    <mergeCell ref="A100:H100"/>
    <mergeCell ref="A104:K104"/>
    <mergeCell ref="A106:H106"/>
    <mergeCell ref="A113:H113"/>
    <mergeCell ref="A118:H118"/>
    <mergeCell ref="A62:H62"/>
    <mergeCell ref="A70:F70"/>
    <mergeCell ref="A86:K86"/>
    <mergeCell ref="A98:H98"/>
    <mergeCell ref="A99:H99"/>
    <mergeCell ref="A1:H1"/>
    <mergeCell ref="A37:F37"/>
    <mergeCell ref="A38:H38"/>
    <mergeCell ref="A59:F59"/>
    <mergeCell ref="A60:F6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LO56"/>
  <sheetViews>
    <sheetView showGridLines="0" tabSelected="1" topLeftCell="A22" zoomScale="112" zoomScaleNormal="112" workbookViewId="0">
      <pane xSplit="4" topLeftCell="U1" activePane="topRight" state="frozen"/>
      <selection pane="topRight" activeCell="AE52" sqref="AE52"/>
    </sheetView>
  </sheetViews>
  <sheetFormatPr defaultRowHeight="14.25" x14ac:dyDescent="0.2"/>
  <cols>
    <col min="1" max="1" width="31" customWidth="1"/>
    <col min="2" max="2" width="29.375" customWidth="1"/>
    <col min="3" max="3" width="22.625" customWidth="1"/>
    <col min="4" max="5" width="8.625" customWidth="1"/>
    <col min="6" max="6" width="8" customWidth="1"/>
    <col min="7" max="7" width="9.125" customWidth="1"/>
    <col min="8" max="9" width="8.5" customWidth="1"/>
    <col min="10" max="10" width="6.625" customWidth="1"/>
    <col min="11" max="11" width="7.875" customWidth="1"/>
    <col min="12" max="12" width="7.375" customWidth="1"/>
    <col min="13" max="13" width="9.25" customWidth="1"/>
    <col min="14" max="14" width="7" customWidth="1"/>
    <col min="15" max="15" width="8.25" customWidth="1"/>
    <col min="16" max="16" width="7.375" customWidth="1"/>
    <col min="17" max="17" width="7.5" customWidth="1"/>
    <col min="18" max="18" width="7.375" customWidth="1"/>
    <col min="19" max="19" width="8.625" customWidth="1"/>
    <col min="20" max="20" width="6.875" customWidth="1"/>
    <col min="21" max="21" width="7.5" customWidth="1"/>
    <col min="22" max="22" width="7.375" customWidth="1"/>
    <col min="23" max="23" width="7.5" customWidth="1"/>
    <col min="24" max="24" width="7.375" customWidth="1"/>
    <col min="25" max="25" width="8.875" customWidth="1"/>
    <col min="26" max="26" width="7.25" customWidth="1"/>
    <col min="27" max="27" width="12.375" customWidth="1"/>
    <col min="28" max="29" width="11.5"/>
    <col min="30" max="30" width="13.375" customWidth="1"/>
    <col min="31" max="31" width="12.625" customWidth="1"/>
    <col min="32" max="1003" width="10.625" customWidth="1"/>
    <col min="1004" max="1025" width="10.5" customWidth="1"/>
  </cols>
  <sheetData>
    <row r="1" spans="1:31" ht="23.25" x14ac:dyDescent="0.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</row>
    <row r="2" spans="1:31" ht="15" customHeight="1" x14ac:dyDescent="0.2">
      <c r="A2" s="213"/>
      <c r="B2" s="213"/>
      <c r="C2" s="213"/>
      <c r="D2" s="214"/>
      <c r="E2" s="710" t="s">
        <v>335</v>
      </c>
      <c r="F2" s="710"/>
      <c r="G2" s="710"/>
      <c r="H2" s="710"/>
      <c r="I2" s="710"/>
      <c r="J2" s="710"/>
      <c r="K2" s="710"/>
      <c r="L2" s="710"/>
      <c r="M2" s="710"/>
      <c r="N2" s="710"/>
      <c r="O2" s="711" t="s">
        <v>336</v>
      </c>
      <c r="P2" s="711"/>
      <c r="Q2" s="711"/>
      <c r="R2" s="711"/>
      <c r="S2" s="711"/>
      <c r="T2" s="711"/>
      <c r="U2" s="712" t="s">
        <v>337</v>
      </c>
      <c r="V2" s="712"/>
      <c r="W2" s="712"/>
      <c r="X2" s="712"/>
      <c r="Y2" s="712"/>
      <c r="Z2" s="712"/>
      <c r="AA2" s="215" t="s">
        <v>338</v>
      </c>
      <c r="AB2" s="215" t="s">
        <v>339</v>
      </c>
      <c r="AC2" s="215" t="s">
        <v>340</v>
      </c>
      <c r="AD2" s="215" t="s">
        <v>341</v>
      </c>
      <c r="AE2" s="215" t="s">
        <v>342</v>
      </c>
    </row>
    <row r="3" spans="1:31" ht="59.25" customHeight="1" x14ac:dyDescent="0.2">
      <c r="A3" s="713" t="s">
        <v>343</v>
      </c>
      <c r="B3" s="713"/>
      <c r="C3" s="713"/>
      <c r="D3" s="714" t="s">
        <v>344</v>
      </c>
      <c r="E3" s="715" t="s">
        <v>345</v>
      </c>
      <c r="F3" s="715"/>
      <c r="G3" s="716" t="s">
        <v>346</v>
      </c>
      <c r="H3" s="716"/>
      <c r="I3" s="717" t="s">
        <v>347</v>
      </c>
      <c r="J3" s="717"/>
      <c r="K3" s="717" t="s">
        <v>348</v>
      </c>
      <c r="L3" s="717"/>
      <c r="M3" s="717" t="s">
        <v>349</v>
      </c>
      <c r="N3" s="717"/>
      <c r="O3" s="718" t="s">
        <v>350</v>
      </c>
      <c r="P3" s="718"/>
      <c r="Q3" s="719" t="s">
        <v>351</v>
      </c>
      <c r="R3" s="719"/>
      <c r="S3" s="718" t="s">
        <v>352</v>
      </c>
      <c r="T3" s="718"/>
      <c r="U3" s="720" t="s">
        <v>353</v>
      </c>
      <c r="V3" s="720"/>
      <c r="W3" s="720" t="s">
        <v>354</v>
      </c>
      <c r="X3" s="720"/>
      <c r="Y3" s="721" t="s">
        <v>355</v>
      </c>
      <c r="Z3" s="721"/>
      <c r="AA3" s="722" t="s">
        <v>356</v>
      </c>
      <c r="AB3" s="723" t="s">
        <v>357</v>
      </c>
      <c r="AC3" s="724" t="s">
        <v>358</v>
      </c>
      <c r="AD3" s="725" t="s">
        <v>359</v>
      </c>
      <c r="AE3" s="726" t="s">
        <v>360</v>
      </c>
    </row>
    <row r="4" spans="1:31" ht="33.6" customHeight="1" x14ac:dyDescent="0.2">
      <c r="A4" s="713"/>
      <c r="B4" s="713"/>
      <c r="C4" s="713"/>
      <c r="D4" s="714"/>
      <c r="E4" s="715"/>
      <c r="F4" s="715"/>
      <c r="G4" s="716"/>
      <c r="H4" s="716"/>
      <c r="I4" s="717"/>
      <c r="J4" s="717"/>
      <c r="K4" s="717"/>
      <c r="L4" s="717"/>
      <c r="M4" s="717"/>
      <c r="N4" s="717"/>
      <c r="O4" s="718"/>
      <c r="P4" s="718"/>
      <c r="Q4" s="719"/>
      <c r="R4" s="719"/>
      <c r="S4" s="718"/>
      <c r="T4" s="718"/>
      <c r="U4" s="720"/>
      <c r="V4" s="720"/>
      <c r="W4" s="720"/>
      <c r="X4" s="720"/>
      <c r="Y4" s="721"/>
      <c r="Z4" s="721"/>
      <c r="AA4" s="722"/>
      <c r="AB4" s="723"/>
      <c r="AC4" s="724"/>
      <c r="AD4" s="725"/>
      <c r="AE4" s="726"/>
    </row>
    <row r="5" spans="1:31" ht="31.7" customHeight="1" x14ac:dyDescent="0.2">
      <c r="A5" s="713"/>
      <c r="B5" s="713"/>
      <c r="C5" s="713"/>
      <c r="D5" s="714"/>
      <c r="E5" s="220" t="s">
        <v>361</v>
      </c>
      <c r="F5" s="221" t="s">
        <v>362</v>
      </c>
      <c r="G5" s="216" t="s">
        <v>361</v>
      </c>
      <c r="H5" s="221" t="s">
        <v>362</v>
      </c>
      <c r="I5" s="216" t="s">
        <v>361</v>
      </c>
      <c r="J5" s="217" t="s">
        <v>362</v>
      </c>
      <c r="K5" s="216" t="s">
        <v>361</v>
      </c>
      <c r="L5" s="217" t="s">
        <v>362</v>
      </c>
      <c r="M5" s="216" t="s">
        <v>361</v>
      </c>
      <c r="N5" s="217" t="s">
        <v>362</v>
      </c>
      <c r="O5" s="218" t="s">
        <v>361</v>
      </c>
      <c r="P5" s="218" t="s">
        <v>362</v>
      </c>
      <c r="Q5" s="218" t="s">
        <v>361</v>
      </c>
      <c r="R5" s="218" t="s">
        <v>362</v>
      </c>
      <c r="S5" s="218" t="s">
        <v>361</v>
      </c>
      <c r="T5" s="218" t="s">
        <v>362</v>
      </c>
      <c r="U5" s="219" t="s">
        <v>361</v>
      </c>
      <c r="V5" s="219" t="s">
        <v>362</v>
      </c>
      <c r="W5" s="219" t="s">
        <v>361</v>
      </c>
      <c r="X5" s="219" t="s">
        <v>362</v>
      </c>
      <c r="Y5" s="219" t="s">
        <v>361</v>
      </c>
      <c r="Z5" s="222" t="s">
        <v>362</v>
      </c>
      <c r="AA5" s="223" t="s">
        <v>363</v>
      </c>
      <c r="AB5" s="224" t="s">
        <v>363</v>
      </c>
      <c r="AC5" s="225" t="s">
        <v>363</v>
      </c>
      <c r="AD5" s="226" t="s">
        <v>363</v>
      </c>
      <c r="AE5" s="227" t="s">
        <v>363</v>
      </c>
    </row>
    <row r="6" spans="1:31" x14ac:dyDescent="0.2">
      <c r="A6" s="228" t="s">
        <v>82</v>
      </c>
      <c r="B6" s="229" t="s">
        <v>364</v>
      </c>
      <c r="C6" s="230" t="s">
        <v>365</v>
      </c>
      <c r="D6" s="231">
        <f>MC!C71</f>
        <v>0.04</v>
      </c>
      <c r="E6" s="232">
        <f>'Prod. GEXCAX'!D4</f>
        <v>0</v>
      </c>
      <c r="F6" s="233">
        <f>'GEXCAX Limp.Ord.'!J$149</f>
        <v>6.1143648715508228</v>
      </c>
      <c r="G6" s="234">
        <f>'Prod. GEXCAX'!E4</f>
        <v>800</v>
      </c>
      <c r="H6" s="233">
        <f>'GEXCAX Limp.Ord.'!J$155</f>
        <v>6.7809780309192069</v>
      </c>
      <c r="I6" s="235">
        <f>'Prod. GEXCAX'!F4</f>
        <v>0</v>
      </c>
      <c r="J6" s="236">
        <f>'GEXCAX Limp.Ord.'!J$161</f>
        <v>3.2609945981604382</v>
      </c>
      <c r="K6" s="237">
        <f>'Prod. GEXCAX'!G4</f>
        <v>0</v>
      </c>
      <c r="L6" s="236">
        <f>'GEXCAX Limp.Ord.'!J$167</f>
        <v>3.2609945981604382</v>
      </c>
      <c r="M6" s="237">
        <f>'Prod. GEXCAX'!H4</f>
        <v>0</v>
      </c>
      <c r="N6" s="236">
        <f>'GEXCAX Limp.Ord.'!J$173</f>
        <v>21.699129698941459</v>
      </c>
      <c r="O6" s="232">
        <f>'Prod. GEXCAX'!I4</f>
        <v>0</v>
      </c>
      <c r="P6" s="236">
        <f>'GEXCAX Limp.Ord.'!J$179</f>
        <v>1.9565967588962634</v>
      </c>
      <c r="Q6" s="232">
        <f>'Prod. GEXCAX'!J4</f>
        <v>0</v>
      </c>
      <c r="R6" s="236">
        <f>'GEXCAX Limp.Ord.'!J$182</f>
        <v>4.8914918972406581E-2</v>
      </c>
      <c r="S6" s="232">
        <f>'Prod. GEXCAX'!K4</f>
        <v>0</v>
      </c>
      <c r="T6" s="236">
        <f>'GEXCAX Limp.Ord.'!J$185</f>
        <v>0.65219891963208776</v>
      </c>
      <c r="U6" s="232">
        <f>'Prod. GEXCAX'!L4</f>
        <v>0</v>
      </c>
      <c r="V6" s="236">
        <f>'GEXCAX Limp.Ord.'!J$191</f>
        <v>0.26421596173041928</v>
      </c>
      <c r="W6" s="232">
        <f>'Prod. GEXCAX'!M4</f>
        <v>0</v>
      </c>
      <c r="X6" s="236">
        <f>'GEXCAX Limp.Ord.'!J$194</f>
        <v>1.0911080396695683</v>
      </c>
      <c r="Y6" s="232">
        <f>'Prod. GEXCAX'!N4</f>
        <v>0</v>
      </c>
      <c r="Z6" s="236">
        <f>'GEXCAX Limp.Ord.'!J$197</f>
        <v>1.0911080396695683</v>
      </c>
      <c r="AA6" s="238">
        <f t="shared" ref="AA6:AA17" si="0">(E6*F6)+(G6*H6)+(I6*J6)+(K6*L6)+(M6*N6)+(O6*P6)+(Q6*R6)+(S6*T6)+(U6*V6)+(W6*X6)+(Y6*Z6)</f>
        <v>5424.7824247353656</v>
      </c>
      <c r="AB6" s="239">
        <f>('GEXCAX Covid'!C132*'Prod. GEXCAX'!T4)+('GEXCAX Covid'!D132*'Prod. GEXCAX'!U4)</f>
        <v>0</v>
      </c>
      <c r="AC6" s="240">
        <f>'GEXCAX Limp.Ord.'!C142*'Prod. GEXCAX'!V4</f>
        <v>153.83074730178504</v>
      </c>
      <c r="AD6" s="241">
        <f>'GEXCAX Covid'!C137*'Prod. GEXCAX'!W4</f>
        <v>132.31474177921871</v>
      </c>
      <c r="AE6" s="242">
        <f>'Prod. GEXCAX'!X4*MC!C15</f>
        <v>4043.6000000000004</v>
      </c>
    </row>
    <row r="7" spans="1:31" x14ac:dyDescent="0.2">
      <c r="A7" s="243" t="s">
        <v>84</v>
      </c>
      <c r="B7" s="243" t="s">
        <v>366</v>
      </c>
      <c r="C7" s="244" t="s">
        <v>367</v>
      </c>
      <c r="D7" s="245">
        <f>MC!C72</f>
        <v>0.03</v>
      </c>
      <c r="E7" s="232">
        <f>'Prod. GEXCAX'!D5</f>
        <v>301.46999999999997</v>
      </c>
      <c r="F7" s="233">
        <f>'GEXCAX Limp.Ord.'!H$149</f>
        <v>6.048917563157211</v>
      </c>
      <c r="G7" s="234">
        <f>'Prod. GEXCAX'!E5</f>
        <v>646.72</v>
      </c>
      <c r="H7" s="233">
        <f>'GEXCAX Limp.Ord.'!H$155</f>
        <v>6.7079339913647038</v>
      </c>
      <c r="I7" s="235">
        <f>'Prod. GEXCAX'!F5</f>
        <v>0</v>
      </c>
      <c r="J7" s="236">
        <f>'GEXCAX Limp.Ord.'!H$161</f>
        <v>3.2260893670171789</v>
      </c>
      <c r="K7" s="237">
        <f>'Prod. GEXCAX'!G5</f>
        <v>202.44</v>
      </c>
      <c r="L7" s="236">
        <f>'GEXCAX Limp.Ord.'!H$167</f>
        <v>3.2260893670171789</v>
      </c>
      <c r="M7" s="237">
        <f>'Prod. GEXCAX'!H5</f>
        <v>47.9</v>
      </c>
      <c r="N7" s="236">
        <f>'GEXCAX Limp.Ord.'!H$173</f>
        <v>21.465388772367049</v>
      </c>
      <c r="O7" s="232">
        <f>'Prod. GEXCAX'!I5</f>
        <v>224.13</v>
      </c>
      <c r="P7" s="236">
        <f>'GEXCAX Limp.Ord.'!H$179</f>
        <v>1.9356536202103076</v>
      </c>
      <c r="Q7" s="232">
        <f>'Prod. GEXCAX'!J5</f>
        <v>0</v>
      </c>
      <c r="R7" s="236">
        <f>'GEXCAX Limp.Ord.'!H$182</f>
        <v>4.8391340505257688E-2</v>
      </c>
      <c r="S7" s="232">
        <f>'Prod. GEXCAX'!K5</f>
        <v>0</v>
      </c>
      <c r="T7" s="236">
        <f>'GEXCAX Limp.Ord.'!H$185</f>
        <v>0.64521787340343584</v>
      </c>
      <c r="U7" s="232">
        <f>'Prod. GEXCAX'!L5</f>
        <v>291.08</v>
      </c>
      <c r="V7" s="236">
        <f>'GEXCAX Limp.Ord.'!H$191</f>
        <v>0.26176602262585097</v>
      </c>
      <c r="W7" s="232">
        <f>'Prod. GEXCAX'!M5</f>
        <v>291.08</v>
      </c>
      <c r="X7" s="236">
        <f>'GEXCAX Limp.Ord.'!H$194</f>
        <v>1.0794289714649108</v>
      </c>
      <c r="Y7" s="232">
        <f>'Prod. GEXCAX'!N5</f>
        <v>291.08</v>
      </c>
      <c r="Z7" s="236">
        <f>'GEXCAX Limp.Ord.'!H$197</f>
        <v>1.0794289714649108</v>
      </c>
      <c r="AA7" s="238">
        <f t="shared" si="0"/>
        <v>8981.4371721074076</v>
      </c>
      <c r="AB7" s="239">
        <f>('GEXCAX Covid'!C$131*'Prod. GEXCAX'!T5)+('GEXCAX Covid'!D$131*'Prod. GEXCAX'!U5)</f>
        <v>8720.4587649361638</v>
      </c>
      <c r="AC7" s="246">
        <f>'GEXCAX Limp.Ord.'!C141*'Prod. GEXCAX'!V5</f>
        <v>152.07769035247696</v>
      </c>
      <c r="AD7" s="247">
        <f>'GEXCAX Covid'!C$136*'Prod. GEXCAX'!W5</f>
        <v>130.80688147404246</v>
      </c>
      <c r="AE7" s="248"/>
    </row>
    <row r="8" spans="1:31" x14ac:dyDescent="0.2">
      <c r="A8" s="243" t="s">
        <v>86</v>
      </c>
      <c r="B8" s="243" t="s">
        <v>368</v>
      </c>
      <c r="C8" s="244" t="s">
        <v>369</v>
      </c>
      <c r="D8" s="245">
        <f>MC!C73</f>
        <v>0.03</v>
      </c>
      <c r="E8" s="232">
        <f>'Prod. GEXCAX'!D6</f>
        <v>0</v>
      </c>
      <c r="F8" s="233">
        <f>'GEXCAX Limp.Ord.'!H$149</f>
        <v>6.048917563157211</v>
      </c>
      <c r="G8" s="234">
        <f>'Prod. GEXCAX'!E6</f>
        <v>800</v>
      </c>
      <c r="H8" s="233">
        <f>'GEXCAX Limp.Ord.'!H$155</f>
        <v>6.7079339913647038</v>
      </c>
      <c r="I8" s="235">
        <f>'Prod. GEXCAX'!F6</f>
        <v>0</v>
      </c>
      <c r="J8" s="236">
        <f>'GEXCAX Limp.Ord.'!H$161</f>
        <v>3.2260893670171789</v>
      </c>
      <c r="K8" s="237">
        <f>'Prod. GEXCAX'!G6</f>
        <v>0</v>
      </c>
      <c r="L8" s="236">
        <f>'GEXCAX Limp.Ord.'!H$167</f>
        <v>3.2260893670171789</v>
      </c>
      <c r="M8" s="237">
        <f>'Prod. GEXCAX'!H6</f>
        <v>0</v>
      </c>
      <c r="N8" s="236">
        <f>'GEXCAX Limp.Ord.'!H$173</f>
        <v>21.465388772367049</v>
      </c>
      <c r="O8" s="232">
        <f>'Prod. GEXCAX'!I6</f>
        <v>0</v>
      </c>
      <c r="P8" s="236">
        <f>'GEXCAX Limp.Ord.'!H$179</f>
        <v>1.9356536202103076</v>
      </c>
      <c r="Q8" s="232">
        <f>'Prod. GEXCAX'!J6</f>
        <v>0</v>
      </c>
      <c r="R8" s="236">
        <f>'GEXCAX Limp.Ord.'!H$182</f>
        <v>4.8391340505257688E-2</v>
      </c>
      <c r="S8" s="232">
        <f>'Prod. GEXCAX'!K6</f>
        <v>0</v>
      </c>
      <c r="T8" s="236">
        <f>'GEXCAX Limp.Ord.'!H$185</f>
        <v>0.64521787340343584</v>
      </c>
      <c r="U8" s="232">
        <f>'Prod. GEXCAX'!L6</f>
        <v>0</v>
      </c>
      <c r="V8" s="236">
        <f>'GEXCAX Limp.Ord.'!H$191</f>
        <v>0.26176602262585097</v>
      </c>
      <c r="W8" s="232">
        <f>'Prod. GEXCAX'!M6</f>
        <v>0</v>
      </c>
      <c r="X8" s="236">
        <f>'GEXCAX Limp.Ord.'!H$194</f>
        <v>1.0794289714649108</v>
      </c>
      <c r="Y8" s="232">
        <f>'Prod. GEXCAX'!N6</f>
        <v>0</v>
      </c>
      <c r="Z8" s="236">
        <f>'GEXCAX Limp.Ord.'!H$197</f>
        <v>1.0794289714649108</v>
      </c>
      <c r="AA8" s="238">
        <f t="shared" si="0"/>
        <v>5366.3471930917631</v>
      </c>
      <c r="AB8" s="239">
        <f>('GEXCAX Covid'!C$131*'Prod. GEXCAX'!T6)+('GEXCAX Covid'!D$131*'Prod. GEXCAX'!U6)</f>
        <v>3321.5350900215717</v>
      </c>
      <c r="AC8" s="246">
        <f>'GEXCAX Limp.Ord.'!C141*'Prod. GEXCAX'!V6</f>
        <v>152.07769035247696</v>
      </c>
      <c r="AD8" s="247">
        <f>'GEXCAX Covid'!C$136*'Prod. GEXCAX'!W6</f>
        <v>130.80688147404246</v>
      </c>
      <c r="AE8" s="248"/>
    </row>
    <row r="9" spans="1:31" x14ac:dyDescent="0.2">
      <c r="A9" s="243" t="s">
        <v>89</v>
      </c>
      <c r="B9" s="243" t="s">
        <v>364</v>
      </c>
      <c r="C9" s="244" t="s">
        <v>365</v>
      </c>
      <c r="D9" s="245">
        <f>MC!C74</f>
        <v>0.04</v>
      </c>
      <c r="E9" s="232">
        <f>'Prod. GEXCAX'!D7</f>
        <v>538.51</v>
      </c>
      <c r="F9" s="233">
        <f>'GEXCAX Limp.Ord.'!J$149</f>
        <v>6.1143648715508228</v>
      </c>
      <c r="G9" s="234">
        <f>'Prod. GEXCAX'!E7</f>
        <v>671.19999999999993</v>
      </c>
      <c r="H9" s="233">
        <f>'GEXCAX Limp.Ord.'!J$155</f>
        <v>6.7809780309192069</v>
      </c>
      <c r="I9" s="235">
        <f>'Prod. GEXCAX'!F7</f>
        <v>0</v>
      </c>
      <c r="J9" s="236">
        <f>'GEXCAX Limp.Ord.'!J$161</f>
        <v>3.2609945981604382</v>
      </c>
      <c r="K9" s="237">
        <f>'Prod. GEXCAX'!G7</f>
        <v>100.84</v>
      </c>
      <c r="L9" s="236">
        <f>'GEXCAX Limp.Ord.'!J$167</f>
        <v>3.2609945981604382</v>
      </c>
      <c r="M9" s="237">
        <f>'Prod. GEXCAX'!H7</f>
        <v>40.25</v>
      </c>
      <c r="N9" s="236">
        <f>'GEXCAX Limp.Ord.'!J$173</f>
        <v>21.699129698941459</v>
      </c>
      <c r="O9" s="232">
        <f>'Prod. GEXCAX'!I7</f>
        <v>1060.3</v>
      </c>
      <c r="P9" s="236">
        <f>'GEXCAX Limp.Ord.'!J$179</f>
        <v>1.9565967588962634</v>
      </c>
      <c r="Q9" s="232">
        <f>'Prod. GEXCAX'!J7</f>
        <v>0</v>
      </c>
      <c r="R9" s="236">
        <f>'GEXCAX Limp.Ord.'!J$182</f>
        <v>4.8914918972406581E-2</v>
      </c>
      <c r="S9" s="232">
        <f>'Prod. GEXCAX'!K7</f>
        <v>0</v>
      </c>
      <c r="T9" s="236">
        <f>'GEXCAX Limp.Ord.'!J$185</f>
        <v>0.65219891963208776</v>
      </c>
      <c r="U9" s="232">
        <f>'Prod. GEXCAX'!L7</f>
        <v>0</v>
      </c>
      <c r="V9" s="236">
        <f>'GEXCAX Limp.Ord.'!J$191</f>
        <v>0.26421596173041928</v>
      </c>
      <c r="W9" s="232">
        <f>'Prod. GEXCAX'!M7</f>
        <v>146.43</v>
      </c>
      <c r="X9" s="236">
        <f>'GEXCAX Limp.Ord.'!J$194</f>
        <v>1.0911080396695683</v>
      </c>
      <c r="Y9" s="232">
        <f>'Prod. GEXCAX'!N7</f>
        <v>146.43</v>
      </c>
      <c r="Z9" s="236">
        <f>'GEXCAX Limp.Ord.'!J$197</f>
        <v>1.0911080396695683</v>
      </c>
      <c r="AA9" s="238">
        <f t="shared" si="0"/>
        <v>11440.389190948034</v>
      </c>
      <c r="AB9" s="239">
        <f>('GEXCAX Covid'!C$132*'Prod. GEXCAX'!T7)+('GEXCAX Covid'!D$132*'Prod. GEXCAX'!U7)</f>
        <v>17641.965570562497</v>
      </c>
      <c r="AC9" s="246">
        <f>'GEXCAX Limp.Ord.'!C142*'Prod. GEXCAX'!V7</f>
        <v>153.83074730178504</v>
      </c>
      <c r="AD9" s="247">
        <f>'GEXCAX Covid'!C$137*'Prod. GEXCAX'!W7</f>
        <v>132.31474177921871</v>
      </c>
      <c r="AE9" s="248"/>
    </row>
    <row r="10" spans="1:31" x14ac:dyDescent="0.2">
      <c r="A10" s="243" t="s">
        <v>91</v>
      </c>
      <c r="B10" s="243" t="s">
        <v>370</v>
      </c>
      <c r="C10" s="244" t="s">
        <v>371</v>
      </c>
      <c r="D10" s="245">
        <f>MC!C75</f>
        <v>0.02</v>
      </c>
      <c r="E10" s="232">
        <f>'Prod. GEXCAX'!D8</f>
        <v>0</v>
      </c>
      <c r="F10" s="233">
        <f>'GEXCAX Limp.Ord.'!D$149</f>
        <v>5.9849451236851481</v>
      </c>
      <c r="G10" s="234">
        <f>'Prod. GEXCAX'!E8</f>
        <v>800</v>
      </c>
      <c r="H10" s="233">
        <f>'GEXCAX Limp.Ord.'!D$155</f>
        <v>6.6365360146733989</v>
      </c>
      <c r="I10" s="235">
        <f>'Prod. GEXCAX'!F8</f>
        <v>0</v>
      </c>
      <c r="J10" s="236">
        <f>'GEXCAX Limp.Ord.'!D$161</f>
        <v>3.1919707326320785</v>
      </c>
      <c r="K10" s="237">
        <f>'Prod. GEXCAX'!G8</f>
        <v>0</v>
      </c>
      <c r="L10" s="236">
        <f>'GEXCAX Limp.Ord.'!D$167</f>
        <v>3.1919707326320785</v>
      </c>
      <c r="M10" s="237">
        <f>'Prod. GEXCAX'!H8</f>
        <v>0</v>
      </c>
      <c r="N10" s="236">
        <f>'GEXCAX Limp.Ord.'!D$173</f>
        <v>21.236915246954876</v>
      </c>
      <c r="O10" s="232">
        <f>'Prod. GEXCAX'!I8</f>
        <v>0</v>
      </c>
      <c r="P10" s="236">
        <f>'GEXCAX Limp.Ord.'!D$179</f>
        <v>1.9151824395792474</v>
      </c>
      <c r="Q10" s="232">
        <f>'Prod. GEXCAX'!J8</f>
        <v>0</v>
      </c>
      <c r="R10" s="236">
        <f>'GEXCAX Limp.Ord.'!D$182</f>
        <v>4.7879560989481186E-2</v>
      </c>
      <c r="S10" s="232">
        <f>'Prod. GEXCAX'!K8</f>
        <v>0</v>
      </c>
      <c r="T10" s="236">
        <f>'GEXCAX Limp.Ord.'!D$185</f>
        <v>0.6383941465264158</v>
      </c>
      <c r="U10" s="232">
        <f>'Prod. GEXCAX'!L8</f>
        <v>0</v>
      </c>
      <c r="V10" s="236">
        <f>'GEXCAX Limp.Ord.'!D$191</f>
        <v>0.25937129341659693</v>
      </c>
      <c r="W10" s="232">
        <f>'Prod. GEXCAX'!M8</f>
        <v>0</v>
      </c>
      <c r="X10" s="236">
        <f>'GEXCAX Limp.Ord.'!D$194</f>
        <v>1.0680130935296548</v>
      </c>
      <c r="Y10" s="232">
        <f>'Prod. GEXCAX'!N8</f>
        <v>0</v>
      </c>
      <c r="Z10" s="236">
        <f>'GEXCAX Limp.Ord.'!D$197</f>
        <v>1.0680130935296548</v>
      </c>
      <c r="AA10" s="238">
        <f t="shared" si="0"/>
        <v>5309.2288117387188</v>
      </c>
      <c r="AB10" s="239">
        <f>('GEXCAX Covid'!C$129*'Prod. GEXCAX'!T8)+('GEXCAX Covid'!D$129*'Prod. GEXCAX'!U8)</f>
        <v>3284.1093425283711</v>
      </c>
      <c r="AC10" s="246">
        <f>'GEXCAX Limp.Ord.'!C139*'Prod. GEXCAX'!V8</f>
        <v>150.36413891188568</v>
      </c>
      <c r="AD10" s="247">
        <f>'GEXCAX Covid'!C$134*'Prod. GEXCAX'!W8</f>
        <v>775.9980067164322</v>
      </c>
      <c r="AE10" s="248"/>
    </row>
    <row r="11" spans="1:31" x14ac:dyDescent="0.2">
      <c r="A11" s="243" t="s">
        <v>93</v>
      </c>
      <c r="B11" s="243" t="s">
        <v>372</v>
      </c>
      <c r="C11" s="244" t="s">
        <v>373</v>
      </c>
      <c r="D11" s="245">
        <f>MC!C76</f>
        <v>0.03</v>
      </c>
      <c r="E11" s="232">
        <f>'Prod. GEXCAX'!D9</f>
        <v>0</v>
      </c>
      <c r="F11" s="233">
        <f>'GEXCAX Limp.Ord.'!H$149</f>
        <v>6.048917563157211</v>
      </c>
      <c r="G11" s="234">
        <f>'Prod. GEXCAX'!E9</f>
        <v>800</v>
      </c>
      <c r="H11" s="233">
        <f>'GEXCAX Limp.Ord.'!H$155</f>
        <v>6.7079339913647038</v>
      </c>
      <c r="I11" s="235">
        <f>'Prod. GEXCAX'!F9</f>
        <v>0</v>
      </c>
      <c r="J11" s="236">
        <f>'GEXCAX Limp.Ord.'!H$161</f>
        <v>3.2260893670171789</v>
      </c>
      <c r="K11" s="237">
        <f>'Prod. GEXCAX'!G9</f>
        <v>0</v>
      </c>
      <c r="L11" s="236">
        <f>'GEXCAX Limp.Ord.'!H$167</f>
        <v>3.2260893670171789</v>
      </c>
      <c r="M11" s="237">
        <f>'Prod. GEXCAX'!H9</f>
        <v>0</v>
      </c>
      <c r="N11" s="236">
        <f>'GEXCAX Limp.Ord.'!H$173</f>
        <v>21.465388772367049</v>
      </c>
      <c r="O11" s="232">
        <f>'Prod. GEXCAX'!I9</f>
        <v>0</v>
      </c>
      <c r="P11" s="236">
        <f>'GEXCAX Limp.Ord.'!H$179</f>
        <v>1.9356536202103076</v>
      </c>
      <c r="Q11" s="232">
        <f>'Prod. GEXCAX'!J9</f>
        <v>0</v>
      </c>
      <c r="R11" s="236">
        <f>'GEXCAX Limp.Ord.'!H$182</f>
        <v>4.8391340505257688E-2</v>
      </c>
      <c r="S11" s="232">
        <f>'Prod. GEXCAX'!K9</f>
        <v>0</v>
      </c>
      <c r="T11" s="236">
        <f>'GEXCAX Limp.Ord.'!H$185</f>
        <v>0.64521787340343584</v>
      </c>
      <c r="U11" s="232">
        <f>'Prod. GEXCAX'!L9</f>
        <v>0</v>
      </c>
      <c r="V11" s="236">
        <f>'GEXCAX Limp.Ord.'!H$191</f>
        <v>0.26176602262585097</v>
      </c>
      <c r="W11" s="232">
        <f>'Prod. GEXCAX'!M9</f>
        <v>0</v>
      </c>
      <c r="X11" s="236">
        <f>'GEXCAX Limp.Ord.'!H$194</f>
        <v>1.0794289714649108</v>
      </c>
      <c r="Y11" s="232">
        <f>'Prod. GEXCAX'!N9</f>
        <v>0</v>
      </c>
      <c r="Z11" s="236">
        <f>'GEXCAX Limp.Ord.'!H$197</f>
        <v>1.0794289714649108</v>
      </c>
      <c r="AA11" s="238">
        <f t="shared" si="0"/>
        <v>5366.3471930917631</v>
      </c>
      <c r="AB11" s="239">
        <f>('GEXCAX Covid'!C$131*'Prod. GEXCAX'!T9)+('GEXCAX Covid'!D$131*'Prod. GEXCAX'!U9)</f>
        <v>3321.5350900215717</v>
      </c>
      <c r="AC11" s="246">
        <f>'GEXCAX Limp.Ord.'!C141*'Prod. GEXCAX'!V9</f>
        <v>152.07769035247696</v>
      </c>
      <c r="AD11" s="247">
        <f>'GEXCAX Covid'!C$136*'Prod. GEXCAX'!W9</f>
        <v>348.81835059744657</v>
      </c>
      <c r="AE11" s="248"/>
    </row>
    <row r="12" spans="1:31" x14ac:dyDescent="0.2">
      <c r="A12" s="243" t="s">
        <v>95</v>
      </c>
      <c r="B12" s="243" t="s">
        <v>374</v>
      </c>
      <c r="C12" s="244" t="s">
        <v>375</v>
      </c>
      <c r="D12" s="245">
        <f>MC!C77</f>
        <v>0.03</v>
      </c>
      <c r="E12" s="232">
        <f>'Prod. GEXCAX'!D10</f>
        <v>-54.418000000000063</v>
      </c>
      <c r="F12" s="233">
        <f>'GEXCAX Limp.Ord.'!H$149</f>
        <v>6.048917563157211</v>
      </c>
      <c r="G12" s="234">
        <f>'Prod. GEXCAX'!E10</f>
        <v>715.80799999999999</v>
      </c>
      <c r="H12" s="233">
        <f>'GEXCAX Limp.Ord.'!H$155</f>
        <v>6.7079339913647038</v>
      </c>
      <c r="I12" s="235">
        <f>'Prod. GEXCAX'!F10</f>
        <v>734.88</v>
      </c>
      <c r="J12" s="236">
        <f>'GEXCAX Limp.Ord.'!H$161</f>
        <v>3.2260893670171789</v>
      </c>
      <c r="K12" s="237">
        <f>'Prod. GEXCAX'!G10</f>
        <v>820.27</v>
      </c>
      <c r="L12" s="236">
        <f>'GEXCAX Limp.Ord.'!H$167</f>
        <v>3.2260893670171789</v>
      </c>
      <c r="M12" s="237">
        <f>'Prod. GEXCAX'!H10</f>
        <v>26.31</v>
      </c>
      <c r="N12" s="236">
        <f>'GEXCAX Limp.Ord.'!H$173</f>
        <v>21.465388772367049</v>
      </c>
      <c r="O12" s="232">
        <f>'Prod. GEXCAX'!I10</f>
        <v>0</v>
      </c>
      <c r="P12" s="236">
        <f>'GEXCAX Limp.Ord.'!H$179</f>
        <v>1.9356536202103076</v>
      </c>
      <c r="Q12" s="232">
        <f>'Prod. GEXCAX'!J10</f>
        <v>165.47</v>
      </c>
      <c r="R12" s="236">
        <f>'GEXCAX Limp.Ord.'!H$182</f>
        <v>4.8391340505257688E-2</v>
      </c>
      <c r="S12" s="232">
        <f>'Prod. GEXCAX'!K10</f>
        <v>0</v>
      </c>
      <c r="T12" s="236">
        <f>'GEXCAX Limp.Ord.'!H$185</f>
        <v>0.64521787340343584</v>
      </c>
      <c r="U12" s="232">
        <f>'Prod. GEXCAX'!L10</f>
        <v>0</v>
      </c>
      <c r="V12" s="236">
        <f>'GEXCAX Limp.Ord.'!H$191</f>
        <v>0.26176602262585097</v>
      </c>
      <c r="W12" s="232">
        <f>'Prod. GEXCAX'!M10</f>
        <v>158.44999999999999</v>
      </c>
      <c r="X12" s="236">
        <f>'GEXCAX Limp.Ord.'!H$194</f>
        <v>1.0794289714649108</v>
      </c>
      <c r="Y12" s="232">
        <f>'Prod. GEXCAX'!N10</f>
        <v>158.44999999999999</v>
      </c>
      <c r="Z12" s="236">
        <f>'GEXCAX Limp.Ord.'!H$197</f>
        <v>1.0794289714649108</v>
      </c>
      <c r="AA12" s="238">
        <f t="shared" si="0"/>
        <v>10404.308432427277</v>
      </c>
      <c r="AB12" s="239">
        <f>('GEXCAX Covid'!C$131*'Prod. GEXCAX'!T10)+('GEXCAX Covid'!D$131*'Prod. GEXCAX'!U10)</f>
        <v>4360.2293824680819</v>
      </c>
      <c r="AC12" s="246">
        <f>'GEXCAX Limp.Ord.'!C141*'Prod. GEXCAX'!V10</f>
        <v>152.07769035247696</v>
      </c>
      <c r="AD12" s="247">
        <f>'GEXCAX Covid'!C$136*'Prod. GEXCAX'!W10</f>
        <v>130.80688147404246</v>
      </c>
      <c r="AE12" s="248"/>
    </row>
    <row r="13" spans="1:31" x14ac:dyDescent="0.2">
      <c r="A13" s="243" t="s">
        <v>97</v>
      </c>
      <c r="B13" s="243" t="s">
        <v>376</v>
      </c>
      <c r="C13" s="244" t="s">
        <v>377</v>
      </c>
      <c r="D13" s="245">
        <f>MC!C78</f>
        <v>0.03</v>
      </c>
      <c r="E13" s="232">
        <f>'Prod. GEXCAX'!D11</f>
        <v>0</v>
      </c>
      <c r="F13" s="233">
        <f>'GEXCAX Limp.Ord.'!H$149</f>
        <v>6.048917563157211</v>
      </c>
      <c r="G13" s="234">
        <f>'Prod. GEXCAX'!E11</f>
        <v>800</v>
      </c>
      <c r="H13" s="233">
        <f>'GEXCAX Limp.Ord.'!H$155</f>
        <v>6.7079339913647038</v>
      </c>
      <c r="I13" s="235">
        <f>'Prod. GEXCAX'!F11</f>
        <v>0</v>
      </c>
      <c r="J13" s="236">
        <f>'GEXCAX Limp.Ord.'!H$161</f>
        <v>3.2260893670171789</v>
      </c>
      <c r="K13" s="237">
        <f>'Prod. GEXCAX'!G11</f>
        <v>0</v>
      </c>
      <c r="L13" s="236">
        <f>'GEXCAX Limp.Ord.'!H$167</f>
        <v>3.2260893670171789</v>
      </c>
      <c r="M13" s="237">
        <f>'Prod. GEXCAX'!H11</f>
        <v>0</v>
      </c>
      <c r="N13" s="236">
        <f>'GEXCAX Limp.Ord.'!H$173</f>
        <v>21.465388772367049</v>
      </c>
      <c r="O13" s="232">
        <f>'Prod. GEXCAX'!I11</f>
        <v>0</v>
      </c>
      <c r="P13" s="236">
        <f>'GEXCAX Limp.Ord.'!H$179</f>
        <v>1.9356536202103076</v>
      </c>
      <c r="Q13" s="232">
        <f>'Prod. GEXCAX'!J11</f>
        <v>0</v>
      </c>
      <c r="R13" s="236">
        <f>'GEXCAX Limp.Ord.'!H$182</f>
        <v>4.8391340505257688E-2</v>
      </c>
      <c r="S13" s="232">
        <f>'Prod. GEXCAX'!K11</f>
        <v>0</v>
      </c>
      <c r="T13" s="236">
        <f>'GEXCAX Limp.Ord.'!H$185</f>
        <v>0.64521787340343584</v>
      </c>
      <c r="U13" s="232">
        <f>'Prod. GEXCAX'!L11</f>
        <v>0</v>
      </c>
      <c r="V13" s="236">
        <f>'GEXCAX Limp.Ord.'!H$191</f>
        <v>0.26176602262585097</v>
      </c>
      <c r="W13" s="232">
        <f>'Prod. GEXCAX'!M11</f>
        <v>0</v>
      </c>
      <c r="X13" s="236">
        <f>'GEXCAX Limp.Ord.'!H$194</f>
        <v>1.0794289714649108</v>
      </c>
      <c r="Y13" s="232">
        <f>'Prod. GEXCAX'!N11</f>
        <v>0</v>
      </c>
      <c r="Z13" s="236">
        <f>'GEXCAX Limp.Ord.'!H$197</f>
        <v>1.0794289714649108</v>
      </c>
      <c r="AA13" s="238">
        <f t="shared" si="0"/>
        <v>5366.3471930917631</v>
      </c>
      <c r="AB13" s="239">
        <f>('GEXCAX Covid'!C$131*'Prod. GEXCAX'!T11)+('GEXCAX Covid'!D$131*'Prod. GEXCAX'!U11)</f>
        <v>0</v>
      </c>
      <c r="AC13" s="246">
        <f>'GEXCAX Limp.Ord.'!C141*'Prod. GEXCAX'!V11</f>
        <v>152.07769035247696</v>
      </c>
      <c r="AD13" s="247">
        <f>'GEXCAX Covid'!C$136*'Prod. GEXCAX'!W11</f>
        <v>130.80688147404246</v>
      </c>
      <c r="AE13" s="248"/>
    </row>
    <row r="14" spans="1:31" x14ac:dyDescent="0.2">
      <c r="A14" s="243" t="s">
        <v>99</v>
      </c>
      <c r="B14" s="243" t="s">
        <v>378</v>
      </c>
      <c r="C14" s="244" t="s">
        <v>379</v>
      </c>
      <c r="D14" s="245">
        <f>MC!C79</f>
        <v>0.03</v>
      </c>
      <c r="E14" s="232">
        <f>'Prod. GEXCAX'!D12</f>
        <v>0</v>
      </c>
      <c r="F14" s="233">
        <f>'GEXCAX Limp.Ord.'!H$149</f>
        <v>6.048917563157211</v>
      </c>
      <c r="G14" s="234">
        <f>'Prod. GEXCAX'!E12</f>
        <v>800</v>
      </c>
      <c r="H14" s="233">
        <f>'GEXCAX Limp.Ord.'!H$155</f>
        <v>6.7079339913647038</v>
      </c>
      <c r="I14" s="235">
        <f>'Prod. GEXCAX'!F12</f>
        <v>0</v>
      </c>
      <c r="J14" s="236">
        <f>'GEXCAX Limp.Ord.'!H$161</f>
        <v>3.2260893670171789</v>
      </c>
      <c r="K14" s="237">
        <f>'Prod. GEXCAX'!G12</f>
        <v>0</v>
      </c>
      <c r="L14" s="236">
        <f>'GEXCAX Limp.Ord.'!H$167</f>
        <v>3.2260893670171789</v>
      </c>
      <c r="M14" s="237">
        <f>'Prod. GEXCAX'!H12</f>
        <v>0</v>
      </c>
      <c r="N14" s="236">
        <f>'GEXCAX Limp.Ord.'!H$173</f>
        <v>21.465388772367049</v>
      </c>
      <c r="O14" s="232">
        <f>'Prod. GEXCAX'!I12</f>
        <v>0</v>
      </c>
      <c r="P14" s="236">
        <f>'GEXCAX Limp.Ord.'!H$179</f>
        <v>1.9356536202103076</v>
      </c>
      <c r="Q14" s="232">
        <f>'Prod. GEXCAX'!J12</f>
        <v>0</v>
      </c>
      <c r="R14" s="236">
        <f>'GEXCAX Limp.Ord.'!H$182</f>
        <v>4.8391340505257688E-2</v>
      </c>
      <c r="S14" s="232">
        <f>'Prod. GEXCAX'!K12</f>
        <v>0</v>
      </c>
      <c r="T14" s="236">
        <f>'GEXCAX Limp.Ord.'!H$185</f>
        <v>0.64521787340343584</v>
      </c>
      <c r="U14" s="232">
        <f>'Prod. GEXCAX'!L12</f>
        <v>0</v>
      </c>
      <c r="V14" s="236">
        <f>'GEXCAX Limp.Ord.'!H$191</f>
        <v>0.26176602262585097</v>
      </c>
      <c r="W14" s="232">
        <f>'Prod. GEXCAX'!M12</f>
        <v>0</v>
      </c>
      <c r="X14" s="236">
        <f>'GEXCAX Limp.Ord.'!H$194</f>
        <v>1.0794289714649108</v>
      </c>
      <c r="Y14" s="232">
        <f>'Prod. GEXCAX'!N12</f>
        <v>0</v>
      </c>
      <c r="Z14" s="236">
        <f>'GEXCAX Limp.Ord.'!H$197</f>
        <v>1.0794289714649108</v>
      </c>
      <c r="AA14" s="238">
        <f t="shared" si="0"/>
        <v>5366.3471930917631</v>
      </c>
      <c r="AB14" s="239">
        <f>('GEXCAX Covid'!C$131*'Prod. GEXCAX'!T12)+('GEXCAX Covid'!D$131*'Prod. GEXCAX'!U12)</f>
        <v>3321.5350900215717</v>
      </c>
      <c r="AC14" s="246">
        <f>'GEXCAX Limp.Ord.'!C141*'Prod. GEXCAX'!V12</f>
        <v>152.07769035247696</v>
      </c>
      <c r="AD14" s="247">
        <f>'GEXCAX Covid'!C$136*'Prod. GEXCAX'!W12</f>
        <v>130.80688147404246</v>
      </c>
      <c r="AE14" s="248"/>
    </row>
    <row r="15" spans="1:31" x14ac:dyDescent="0.2">
      <c r="A15" s="243" t="s">
        <v>101</v>
      </c>
      <c r="B15" s="243" t="s">
        <v>380</v>
      </c>
      <c r="C15" s="244" t="s">
        <v>381</v>
      </c>
      <c r="D15" s="245">
        <f>MC!C80</f>
        <v>0.03</v>
      </c>
      <c r="E15" s="232">
        <f>'Prod. GEXCAX'!D13</f>
        <v>0</v>
      </c>
      <c r="F15" s="233">
        <f>'GEXCAX Limp.Ord.'!H$149</f>
        <v>6.048917563157211</v>
      </c>
      <c r="G15" s="234">
        <f>'Prod. GEXCAX'!E13</f>
        <v>800</v>
      </c>
      <c r="H15" s="233">
        <f>'GEXCAX Limp.Ord.'!H$155</f>
        <v>6.7079339913647038</v>
      </c>
      <c r="I15" s="235">
        <f>'Prod. GEXCAX'!F13</f>
        <v>0</v>
      </c>
      <c r="J15" s="236">
        <f>'GEXCAX Limp.Ord.'!H$161</f>
        <v>3.2260893670171789</v>
      </c>
      <c r="K15" s="237">
        <f>'Prod. GEXCAX'!G13</f>
        <v>0</v>
      </c>
      <c r="L15" s="236">
        <f>'GEXCAX Limp.Ord.'!H$167</f>
        <v>3.2260893670171789</v>
      </c>
      <c r="M15" s="237">
        <f>'Prod. GEXCAX'!H13</f>
        <v>0</v>
      </c>
      <c r="N15" s="236">
        <f>'GEXCAX Limp.Ord.'!H$173</f>
        <v>21.465388772367049</v>
      </c>
      <c r="O15" s="232">
        <f>'Prod. GEXCAX'!I13</f>
        <v>0</v>
      </c>
      <c r="P15" s="236">
        <f>'GEXCAX Limp.Ord.'!H$179</f>
        <v>1.9356536202103076</v>
      </c>
      <c r="Q15" s="232">
        <f>'Prod. GEXCAX'!J13</f>
        <v>0</v>
      </c>
      <c r="R15" s="236">
        <f>'GEXCAX Limp.Ord.'!H$182</f>
        <v>4.8391340505257688E-2</v>
      </c>
      <c r="S15" s="232">
        <f>'Prod. GEXCAX'!K13</f>
        <v>0</v>
      </c>
      <c r="T15" s="236">
        <f>'GEXCAX Limp.Ord.'!H$185</f>
        <v>0.64521787340343584</v>
      </c>
      <c r="U15" s="232">
        <f>'Prod. GEXCAX'!L13</f>
        <v>0</v>
      </c>
      <c r="V15" s="236">
        <f>'GEXCAX Limp.Ord.'!H$191</f>
        <v>0.26176602262585097</v>
      </c>
      <c r="W15" s="232">
        <f>'Prod. GEXCAX'!M13</f>
        <v>0</v>
      </c>
      <c r="X15" s="236">
        <f>'GEXCAX Limp.Ord.'!H$194</f>
        <v>1.0794289714649108</v>
      </c>
      <c r="Y15" s="232">
        <f>'Prod. GEXCAX'!N13</f>
        <v>0</v>
      </c>
      <c r="Z15" s="236">
        <f>'GEXCAX Limp.Ord.'!H$197</f>
        <v>1.0794289714649108</v>
      </c>
      <c r="AA15" s="238">
        <f t="shared" si="0"/>
        <v>5366.3471930917631</v>
      </c>
      <c r="AB15" s="239">
        <f>('GEXCAX Covid'!C$131*'Prod. GEXCAX'!T13)+('GEXCAX Covid'!D$131*'Prod. GEXCAX'!U13)</f>
        <v>0</v>
      </c>
      <c r="AC15" s="246">
        <f>'GEXCAX Limp.Ord.'!C141*'Prod. GEXCAX'!V13</f>
        <v>152.07769035247696</v>
      </c>
      <c r="AD15" s="247">
        <f>'GEXCAX Covid'!C$136*'Prod. GEXCAX'!W13</f>
        <v>130.80688147404246</v>
      </c>
      <c r="AE15" s="248"/>
    </row>
    <row r="16" spans="1:31" x14ac:dyDescent="0.2">
      <c r="A16" s="243" t="s">
        <v>103</v>
      </c>
      <c r="B16" s="243" t="s">
        <v>382</v>
      </c>
      <c r="C16" s="244" t="s">
        <v>383</v>
      </c>
      <c r="D16" s="245">
        <f>MC!C81</f>
        <v>0.02</v>
      </c>
      <c r="E16" s="232">
        <f>'Prod. GEXCAX'!D14</f>
        <v>0</v>
      </c>
      <c r="F16" s="233">
        <f>'GEXCAX Limp.Ord.'!D$149</f>
        <v>5.9849451236851481</v>
      </c>
      <c r="G16" s="234">
        <f>'Prod. GEXCAX'!E14</f>
        <v>800</v>
      </c>
      <c r="H16" s="233">
        <f>'GEXCAX Limp.Ord.'!D$155</f>
        <v>6.6365360146733989</v>
      </c>
      <c r="I16" s="235">
        <f>'Prod. GEXCAX'!F14</f>
        <v>0</v>
      </c>
      <c r="J16" s="236">
        <f>'GEXCAX Limp.Ord.'!D$161</f>
        <v>3.1919707326320785</v>
      </c>
      <c r="K16" s="237">
        <f>'Prod. GEXCAX'!G14</f>
        <v>0</v>
      </c>
      <c r="L16" s="236">
        <f>'GEXCAX Limp.Ord.'!D$167</f>
        <v>3.1919707326320785</v>
      </c>
      <c r="M16" s="237">
        <f>'Prod. GEXCAX'!H14</f>
        <v>0</v>
      </c>
      <c r="N16" s="236">
        <f>'GEXCAX Limp.Ord.'!D$173</f>
        <v>21.236915246954876</v>
      </c>
      <c r="O16" s="232">
        <f>'Prod. GEXCAX'!I14</f>
        <v>0</v>
      </c>
      <c r="P16" s="236">
        <f>'GEXCAX Limp.Ord.'!D$179</f>
        <v>1.9151824395792474</v>
      </c>
      <c r="Q16" s="232">
        <f>'Prod. GEXCAX'!J14</f>
        <v>0</v>
      </c>
      <c r="R16" s="236">
        <f>'GEXCAX Limp.Ord.'!D$182</f>
        <v>4.7879560989481186E-2</v>
      </c>
      <c r="S16" s="232">
        <f>'Prod. GEXCAX'!K14</f>
        <v>0</v>
      </c>
      <c r="T16" s="236">
        <f>'GEXCAX Limp.Ord.'!D$185</f>
        <v>0.6383941465264158</v>
      </c>
      <c r="U16" s="232">
        <f>'Prod. GEXCAX'!L14</f>
        <v>0</v>
      </c>
      <c r="V16" s="236">
        <f>'GEXCAX Limp.Ord.'!D$191</f>
        <v>0.25937129341659693</v>
      </c>
      <c r="W16" s="232">
        <f>'Prod. GEXCAX'!M14</f>
        <v>0</v>
      </c>
      <c r="X16" s="236">
        <f>'GEXCAX Limp.Ord.'!D$194</f>
        <v>1.0680130935296548</v>
      </c>
      <c r="Y16" s="232">
        <f>'Prod. GEXCAX'!N14</f>
        <v>0</v>
      </c>
      <c r="Z16" s="236">
        <f>'GEXCAX Limp.Ord.'!D$197</f>
        <v>1.0680130935296548</v>
      </c>
      <c r="AA16" s="238">
        <f t="shared" si="0"/>
        <v>5309.2288117387188</v>
      </c>
      <c r="AB16" s="239">
        <f>('GEXCAX Covid'!C$129*'Prod. GEXCAX'!T14)+('GEXCAX Covid'!D$129*'Prod. GEXCAX'!U14)</f>
        <v>0</v>
      </c>
      <c r="AC16" s="246">
        <f>'GEXCAX Limp.Ord.'!C139*'Prod. GEXCAX'!V14</f>
        <v>150.36413891188568</v>
      </c>
      <c r="AD16" s="247">
        <f>'GEXCAX Covid'!C$134*'Prod. GEXCAX'!W14</f>
        <v>129.33300111940537</v>
      </c>
      <c r="AE16" s="248"/>
    </row>
    <row r="17" spans="1:1003" x14ac:dyDescent="0.2">
      <c r="A17" s="243" t="s">
        <v>105</v>
      </c>
      <c r="B17" s="243" t="s">
        <v>384</v>
      </c>
      <c r="C17" s="244" t="s">
        <v>365</v>
      </c>
      <c r="D17" s="245">
        <f>MC!C82</f>
        <v>0.04</v>
      </c>
      <c r="E17" s="232">
        <f>'Prod. GEXCAX'!D15</f>
        <v>0</v>
      </c>
      <c r="F17" s="233">
        <f>'GEXCAX Limp.Ord.'!J$149</f>
        <v>6.1143648715508228</v>
      </c>
      <c r="G17" s="234">
        <f>'Prod. GEXCAX'!E15</f>
        <v>600</v>
      </c>
      <c r="H17" s="233">
        <f>'GEXCAX Limp.Ord.'!J$155</f>
        <v>6.7809780309192069</v>
      </c>
      <c r="I17" s="235">
        <f>'Prod. GEXCAX'!F15</f>
        <v>0</v>
      </c>
      <c r="J17" s="236">
        <f>'GEXCAX Limp.Ord.'!J$161</f>
        <v>3.2609945981604382</v>
      </c>
      <c r="K17" s="237">
        <f>'Prod. GEXCAX'!G15</f>
        <v>0</v>
      </c>
      <c r="L17" s="236">
        <f>'GEXCAX Limp.Ord.'!J$167</f>
        <v>3.2609945981604382</v>
      </c>
      <c r="M17" s="237">
        <f>'Prod. GEXCAX'!H15</f>
        <v>0</v>
      </c>
      <c r="N17" s="236">
        <f>'GEXCAX Limp.Ord.'!J$173</f>
        <v>21.699129698941459</v>
      </c>
      <c r="O17" s="232">
        <f>'Prod. GEXCAX'!I15</f>
        <v>0</v>
      </c>
      <c r="P17" s="236">
        <f>'GEXCAX Limp.Ord.'!J$179</f>
        <v>1.9565967588962634</v>
      </c>
      <c r="Q17" s="232">
        <f>'Prod. GEXCAX'!J15</f>
        <v>0</v>
      </c>
      <c r="R17" s="236">
        <f>'GEXCAX Limp.Ord.'!J$182</f>
        <v>4.8914918972406581E-2</v>
      </c>
      <c r="S17" s="232">
        <f>'Prod. GEXCAX'!K15</f>
        <v>0</v>
      </c>
      <c r="T17" s="236">
        <f>'GEXCAX Limp.Ord.'!J$185</f>
        <v>0.65219891963208776</v>
      </c>
      <c r="U17" s="232">
        <f>'Prod. GEXCAX'!L15</f>
        <v>0</v>
      </c>
      <c r="V17" s="236">
        <f>'GEXCAX Limp.Ord.'!J$191</f>
        <v>0.26421596173041928</v>
      </c>
      <c r="W17" s="232">
        <f>'Prod. GEXCAX'!M15</f>
        <v>0</v>
      </c>
      <c r="X17" s="236">
        <f>'GEXCAX Limp.Ord.'!J$194</f>
        <v>1.0911080396695683</v>
      </c>
      <c r="Y17" s="232">
        <f>'Prod. GEXCAX'!N15</f>
        <v>0</v>
      </c>
      <c r="Z17" s="236">
        <f>'GEXCAX Limp.Ord.'!J$197</f>
        <v>1.0911080396695683</v>
      </c>
      <c r="AA17" s="238">
        <f t="shared" si="0"/>
        <v>4068.5868185515242</v>
      </c>
      <c r="AB17" s="239">
        <f>('GEXCAX Covid'!C$132*'Prod. GEXCAX'!T15)+('GEXCAX Covid'!D$132*'Prod. GEXCAX'!U15)</f>
        <v>0</v>
      </c>
      <c r="AC17" s="246">
        <f>'GEXCAX Limp.Ord.'!C142*'Prod. GEXCAX'!V15</f>
        <v>153.83074730178504</v>
      </c>
      <c r="AD17" s="247">
        <f>'GEXCAX Covid'!C$137*'Prod. GEXCAX'!W15</f>
        <v>132.31474177921871</v>
      </c>
      <c r="AE17" s="248"/>
    </row>
    <row r="18" spans="1:1003" ht="14.25" customHeight="1" x14ac:dyDescent="0.2">
      <c r="A18" s="727"/>
      <c r="B18" s="727"/>
      <c r="C18" s="727"/>
      <c r="D18" s="727"/>
      <c r="E18" s="249">
        <f>SUM(E6:E17)</f>
        <v>785.5619999999999</v>
      </c>
      <c r="F18" s="250"/>
      <c r="G18" s="249">
        <f>SUM(G6:G17)</f>
        <v>9033.7279999999992</v>
      </c>
      <c r="H18" s="250"/>
      <c r="I18" s="251">
        <f>SUM(I6:I17)</f>
        <v>734.88</v>
      </c>
      <c r="J18" s="252"/>
      <c r="K18" s="251">
        <f>SUM(K6:K17)</f>
        <v>1123.55</v>
      </c>
      <c r="L18" s="252"/>
      <c r="M18" s="251">
        <f>SUM(M6:M17)</f>
        <v>114.46000000000001</v>
      </c>
      <c r="N18" s="252"/>
      <c r="O18" s="251">
        <f>SUM(O6:O17)</f>
        <v>1284.4299999999998</v>
      </c>
      <c r="P18" s="252"/>
      <c r="Q18" s="253">
        <f>SUM(Q6:Q17)</f>
        <v>165.47</v>
      </c>
      <c r="R18" s="252"/>
      <c r="S18" s="251">
        <f>SUM(S6:S17)</f>
        <v>0</v>
      </c>
      <c r="T18" s="252"/>
      <c r="U18" s="251">
        <f>SUM(U6:U17)</f>
        <v>291.08</v>
      </c>
      <c r="V18" s="252"/>
      <c r="W18" s="253">
        <f>SUM(W6:W17)</f>
        <v>595.96</v>
      </c>
      <c r="X18" s="252"/>
      <c r="Y18" s="254">
        <f>SUM(Y6:Y17)</f>
        <v>595.96</v>
      </c>
      <c r="Z18" s="252"/>
      <c r="AA18" s="252">
        <f>SUM(AA6:AA17)</f>
        <v>77769.697627705871</v>
      </c>
      <c r="AB18" s="255">
        <f>SUM(AB6:AB17)</f>
        <v>43971.368330559824</v>
      </c>
      <c r="AC18" s="254">
        <f>SUM(AC6:AC17)</f>
        <v>1826.7643521964656</v>
      </c>
      <c r="AD18" s="256">
        <f>SUM(AD6:AD17)</f>
        <v>2435.9348726151952</v>
      </c>
      <c r="AE18" s="252">
        <f>SUM(AE6:AE17)</f>
        <v>4043.6000000000004</v>
      </c>
      <c r="ALD18" s="257"/>
      <c r="ALE18" s="257"/>
      <c r="ALF18" s="257"/>
      <c r="ALG18" s="257"/>
      <c r="ALH18" s="257"/>
      <c r="ALI18" s="257"/>
      <c r="ALJ18" s="257"/>
      <c r="ALK18" s="257"/>
      <c r="ALL18" s="257"/>
      <c r="ALM18" s="257"/>
      <c r="ALN18" s="257"/>
      <c r="ALO18" s="257"/>
    </row>
    <row r="19" spans="1:1003" x14ac:dyDescent="0.2">
      <c r="A19" s="228" t="s">
        <v>385</v>
      </c>
      <c r="B19" s="229" t="s">
        <v>386</v>
      </c>
      <c r="C19" s="258" t="s">
        <v>387</v>
      </c>
      <c r="D19" s="259">
        <f>MC!J71</f>
        <v>0.02</v>
      </c>
      <c r="E19" s="260">
        <f>'Prod. GEXIJU'!D4</f>
        <v>648.29</v>
      </c>
      <c r="F19" s="261">
        <f>'GEXIJU Limp.Ord. '!D$149</f>
        <v>5.1442862025314202</v>
      </c>
      <c r="G19" s="262">
        <f>'Prod. GEXIJU'!E4</f>
        <v>537.63</v>
      </c>
      <c r="H19" s="261">
        <f>'GEXIJU Limp.Ord. '!D$155</f>
        <v>5.7234781056320889</v>
      </c>
      <c r="I19" s="263">
        <f>'Prod. GEXIJU'!F4</f>
        <v>518.88</v>
      </c>
      <c r="J19" s="264">
        <f>'GEXIJU Limp.Ord. '!D$161</f>
        <v>1.8519430329113113</v>
      </c>
      <c r="K19" s="263">
        <f>'Prod. GEXIJU'!G4</f>
        <v>599</v>
      </c>
      <c r="L19" s="264">
        <f>'GEXIJU Limp.Ord. '!D$167</f>
        <v>3.086571721518852</v>
      </c>
      <c r="M19" s="263">
        <f>'Prod. GEXIJU'!H4</f>
        <v>120.79</v>
      </c>
      <c r="N19" s="264">
        <f>'GEXIJU Limp.Ord. '!D$173</f>
        <v>17.170434316896266</v>
      </c>
      <c r="O19" s="263">
        <f>'Prod. GEXIJU'!I4</f>
        <v>265.57</v>
      </c>
      <c r="P19" s="264">
        <f>'GEXIJU Limp.Ord. '!D$179</f>
        <v>2.3149287911391392</v>
      </c>
      <c r="Q19" s="263">
        <f>'Prod. GEXIJU'!J4</f>
        <v>6.37</v>
      </c>
      <c r="R19" s="264">
        <f>'GEXIJU Limp.Ord. '!D$182</f>
        <v>4.6298575822782781E-2</v>
      </c>
      <c r="S19" s="263">
        <f>'Prod. GEXIJU'!K4</f>
        <v>344.36</v>
      </c>
      <c r="T19" s="264">
        <f>'GEXIJU Limp.Ord. '!D$185</f>
        <v>0.51442862025314207</v>
      </c>
      <c r="U19" s="265">
        <f>'Prod. GEXIJU'!L4</f>
        <v>0</v>
      </c>
      <c r="V19" s="264">
        <f>'GEXIJU Limp.Ord. '!D$191</f>
        <v>0.25753622280052824</v>
      </c>
      <c r="W19" s="263">
        <f>'Prod. GEXIJU'!M4</f>
        <v>441.41</v>
      </c>
      <c r="X19" s="264">
        <f>'GEXIJU Limp.Ord. '!D$194</f>
        <v>1.0327472551674146</v>
      </c>
      <c r="Y19" s="266">
        <f>'Prod. GEXIJU'!N4</f>
        <v>441.41</v>
      </c>
      <c r="Z19" s="264">
        <f>'GEXIJU Limp.Ord. '!H197</f>
        <v>1.0440930298916682</v>
      </c>
      <c r="AA19" s="267">
        <f t="shared" ref="AA19:AA35" si="1">(E19*F19)+(G19*H19)+(I19*J19)+(K19*L19)+(M19*N19)+(O19*P19)+(Q19*R19)+(S19*T19)+(U19*V19)+(W19*X19)+(Y19*Z19)</f>
        <v>13004.8695303039</v>
      </c>
      <c r="AB19" s="268">
        <f>('GEXIJU Covid '!C$129*'Prod. GEXIJU'!T4)+('GEXIJU Covid '!D$129*'Prod. GEXIJU'!U4)+('GEXIJU Covid '!E$129*'Prod. GEXIJU'!V4)</f>
        <v>0</v>
      </c>
      <c r="AC19" s="269">
        <f>'GEXIJU Limp.Ord. '!C$139*'Prod. GEXIJU'!W4</f>
        <v>149.53680681515993</v>
      </c>
      <c r="AD19" s="270">
        <f>'GEXIJU Covid '!C$134*'Prod. GEXIJU'!X4</f>
        <v>129.05649243471046</v>
      </c>
      <c r="AE19" s="271">
        <f>MC!C15*'Prod. GEXIJU'!Y4</f>
        <v>4043.6000000000004</v>
      </c>
      <c r="ALD19" s="257"/>
      <c r="ALE19" s="257"/>
      <c r="ALF19" s="257"/>
      <c r="ALG19" s="257"/>
      <c r="ALH19" s="257"/>
      <c r="ALI19" s="257"/>
      <c r="ALJ19" s="257"/>
      <c r="ALK19" s="257"/>
      <c r="ALL19" s="257"/>
      <c r="ALM19" s="257"/>
      <c r="ALN19" s="257"/>
      <c r="ALO19" s="257"/>
    </row>
    <row r="20" spans="1:1003" x14ac:dyDescent="0.2">
      <c r="A20" s="243" t="s">
        <v>85</v>
      </c>
      <c r="B20" s="243" t="s">
        <v>388</v>
      </c>
      <c r="C20" s="244" t="s">
        <v>389</v>
      </c>
      <c r="D20" s="272">
        <f>MC!J72</f>
        <v>0.03</v>
      </c>
      <c r="E20" s="232">
        <f>'Prod. GEXIJU'!D5</f>
        <v>0</v>
      </c>
      <c r="F20" s="236">
        <f>'GEXIJU Limp.Ord. '!H$149</f>
        <v>5.2008013973953817</v>
      </c>
      <c r="G20" s="273">
        <f>'Prod. GEXIJU'!E5</f>
        <v>900</v>
      </c>
      <c r="H20" s="236">
        <f>'GEXIJU Limp.Ord. '!H$155</f>
        <v>5.7865937780242627</v>
      </c>
      <c r="I20" s="274">
        <f>'Prod. GEXIJU'!F5</f>
        <v>0</v>
      </c>
      <c r="J20" s="275">
        <f>'GEXIJU Limp.Ord. '!H$161</f>
        <v>1.8722885030623375</v>
      </c>
      <c r="K20" s="274">
        <f>'Prod. GEXIJU'!G5</f>
        <v>0</v>
      </c>
      <c r="L20" s="264">
        <f>'GEXIJU Limp.Ord. '!H$167</f>
        <v>3.1204808384372287</v>
      </c>
      <c r="M20" s="274">
        <f>'Prod. GEXIJU'!H5</f>
        <v>0</v>
      </c>
      <c r="N20" s="275">
        <f>'GEXIJU Limp.Ord. '!H$173</f>
        <v>17.359781334072789</v>
      </c>
      <c r="O20" s="274">
        <f>'Prod. GEXIJU'!I5</f>
        <v>0</v>
      </c>
      <c r="P20" s="275">
        <f>'GEXIJU Limp.Ord. '!H$179</f>
        <v>2.3403606288279217</v>
      </c>
      <c r="Q20" s="274">
        <f>'Prod. GEXIJU'!J5</f>
        <v>0</v>
      </c>
      <c r="R20" s="275">
        <f>'GEXIJU Limp.Ord. '!H$182</f>
        <v>4.6807212576558441E-2</v>
      </c>
      <c r="S20" s="274">
        <f>'Prod. GEXIJU'!K5</f>
        <v>0</v>
      </c>
      <c r="T20" s="275">
        <f>'GEXIJU Limp.Ord. '!H$185</f>
        <v>0.52008013973953826</v>
      </c>
      <c r="U20" s="276">
        <f>'Prod. GEXIJU'!L5</f>
        <v>0</v>
      </c>
      <c r="V20" s="275">
        <f>'GEXIJU Limp.Ord. '!H$191</f>
        <v>0.25992584549487158</v>
      </c>
      <c r="W20" s="274">
        <f>'Prod. GEXIJU'!M5</f>
        <v>0</v>
      </c>
      <c r="X20" s="275">
        <f>'GEXIJU Limp.Ord. '!H$194</f>
        <v>1.0440930298916682</v>
      </c>
      <c r="Y20" s="277">
        <f>'Prod. GEXIJU'!N5</f>
        <v>0</v>
      </c>
      <c r="Z20" s="275">
        <f>'GEXIJU Limp.Ord. '!H$197</f>
        <v>1.0440930298916682</v>
      </c>
      <c r="AA20" s="267">
        <f t="shared" si="1"/>
        <v>5207.9344002218368</v>
      </c>
      <c r="AB20" s="268">
        <f>('GEXIJU Covid '!C$131*'Prod. GEXIJU'!T5)+('GEXIJU Covid '!D$131*'Prod. GEXIJU'!U5)+('GEXIJU Covid '!E$131*'Prod. GEXIJU'!V5)</f>
        <v>0</v>
      </c>
      <c r="AC20" s="278">
        <f>'GEXIJU Limp.Ord. '!C$141*'Prod. GEXIJU'!W4</f>
        <v>151.24092996974863</v>
      </c>
      <c r="AD20" s="279">
        <f>'GEXIJU Covid '!C$136*'Prod. GEXIJU'!X5</f>
        <v>130.52722169322567</v>
      </c>
      <c r="AE20" s="280"/>
      <c r="ALD20" s="257"/>
      <c r="ALE20" s="257"/>
      <c r="ALF20" s="257"/>
      <c r="ALG20" s="257"/>
      <c r="ALH20" s="257"/>
      <c r="ALI20" s="257"/>
      <c r="ALJ20" s="257"/>
      <c r="ALK20" s="257"/>
      <c r="ALL20" s="257"/>
      <c r="ALM20" s="257"/>
      <c r="ALN20" s="257"/>
      <c r="ALO20" s="257"/>
    </row>
    <row r="21" spans="1:1003" x14ac:dyDescent="0.2">
      <c r="A21" s="243" t="s">
        <v>87</v>
      </c>
      <c r="B21" s="243" t="s">
        <v>390</v>
      </c>
      <c r="C21" s="244" t="s">
        <v>391</v>
      </c>
      <c r="D21" s="272">
        <f>MC!J73</f>
        <v>0.03</v>
      </c>
      <c r="E21" s="232">
        <f>'Prod. GEXIJU'!D6</f>
        <v>0</v>
      </c>
      <c r="F21" s="236">
        <f>'GEXIJU Limp.Ord. '!H$149</f>
        <v>5.2008013973953817</v>
      </c>
      <c r="G21" s="273">
        <f>'Prod. GEXIJU'!E6</f>
        <v>900</v>
      </c>
      <c r="H21" s="236">
        <f>'GEXIJU Limp.Ord. '!H$155</f>
        <v>5.7865937780242627</v>
      </c>
      <c r="I21" s="274">
        <f>'Prod. GEXIJU'!F6</f>
        <v>0</v>
      </c>
      <c r="J21" s="275">
        <f>'GEXIJU Limp.Ord. '!H$161</f>
        <v>1.8722885030623375</v>
      </c>
      <c r="K21" s="274">
        <f>'Prod. GEXIJU'!G6</f>
        <v>0</v>
      </c>
      <c r="L21" s="264">
        <f>'GEXIJU Limp.Ord. '!H$167</f>
        <v>3.1204808384372287</v>
      </c>
      <c r="M21" s="274">
        <f>'Prod. GEXIJU'!H6</f>
        <v>0</v>
      </c>
      <c r="N21" s="275">
        <f>'GEXIJU Limp.Ord. '!H$173</f>
        <v>17.359781334072789</v>
      </c>
      <c r="O21" s="274">
        <f>'Prod. GEXIJU'!I6</f>
        <v>0</v>
      </c>
      <c r="P21" s="275">
        <f>'GEXIJU Limp.Ord. '!H$179</f>
        <v>2.3403606288279217</v>
      </c>
      <c r="Q21" s="274">
        <f>'Prod. GEXIJU'!J6</f>
        <v>0</v>
      </c>
      <c r="R21" s="275">
        <f>'GEXIJU Limp.Ord. '!H$182</f>
        <v>4.6807212576558441E-2</v>
      </c>
      <c r="S21" s="274">
        <f>'Prod. GEXIJU'!K6</f>
        <v>0</v>
      </c>
      <c r="T21" s="275">
        <f>'GEXIJU Limp.Ord. '!H$185</f>
        <v>0.52008013973953826</v>
      </c>
      <c r="U21" s="276">
        <f>'Prod. GEXIJU'!L6</f>
        <v>0</v>
      </c>
      <c r="V21" s="275">
        <f>'GEXIJU Limp.Ord. '!H$191</f>
        <v>0.25992584549487158</v>
      </c>
      <c r="W21" s="274">
        <f>'Prod. GEXIJU'!M6</f>
        <v>0</v>
      </c>
      <c r="X21" s="275">
        <f>'GEXIJU Limp.Ord. '!H$194</f>
        <v>1.0440930298916682</v>
      </c>
      <c r="Y21" s="277">
        <f>'Prod. GEXIJU'!N6</f>
        <v>0</v>
      </c>
      <c r="Z21" s="275">
        <f>'GEXIJU Limp.Ord. '!H$197</f>
        <v>1.0440930298916682</v>
      </c>
      <c r="AA21" s="267">
        <f t="shared" si="1"/>
        <v>5207.9344002218368</v>
      </c>
      <c r="AB21" s="268">
        <f>('GEXIJU Covid '!C$131*'Prod. GEXIJU'!T6)+('GEXIJU Covid '!D$131*'Prod. GEXIJU'!U6)+('GEXIJU Covid '!E$131*'Prod. GEXIJU'!V6)</f>
        <v>3312.213097327679</v>
      </c>
      <c r="AC21" s="278">
        <f>'GEXIJU Limp.Ord. '!C$141*'Prod. GEXIJU'!W5</f>
        <v>151.24092996974863</v>
      </c>
      <c r="AD21" s="279">
        <f>'GEXIJU Covid '!C$136*'Prod. GEXIJU'!X6</f>
        <v>130.52722169322567</v>
      </c>
      <c r="AE21" s="280"/>
      <c r="ALD21" s="257"/>
      <c r="ALE21" s="257"/>
      <c r="ALF21" s="257"/>
      <c r="ALG21" s="257"/>
      <c r="ALH21" s="257"/>
      <c r="ALI21" s="257"/>
      <c r="ALJ21" s="257"/>
      <c r="ALK21" s="257"/>
      <c r="ALL21" s="257"/>
      <c r="ALM21" s="257"/>
      <c r="ALN21" s="257"/>
      <c r="ALO21" s="257"/>
    </row>
    <row r="22" spans="1:1003" x14ac:dyDescent="0.2">
      <c r="A22" s="243" t="s">
        <v>90</v>
      </c>
      <c r="B22" s="243" t="s">
        <v>392</v>
      </c>
      <c r="C22" s="244" t="s">
        <v>393</v>
      </c>
      <c r="D22" s="272">
        <f>MC!J74</f>
        <v>0.03</v>
      </c>
      <c r="E22" s="232">
        <f>'Prod. GEXIJU'!D7</f>
        <v>-66.919999999999874</v>
      </c>
      <c r="F22" s="236">
        <f>'GEXIJU Limp.Ord. '!H$149</f>
        <v>5.2008013973953817</v>
      </c>
      <c r="G22" s="273">
        <f>'Prod. GEXIJU'!E7</f>
        <v>583.41</v>
      </c>
      <c r="H22" s="236">
        <f>'GEXIJU Limp.Ord. '!H$155</f>
        <v>5.7865937780242627</v>
      </c>
      <c r="I22" s="274">
        <f>'Prod. GEXIJU'!F7</f>
        <v>1291.25</v>
      </c>
      <c r="J22" s="275">
        <f>'GEXIJU Limp.Ord. '!H$161</f>
        <v>1.8722885030623375</v>
      </c>
      <c r="K22" s="274">
        <f>'Prod. GEXIJU'!G7</f>
        <v>323.27</v>
      </c>
      <c r="L22" s="264">
        <f>'GEXIJU Limp.Ord. '!H$167</f>
        <v>3.1204808384372287</v>
      </c>
      <c r="M22" s="274">
        <f>'Prod. GEXIJU'!H7</f>
        <v>105.53</v>
      </c>
      <c r="N22" s="275">
        <f>'GEXIJU Limp.Ord. '!H$173</f>
        <v>17.359781334072789</v>
      </c>
      <c r="O22" s="274">
        <f>'Prod. GEXIJU'!I7</f>
        <v>45.86</v>
      </c>
      <c r="P22" s="275">
        <f>'GEXIJU Limp.Ord. '!H$179</f>
        <v>2.3403606288279217</v>
      </c>
      <c r="Q22" s="274">
        <f>'Prod. GEXIJU'!J7</f>
        <v>12.59</v>
      </c>
      <c r="R22" s="275">
        <f>'GEXIJU Limp.Ord. '!H$182</f>
        <v>4.6807212576558441E-2</v>
      </c>
      <c r="S22" s="274">
        <f>'Prod. GEXIJU'!K7</f>
        <v>115.53</v>
      </c>
      <c r="T22" s="275">
        <f>'GEXIJU Limp.Ord. '!H$185</f>
        <v>0.52008013973953826</v>
      </c>
      <c r="U22" s="276">
        <f>'Prod. GEXIJU'!L7</f>
        <v>0</v>
      </c>
      <c r="V22" s="275">
        <f>'GEXIJU Limp.Ord. '!H$191</f>
        <v>0.25992584549487158</v>
      </c>
      <c r="W22" s="274">
        <f>'Prod. GEXIJU'!M7</f>
        <v>301.04000000000002</v>
      </c>
      <c r="X22" s="275">
        <f>'GEXIJU Limp.Ord. '!H$194</f>
        <v>1.0440930298916682</v>
      </c>
      <c r="Y22" s="277">
        <f>'Prod. GEXIJU'!N7</f>
        <v>301.04000000000002</v>
      </c>
      <c r="Z22" s="275">
        <f>'GEXIJU Limp.Ord. '!H$197</f>
        <v>1.0440930298916682</v>
      </c>
      <c r="AA22" s="267">
        <f t="shared" si="1"/>
        <v>9082.8777721546521</v>
      </c>
      <c r="AB22" s="268">
        <f>('GEXIJU Covid '!C$131*'Prod. GEXIJU'!T7)+('GEXIJU Covid '!D$131*'Prod. GEXIJU'!U7)+('GEXIJU Covid '!E$131*'Prod. GEXIJU'!V7)</f>
        <v>3312.213097327679</v>
      </c>
      <c r="AC22" s="278">
        <f>'GEXIJU Limp.Ord. '!C$141*'Prod. GEXIJU'!W6</f>
        <v>151.24092996974863</v>
      </c>
      <c r="AD22" s="279">
        <f>'GEXIJU Covid '!C$136*'Prod. GEXIJU'!X7</f>
        <v>130.52722169322567</v>
      </c>
      <c r="AE22" s="280"/>
      <c r="ALD22" s="257"/>
      <c r="ALE22" s="257"/>
      <c r="ALF22" s="257"/>
      <c r="ALG22" s="257"/>
      <c r="ALH22" s="257"/>
      <c r="ALI22" s="257"/>
      <c r="ALJ22" s="257"/>
      <c r="ALK22" s="257"/>
      <c r="ALL22" s="257"/>
      <c r="ALM22" s="257"/>
      <c r="ALN22" s="257"/>
      <c r="ALO22" s="257"/>
    </row>
    <row r="23" spans="1:1003" x14ac:dyDescent="0.2">
      <c r="A23" s="243" t="s">
        <v>92</v>
      </c>
      <c r="B23" s="243" t="s">
        <v>394</v>
      </c>
      <c r="C23" s="244" t="s">
        <v>395</v>
      </c>
      <c r="D23" s="272">
        <f>MC!J75</f>
        <v>0.02</v>
      </c>
      <c r="E23" s="232">
        <f>'Prod. GEXIJU'!D8</f>
        <v>-110.94999999999995</v>
      </c>
      <c r="F23" s="236">
        <f>'GEXIJU Limp.Ord. '!D$149</f>
        <v>5.1442862025314202</v>
      </c>
      <c r="G23" s="273">
        <f>'Prod. GEXIJU'!E8</f>
        <v>712.26</v>
      </c>
      <c r="H23" s="236">
        <f>'GEXIJU Limp.Ord. '!D$155</f>
        <v>5.7234781056320889</v>
      </c>
      <c r="I23" s="274">
        <f>'Prod. GEXIJU'!F8</f>
        <v>382.34</v>
      </c>
      <c r="J23" s="275">
        <f>'GEXIJU Limp.Ord. '!D$161</f>
        <v>1.8519430329113113</v>
      </c>
      <c r="K23" s="274">
        <f>'Prod. GEXIJU'!G8</f>
        <v>0</v>
      </c>
      <c r="L23" s="264">
        <f>'GEXIJU Limp.Ord. '!D$167</f>
        <v>3.086571721518852</v>
      </c>
      <c r="M23" s="274">
        <f>'Prod. GEXIJU'!H8</f>
        <v>62.58</v>
      </c>
      <c r="N23" s="275">
        <f>'GEXIJU Limp.Ord. '!D$173</f>
        <v>17.170434316896266</v>
      </c>
      <c r="O23" s="274">
        <f>'Prod. GEXIJU'!I8</f>
        <v>210.78</v>
      </c>
      <c r="P23" s="275">
        <f>'GEXIJU Limp.Ord. '!D$179</f>
        <v>2.3149287911391392</v>
      </c>
      <c r="Q23" s="274">
        <f>'Prod. GEXIJU'!J8</f>
        <v>711.97</v>
      </c>
      <c r="R23" s="275">
        <f>'GEXIJU Limp.Ord. '!D$182</f>
        <v>4.6298575822782781E-2</v>
      </c>
      <c r="S23" s="274">
        <f>'Prod. GEXIJU'!K8</f>
        <v>502.77</v>
      </c>
      <c r="T23" s="275">
        <f>'GEXIJU Limp.Ord. '!D$185</f>
        <v>0.51442862025314207</v>
      </c>
      <c r="U23" s="276">
        <f>'Prod. GEXIJU'!L8</f>
        <v>0</v>
      </c>
      <c r="V23" s="275">
        <f>'GEXIJU Limp.Ord. '!D$191</f>
        <v>0.25753622280052824</v>
      </c>
      <c r="W23" s="274">
        <f>'Prod. GEXIJU'!M8</f>
        <v>289.35000000000002</v>
      </c>
      <c r="X23" s="275">
        <f>'GEXIJU Limp.Ord. '!D$194</f>
        <v>1.0327472551674146</v>
      </c>
      <c r="Y23" s="277">
        <f>'Prod. GEXIJU'!N8</f>
        <v>289.35000000000002</v>
      </c>
      <c r="Z23" s="275">
        <f>'GEXIJU Limp.Ord. '!D$197</f>
        <v>1.0327472551674146</v>
      </c>
      <c r="AA23" s="267">
        <f t="shared" si="1"/>
        <v>6665.6376416962394</v>
      </c>
      <c r="AB23" s="268">
        <f>('GEXIJU Covid '!C$129*'Prod. GEXIJU'!T8)+('GEXIJU Covid '!D$129*'Prod. GEXIJU'!U8)+('GEXIJU Covid '!E$129*'Prod. GEXIJU'!V8)</f>
        <v>4301.8830811570151</v>
      </c>
      <c r="AC23" s="278">
        <f>'GEXIJU Limp.Ord. '!C$139*'Prod. GEXIJU'!W7</f>
        <v>149.53680681515993</v>
      </c>
      <c r="AD23" s="279">
        <f>'GEXIJU Covid '!C$134*'Prod. GEXIJU'!X8</f>
        <v>129.05649243471046</v>
      </c>
      <c r="AE23" s="280"/>
      <c r="ALD23" s="257"/>
      <c r="ALE23" s="257"/>
      <c r="ALF23" s="257"/>
      <c r="ALG23" s="257"/>
      <c r="ALH23" s="257"/>
      <c r="ALI23" s="257"/>
      <c r="ALJ23" s="257"/>
      <c r="ALK23" s="257"/>
      <c r="ALL23" s="257"/>
      <c r="ALM23" s="257"/>
      <c r="ALN23" s="257"/>
      <c r="ALO23" s="257"/>
    </row>
    <row r="24" spans="1:1003" x14ac:dyDescent="0.2">
      <c r="A24" s="243" t="s">
        <v>94</v>
      </c>
      <c r="B24" s="243" t="s">
        <v>396</v>
      </c>
      <c r="C24" s="244" t="s">
        <v>387</v>
      </c>
      <c r="D24" s="272">
        <f>MC!J76</f>
        <v>0.02</v>
      </c>
      <c r="E24" s="232">
        <f>'Prod. GEXIJU'!D9</f>
        <v>-28.500000000000071</v>
      </c>
      <c r="F24" s="236">
        <f>'GEXIJU Limp.Ord. '!D$149</f>
        <v>5.1442862025314202</v>
      </c>
      <c r="G24" s="273">
        <f>'Prod. GEXIJU'!E9</f>
        <v>773.58</v>
      </c>
      <c r="H24" s="236">
        <f>'GEXIJU Limp.Ord. '!D$155</f>
        <v>5.7234781056320889</v>
      </c>
      <c r="I24" s="274">
        <f>'Prod. GEXIJU'!F9</f>
        <v>223.57</v>
      </c>
      <c r="J24" s="275">
        <f>'GEXIJU Limp.Ord. '!D$161</f>
        <v>1.8519430329113113</v>
      </c>
      <c r="K24" s="274">
        <f>'Prod. GEXIJU'!G9</f>
        <v>0</v>
      </c>
      <c r="L24" s="264">
        <f>'GEXIJU Limp.Ord. '!D$167</f>
        <v>3.086571721518852</v>
      </c>
      <c r="M24" s="274">
        <f>'Prod. GEXIJU'!H9</f>
        <v>42.14</v>
      </c>
      <c r="N24" s="275">
        <f>'GEXIJU Limp.Ord. '!D$173</f>
        <v>17.170434316896266</v>
      </c>
      <c r="O24" s="274">
        <f>'Prod. GEXIJU'!I9</f>
        <v>0</v>
      </c>
      <c r="P24" s="275">
        <f>'GEXIJU Limp.Ord. '!D$179</f>
        <v>2.3149287911391392</v>
      </c>
      <c r="Q24" s="274">
        <f>'Prod. GEXIJU'!J9</f>
        <v>0</v>
      </c>
      <c r="R24" s="275">
        <f>'GEXIJU Limp.Ord. '!D$182</f>
        <v>4.6298575822782781E-2</v>
      </c>
      <c r="S24" s="274">
        <f>'Prod. GEXIJU'!K9</f>
        <v>0</v>
      </c>
      <c r="T24" s="275">
        <f>'GEXIJU Limp.Ord. '!D$185</f>
        <v>0.51442862025314207</v>
      </c>
      <c r="U24" s="276">
        <f>'Prod. GEXIJU'!L9</f>
        <v>0</v>
      </c>
      <c r="V24" s="275">
        <f>'GEXIJU Limp.Ord. '!D$191</f>
        <v>0.25753622280052824</v>
      </c>
      <c r="W24" s="274">
        <f>'Prod. GEXIJU'!M9</f>
        <v>232.49</v>
      </c>
      <c r="X24" s="275">
        <f>'GEXIJU Limp.Ord. '!D$194</f>
        <v>1.0327472551674146</v>
      </c>
      <c r="Y24" s="277">
        <f>'Prod. GEXIJU'!N9</f>
        <v>232.49</v>
      </c>
      <c r="Z24" s="275">
        <f>'GEXIJU Limp.Ord. '!D$197</f>
        <v>1.0327472551674146</v>
      </c>
      <c r="AA24" s="267">
        <f t="shared" si="1"/>
        <v>5898.763860872461</v>
      </c>
      <c r="AB24" s="268">
        <f>('GEXIJU Covid '!C$129*'Prod. GEXIJU'!T9)+('GEXIJU Covid '!D$129*'Prod. GEXIJU'!U9)+('GEXIJU Covid '!E$129*'Prod. GEXIJU'!V9)</f>
        <v>4301.8830811570151</v>
      </c>
      <c r="AC24" s="278">
        <f>'GEXIJU Limp.Ord. '!C$139*'Prod. GEXIJU'!W8</f>
        <v>149.53680681515993</v>
      </c>
      <c r="AD24" s="279">
        <f>'GEXIJU Covid '!C$134*'Prod. GEXIJU'!X9</f>
        <v>129.05649243471046</v>
      </c>
      <c r="AE24" s="280"/>
      <c r="ALD24" s="257"/>
      <c r="ALE24" s="257"/>
      <c r="ALF24" s="257"/>
      <c r="ALG24" s="257"/>
      <c r="ALH24" s="257"/>
      <c r="ALI24" s="257"/>
      <c r="ALJ24" s="257"/>
      <c r="ALK24" s="257"/>
      <c r="ALL24" s="257"/>
      <c r="ALM24" s="257"/>
      <c r="ALN24" s="257"/>
      <c r="ALO24" s="257"/>
    </row>
    <row r="25" spans="1:1003" x14ac:dyDescent="0.2">
      <c r="A25" s="243" t="s">
        <v>96</v>
      </c>
      <c r="B25" s="243" t="s">
        <v>397</v>
      </c>
      <c r="C25" s="244" t="s">
        <v>398</v>
      </c>
      <c r="D25" s="272">
        <f>MC!J77</f>
        <v>0.03</v>
      </c>
      <c r="E25" s="232">
        <f>'Prod. GEXIJU'!D10</f>
        <v>-83.309999999999974</v>
      </c>
      <c r="F25" s="236">
        <f>'GEXIJU Limp.Ord. '!H$149</f>
        <v>5.2008013973953817</v>
      </c>
      <c r="G25" s="273">
        <f>'Prod. GEXIJU'!E10</f>
        <v>647.66999999999996</v>
      </c>
      <c r="H25" s="236">
        <f>'GEXIJU Limp.Ord. '!H$155</f>
        <v>5.7865937780242627</v>
      </c>
      <c r="I25" s="274">
        <f>'Prod. GEXIJU'!F10</f>
        <v>977.47</v>
      </c>
      <c r="J25" s="275">
        <f>'GEXIJU Limp.Ord. '!H$161</f>
        <v>1.8722885030623375</v>
      </c>
      <c r="K25" s="274">
        <f>'Prod. GEXIJU'!G10</f>
        <v>36.29</v>
      </c>
      <c r="L25" s="264">
        <f>'GEXIJU Limp.Ord. '!H$167</f>
        <v>3.1204808384372287</v>
      </c>
      <c r="M25" s="274">
        <f>'Prod. GEXIJU'!H10</f>
        <v>84.11</v>
      </c>
      <c r="N25" s="275">
        <f>'GEXIJU Limp.Ord. '!H$173</f>
        <v>17.359781334072789</v>
      </c>
      <c r="O25" s="274">
        <f>'Prod. GEXIJU'!I10</f>
        <v>263.12</v>
      </c>
      <c r="P25" s="275">
        <f>'GEXIJU Limp.Ord. '!H$179</f>
        <v>2.3403606288279217</v>
      </c>
      <c r="Q25" s="274">
        <f>'Prod. GEXIJU'!J10</f>
        <v>62.91</v>
      </c>
      <c r="R25" s="275">
        <f>'GEXIJU Limp.Ord. '!H$182</f>
        <v>4.6807212576558441E-2</v>
      </c>
      <c r="S25" s="274">
        <f>'Prod. GEXIJU'!K10</f>
        <v>30.96</v>
      </c>
      <c r="T25" s="275">
        <f>'GEXIJU Limp.Ord. '!H$185</f>
        <v>0.52008013973953826</v>
      </c>
      <c r="U25" s="276">
        <f>'Prod. GEXIJU'!L10</f>
        <v>0</v>
      </c>
      <c r="V25" s="275">
        <f>'GEXIJU Limp.Ord. '!H$191</f>
        <v>0.25992584549487158</v>
      </c>
      <c r="W25" s="274">
        <f>'Prod. GEXIJU'!M10</f>
        <v>220.32</v>
      </c>
      <c r="X25" s="275">
        <f>'GEXIJU Limp.Ord. '!H$194</f>
        <v>1.0440930298916682</v>
      </c>
      <c r="Y25" s="277">
        <f>'Prod. GEXIJU'!N10</f>
        <v>220.32</v>
      </c>
      <c r="Z25" s="275">
        <f>'GEXIJU Limp.Ord. '!H$197</f>
        <v>1.0440930298916682</v>
      </c>
      <c r="AA25" s="267">
        <f t="shared" si="1"/>
        <v>7812.914892738253</v>
      </c>
      <c r="AB25" s="268">
        <f>('GEXIJU Covid '!C$131*'Prod. GEXIJU'!T10)+('GEXIJU Covid '!D$131*'Prod. GEXIJU'!U10)+('GEXIJU Covid '!E$131*'Prod. GEXIJU'!V10)</f>
        <v>3312.213097327679</v>
      </c>
      <c r="AC25" s="278">
        <f>'GEXIJU Limp.Ord. '!C$141*'Prod. GEXIJU'!W9</f>
        <v>151.24092996974863</v>
      </c>
      <c r="AD25" s="279">
        <f>'GEXIJU Covid '!C$136*'Prod. GEXIJU'!X10</f>
        <v>130.52722169322567</v>
      </c>
      <c r="AE25" s="280"/>
      <c r="ALD25" s="257"/>
      <c r="ALE25" s="257"/>
      <c r="ALF25" s="257"/>
      <c r="ALG25" s="257"/>
      <c r="ALH25" s="257"/>
      <c r="ALI25" s="257"/>
      <c r="ALJ25" s="257"/>
      <c r="ALK25" s="257"/>
      <c r="ALL25" s="257"/>
      <c r="ALM25" s="257"/>
      <c r="ALN25" s="257"/>
      <c r="ALO25" s="257"/>
    </row>
    <row r="26" spans="1:1003" x14ac:dyDescent="0.2">
      <c r="A26" s="243" t="s">
        <v>98</v>
      </c>
      <c r="B26" s="243" t="s">
        <v>399</v>
      </c>
      <c r="C26" s="244" t="s">
        <v>400</v>
      </c>
      <c r="D26" s="272">
        <f>MC!J78</f>
        <v>0.04</v>
      </c>
      <c r="E26" s="232">
        <f>'Prod. GEXIJU'!D11</f>
        <v>0</v>
      </c>
      <c r="F26" s="236">
        <f>'GEXIJU Limp.Ord. '!J$149</f>
        <v>5.2586195362331534</v>
      </c>
      <c r="G26" s="273">
        <f>'Prod. GEXIJU'!E11</f>
        <v>900</v>
      </c>
      <c r="H26" s="236">
        <f>'GEXIJU Limp.Ord. '!J$155</f>
        <v>5.8511645667828285</v>
      </c>
      <c r="I26" s="274">
        <f>'Prod. GEXIJU'!F11</f>
        <v>0</v>
      </c>
      <c r="J26" s="275">
        <f>'GEXIJU Limp.Ord. '!J$161</f>
        <v>1.8931030330439351</v>
      </c>
      <c r="K26" s="274">
        <f>'Prod. GEXIJU'!G11</f>
        <v>0</v>
      </c>
      <c r="L26" s="264">
        <f>'GEXIJU Limp.Ord. '!J$167</f>
        <v>3.1551717217398916</v>
      </c>
      <c r="M26" s="274">
        <f>'Prod. GEXIJU'!H11</f>
        <v>0</v>
      </c>
      <c r="N26" s="275">
        <f>'GEXIJU Limp.Ord. '!J$173</f>
        <v>17.553493700348486</v>
      </c>
      <c r="O26" s="274">
        <f>'Prod. GEXIJU'!I11</f>
        <v>0</v>
      </c>
      <c r="P26" s="275">
        <f>'GEXIJU Limp.Ord. '!J$179</f>
        <v>2.366378791304919</v>
      </c>
      <c r="Q26" s="274">
        <f>'Prod. GEXIJU'!J11</f>
        <v>0</v>
      </c>
      <c r="R26" s="275">
        <f>'GEXIJU Limp.Ord. '!J$182</f>
        <v>4.7327575826098381E-2</v>
      </c>
      <c r="S26" s="274">
        <f>'Prod. GEXIJU'!K11</f>
        <v>0</v>
      </c>
      <c r="T26" s="275">
        <f>'GEXIJU Limp.Ord. '!J$185</f>
        <v>0.52586195362331534</v>
      </c>
      <c r="U26" s="276">
        <f>'Prod. GEXIJU'!L11</f>
        <v>0</v>
      </c>
      <c r="V26" s="275">
        <f>'GEXIJU Limp.Ord. '!J$191</f>
        <v>0.26237056035507883</v>
      </c>
      <c r="W26" s="274">
        <f>'Prod. GEXIJU'!M11</f>
        <v>0</v>
      </c>
      <c r="X26" s="275">
        <f>'GEXIJU Limp.Ord. '!J$194</f>
        <v>1.0557003786729653</v>
      </c>
      <c r="Y26" s="277">
        <f>'Prod. GEXIJU'!N11</f>
        <v>0</v>
      </c>
      <c r="Z26" s="275">
        <f>'GEXIJU Limp.Ord. '!J$197</f>
        <v>1.0557003786729653</v>
      </c>
      <c r="AA26" s="267">
        <f t="shared" si="1"/>
        <v>5266.0481101045452</v>
      </c>
      <c r="AB26" s="268">
        <f>('GEXIJU Covid '!C$132*'Prod. GEXIJU'!T11)+('GEXIJU Covid '!D$132*'Prod. GEXIJU'!U11)+('GEXIJU Covid '!E$132*'Prod. GEXIJU'!V11)</f>
        <v>2575.3462784909343</v>
      </c>
      <c r="AC26" s="278">
        <f>'GEXIJU Limp.Ord. '!C$142*'Prod. GEXIJU'!W10</f>
        <v>152.9843412662299</v>
      </c>
      <c r="AD26" s="279">
        <f>'GEXIJU Covid '!C$137*'Prod. GEXIJU'!X11</f>
        <v>132.03185825453087</v>
      </c>
      <c r="AE26" s="280"/>
      <c r="ALD26" s="257"/>
      <c r="ALE26" s="257"/>
      <c r="ALF26" s="257"/>
      <c r="ALG26" s="257"/>
      <c r="ALH26" s="257"/>
      <c r="ALI26" s="257"/>
      <c r="ALJ26" s="257"/>
      <c r="ALK26" s="257"/>
      <c r="ALL26" s="257"/>
      <c r="ALM26" s="257"/>
      <c r="ALN26" s="257"/>
      <c r="ALO26" s="257"/>
    </row>
    <row r="27" spans="1:1003" x14ac:dyDescent="0.2">
      <c r="A27" s="243" t="s">
        <v>100</v>
      </c>
      <c r="B27" s="243" t="s">
        <v>401</v>
      </c>
      <c r="C27" s="244" t="s">
        <v>402</v>
      </c>
      <c r="D27" s="272">
        <f>MC!J79</f>
        <v>0.03</v>
      </c>
      <c r="E27" s="232">
        <f>'Prod. GEXIJU'!D12</f>
        <v>325.6800000000004</v>
      </c>
      <c r="F27" s="236">
        <f>'GEXIJU Limp.Ord. '!H$149</f>
        <v>5.2008013973953817</v>
      </c>
      <c r="G27" s="273">
        <f>'Prod. GEXIJU'!E12</f>
        <v>491.01</v>
      </c>
      <c r="H27" s="236">
        <f>'GEXIJU Limp.Ord. '!H$155</f>
        <v>5.7865937780242627</v>
      </c>
      <c r="I27" s="274">
        <f>'Prod. GEXIJU'!F12</f>
        <v>1322.29</v>
      </c>
      <c r="J27" s="275">
        <f>'GEXIJU Limp.Ord. '!H$161</f>
        <v>1.8722885030623375</v>
      </c>
      <c r="K27" s="274">
        <f>'Prod. GEXIJU'!G12</f>
        <v>463.01</v>
      </c>
      <c r="L27" s="264">
        <f>'GEXIJU Limp.Ord. '!H$167</f>
        <v>3.1204808384372287</v>
      </c>
      <c r="M27" s="274">
        <f>'Prod. GEXIJU'!H12</f>
        <v>136.33000000000001</v>
      </c>
      <c r="N27" s="275">
        <f>'GEXIJU Limp.Ord. '!H$173</f>
        <v>17.359781334072789</v>
      </c>
      <c r="O27" s="274">
        <f>'Prod. GEXIJU'!I12</f>
        <v>271.67</v>
      </c>
      <c r="P27" s="275">
        <f>'GEXIJU Limp.Ord. '!H$179</f>
        <v>2.3403606288279217</v>
      </c>
      <c r="Q27" s="274">
        <f>'Prod. GEXIJU'!J12</f>
        <v>102.21</v>
      </c>
      <c r="R27" s="275">
        <f>'GEXIJU Limp.Ord. '!H$182</f>
        <v>4.6807212576558441E-2</v>
      </c>
      <c r="S27" s="274">
        <f>'Prod. GEXIJU'!K12</f>
        <v>147.44999999999999</v>
      </c>
      <c r="T27" s="275">
        <f>'GEXIJU Limp.Ord. '!H$185</f>
        <v>0.52008013973953826</v>
      </c>
      <c r="U27" s="276">
        <f>'Prod. GEXIJU'!L12</f>
        <v>0</v>
      </c>
      <c r="V27" s="275">
        <f>'GEXIJU Limp.Ord. '!H$191</f>
        <v>0.25992584549487158</v>
      </c>
      <c r="W27" s="274">
        <f>'Prod. GEXIJU'!M12</f>
        <v>820.76</v>
      </c>
      <c r="X27" s="275">
        <f>'GEXIJU Limp.Ord. '!H$194</f>
        <v>1.0440930298916682</v>
      </c>
      <c r="Y27" s="277">
        <f>'Prod. GEXIJU'!N12</f>
        <v>820.76</v>
      </c>
      <c r="Z27" s="275">
        <f>'GEXIJU Limp.Ord. '!H$197</f>
        <v>1.0440930298916682</v>
      </c>
      <c r="AA27" s="267">
        <f t="shared" si="1"/>
        <v>13253.428941308186</v>
      </c>
      <c r="AB27" s="268">
        <f>('GEXIJU Covid '!C$131*'Prod. GEXIJU'!T12)+('GEXIJU Covid '!D$131*'Prod. GEXIJU'!U12)+('GEXIJU Covid '!E$131*'Prod. GEXIJU'!V12)</f>
        <v>4350.9073897741891</v>
      </c>
      <c r="AC27" s="278">
        <f>'GEXIJU Limp.Ord. '!C$141*'Prod. GEXIJU'!W11</f>
        <v>151.24092996974863</v>
      </c>
      <c r="AD27" s="279">
        <f>'GEXIJU Covid '!C$136*'Prod. GEXIJU'!X12</f>
        <v>130.52722169322567</v>
      </c>
      <c r="AE27" s="280"/>
      <c r="ALD27" s="257"/>
      <c r="ALE27" s="257"/>
      <c r="ALF27" s="257"/>
      <c r="ALG27" s="257"/>
      <c r="ALH27" s="257"/>
      <c r="ALI27" s="257"/>
      <c r="ALJ27" s="257"/>
      <c r="ALK27" s="257"/>
      <c r="ALL27" s="257"/>
      <c r="ALM27" s="257"/>
      <c r="ALN27" s="257"/>
      <c r="ALO27" s="257"/>
    </row>
    <row r="28" spans="1:1003" x14ac:dyDescent="0.2">
      <c r="A28" s="243" t="s">
        <v>102</v>
      </c>
      <c r="B28" s="243" t="s">
        <v>403</v>
      </c>
      <c r="C28" s="244" t="s">
        <v>389</v>
      </c>
      <c r="D28" s="272">
        <f>MC!J80</f>
        <v>0.03</v>
      </c>
      <c r="E28" s="232">
        <f>'Prod. GEXIJU'!D13</f>
        <v>-77.399999999999906</v>
      </c>
      <c r="F28" s="236">
        <f>'GEXIJU Limp.Ord. '!H$149</f>
        <v>5.2008013973953817</v>
      </c>
      <c r="G28" s="273">
        <f>'Prod. GEXIJU'!E13</f>
        <v>765.93</v>
      </c>
      <c r="H28" s="236">
        <f>'GEXIJU Limp.Ord. '!H$155</f>
        <v>5.7865937780242627</v>
      </c>
      <c r="I28" s="274">
        <f>'Prod. GEXIJU'!F13</f>
        <v>261.38</v>
      </c>
      <c r="J28" s="275">
        <f>'GEXIJU Limp.Ord. '!H$161</f>
        <v>1.8722885030623375</v>
      </c>
      <c r="K28" s="274">
        <f>'Prod. GEXIJU'!G13</f>
        <v>62.86</v>
      </c>
      <c r="L28" s="264">
        <f>'GEXIJU Limp.Ord. '!H$167</f>
        <v>3.1204808384372287</v>
      </c>
      <c r="M28" s="274">
        <f>'Prod. GEXIJU'!H13</f>
        <v>44.69</v>
      </c>
      <c r="N28" s="275">
        <f>'GEXIJU Limp.Ord. '!H$173</f>
        <v>17.359781334072789</v>
      </c>
      <c r="O28" s="274">
        <f>'Prod. GEXIJU'!I13</f>
        <v>178.32</v>
      </c>
      <c r="P28" s="275">
        <f>'GEXIJU Limp.Ord. '!H$179</f>
        <v>2.3403606288279217</v>
      </c>
      <c r="Q28" s="274">
        <f>'Prod. GEXIJU'!J13</f>
        <v>112.58</v>
      </c>
      <c r="R28" s="275">
        <f>'GEXIJU Limp.Ord. '!H$182</f>
        <v>4.6807212576558441E-2</v>
      </c>
      <c r="S28" s="274">
        <f>'Prod. GEXIJU'!K13</f>
        <v>573.14</v>
      </c>
      <c r="T28" s="275">
        <f>'GEXIJU Limp.Ord. '!H$185</f>
        <v>0.52008013973953826</v>
      </c>
      <c r="U28" s="276">
        <f>'Prod. GEXIJU'!L13</f>
        <v>0</v>
      </c>
      <c r="V28" s="275">
        <f>'GEXIJU Limp.Ord. '!H$191</f>
        <v>0.25992584549487158</v>
      </c>
      <c r="W28" s="274">
        <f>'Prod. GEXIJU'!M13</f>
        <v>281.08999999999997</v>
      </c>
      <c r="X28" s="275">
        <f>'GEXIJU Limp.Ord. '!H$194</f>
        <v>1.0440930298916682</v>
      </c>
      <c r="Y28" s="277">
        <f>'Prod. GEXIJU'!N13</f>
        <v>281.08999999999997</v>
      </c>
      <c r="Z28" s="275">
        <f>'GEXIJU Limp.Ord. '!H$197</f>
        <v>1.0440930298916682</v>
      </c>
      <c r="AA28" s="267">
        <f t="shared" si="1"/>
        <v>6798.5741806573133</v>
      </c>
      <c r="AB28" s="268">
        <f>('GEXIJU Covid '!C$131*'Prod. GEXIJU'!T13)+('GEXIJU Covid '!D$131*'Prod. GEXIJU'!U13)+('GEXIJU Covid '!E$131*'Prod. GEXIJU'!V13)</f>
        <v>4350.9073897741891</v>
      </c>
      <c r="AC28" s="278">
        <f>'GEXIJU Limp.Ord. '!C$141*'Prod. GEXIJU'!W12</f>
        <v>151.24092996974863</v>
      </c>
      <c r="AD28" s="279">
        <f>'GEXIJU Covid '!C$136*'Prod. GEXIJU'!X13</f>
        <v>130.52722169322567</v>
      </c>
      <c r="AE28" s="280"/>
      <c r="ALD28" s="257"/>
      <c r="ALE28" s="257"/>
      <c r="ALF28" s="257"/>
      <c r="ALG28" s="257"/>
      <c r="ALH28" s="257"/>
      <c r="ALI28" s="257"/>
      <c r="ALJ28" s="257"/>
      <c r="ALK28" s="257"/>
      <c r="ALL28" s="257"/>
      <c r="ALM28" s="257"/>
      <c r="ALN28" s="257"/>
      <c r="ALO28" s="257"/>
    </row>
    <row r="29" spans="1:1003" x14ac:dyDescent="0.2">
      <c r="A29" s="243" t="s">
        <v>104</v>
      </c>
      <c r="B29" s="243" t="s">
        <v>404</v>
      </c>
      <c r="C29" s="244" t="s">
        <v>405</v>
      </c>
      <c r="D29" s="272">
        <f>MC!J81</f>
        <v>0.03</v>
      </c>
      <c r="E29" s="232">
        <f>'Prod. GEXIJU'!D14</f>
        <v>128.06000000000023</v>
      </c>
      <c r="F29" s="236">
        <f>'GEXIJU Limp.Ord. '!H$149</f>
        <v>5.2008013973953817</v>
      </c>
      <c r="G29" s="273">
        <f>'Prod. GEXIJU'!E14</f>
        <v>548.18999999999994</v>
      </c>
      <c r="H29" s="236">
        <f>'GEXIJU Limp.Ord. '!H$155</f>
        <v>5.7865937780242627</v>
      </c>
      <c r="I29" s="274">
        <f>'Prod. GEXIJU'!F14</f>
        <v>852.69</v>
      </c>
      <c r="J29" s="275">
        <f>'GEXIJU Limp.Ord. '!H$161</f>
        <v>1.8722885030623375</v>
      </c>
      <c r="K29" s="274">
        <f>'Prod. GEXIJU'!G14</f>
        <v>87.7</v>
      </c>
      <c r="L29" s="264">
        <f>'GEXIJU Limp.Ord. '!H$167</f>
        <v>3.1204808384372287</v>
      </c>
      <c r="M29" s="274">
        <f>'Prod. GEXIJU'!H14</f>
        <v>117.27</v>
      </c>
      <c r="N29" s="275">
        <f>'GEXIJU Limp.Ord. '!H$173</f>
        <v>17.359781334072789</v>
      </c>
      <c r="O29" s="274">
        <f>'Prod. GEXIJU'!I14</f>
        <v>187.88</v>
      </c>
      <c r="P29" s="275">
        <f>'GEXIJU Limp.Ord. '!H$179</f>
        <v>2.3403606288279217</v>
      </c>
      <c r="Q29" s="274">
        <f>'Prod. GEXIJU'!J14</f>
        <v>147.66999999999999</v>
      </c>
      <c r="R29" s="275">
        <f>'GEXIJU Limp.Ord. '!H$182</f>
        <v>4.6807212576558441E-2</v>
      </c>
      <c r="S29" s="274">
        <f>'Prod. GEXIJU'!K14</f>
        <v>98.24</v>
      </c>
      <c r="T29" s="275">
        <f>'GEXIJU Limp.Ord. '!H$185</f>
        <v>0.52008013973953826</v>
      </c>
      <c r="U29" s="276">
        <f>'Prod. GEXIJU'!L14</f>
        <v>0</v>
      </c>
      <c r="V29" s="275">
        <f>'GEXIJU Limp.Ord. '!H$191</f>
        <v>0.25992584549487158</v>
      </c>
      <c r="W29" s="274">
        <f>'Prod. GEXIJU'!M14</f>
        <v>286.83</v>
      </c>
      <c r="X29" s="275">
        <f>'GEXIJU Limp.Ord. '!H$194</f>
        <v>1.0440930298916682</v>
      </c>
      <c r="Y29" s="277">
        <f>'Prod. GEXIJU'!N14</f>
        <v>286.83</v>
      </c>
      <c r="Z29" s="275">
        <f>'GEXIJU Limp.Ord. '!H$197</f>
        <v>1.0440930298916682</v>
      </c>
      <c r="AA29" s="267">
        <f t="shared" si="1"/>
        <v>8840.7629368604976</v>
      </c>
      <c r="AB29" s="268">
        <f>('GEXIJU Covid '!C$131*'Prod. GEXIJU'!T14)+('GEXIJU Covid '!D$131*'Prod. GEXIJU'!U14)+('GEXIJU Covid '!E$131*'Prod. GEXIJU'!V14)</f>
        <v>3312.213097327679</v>
      </c>
      <c r="AC29" s="278">
        <f>'GEXIJU Limp.Ord. '!C$141*'Prod. GEXIJU'!W13</f>
        <v>151.24092996974863</v>
      </c>
      <c r="AD29" s="279">
        <f>'GEXIJU Covid '!C$136*'Prod. GEXIJU'!X14</f>
        <v>130.52722169322567</v>
      </c>
      <c r="AE29" s="280"/>
      <c r="ALD29" s="257"/>
      <c r="ALE29" s="257"/>
      <c r="ALF29" s="257"/>
      <c r="ALG29" s="257"/>
      <c r="ALH29" s="257"/>
      <c r="ALI29" s="257"/>
      <c r="ALJ29" s="257"/>
      <c r="ALK29" s="257"/>
      <c r="ALL29" s="257"/>
      <c r="ALM29" s="257"/>
      <c r="ALN29" s="257"/>
      <c r="ALO29" s="257"/>
    </row>
    <row r="30" spans="1:1003" x14ac:dyDescent="0.2">
      <c r="A30" s="243" t="s">
        <v>106</v>
      </c>
      <c r="B30" s="243" t="s">
        <v>406</v>
      </c>
      <c r="C30" s="244" t="s">
        <v>407</v>
      </c>
      <c r="D30" s="272">
        <f>MC!J82</f>
        <v>0.03</v>
      </c>
      <c r="E30" s="232">
        <f>'Prod. GEXIJU'!D15</f>
        <v>0</v>
      </c>
      <c r="F30" s="236">
        <f>'GEXIJU Limp.Ord. '!H$149</f>
        <v>5.2008013973953817</v>
      </c>
      <c r="G30" s="273">
        <f>'Prod. GEXIJU'!E15</f>
        <v>900</v>
      </c>
      <c r="H30" s="236">
        <f>'GEXIJU Limp.Ord. '!H$155</f>
        <v>5.7865937780242627</v>
      </c>
      <c r="I30" s="274">
        <f>'Prod. GEXIJU'!F15</f>
        <v>0</v>
      </c>
      <c r="J30" s="275">
        <f>'GEXIJU Limp.Ord. '!H$161</f>
        <v>1.8722885030623375</v>
      </c>
      <c r="K30" s="274">
        <f>'Prod. GEXIJU'!G15</f>
        <v>0</v>
      </c>
      <c r="L30" s="264">
        <f>'GEXIJU Limp.Ord. '!H$167</f>
        <v>3.1204808384372287</v>
      </c>
      <c r="M30" s="274">
        <f>'Prod. GEXIJU'!H15</f>
        <v>0</v>
      </c>
      <c r="N30" s="275">
        <f>'GEXIJU Limp.Ord. '!H$173</f>
        <v>17.359781334072789</v>
      </c>
      <c r="O30" s="274">
        <f>'Prod. GEXIJU'!I15</f>
        <v>0</v>
      </c>
      <c r="P30" s="275">
        <f>'GEXIJU Limp.Ord. '!H$179</f>
        <v>2.3403606288279217</v>
      </c>
      <c r="Q30" s="274">
        <f>'Prod. GEXIJU'!J15</f>
        <v>0</v>
      </c>
      <c r="R30" s="275">
        <f>'GEXIJU Limp.Ord. '!H$182</f>
        <v>4.6807212576558441E-2</v>
      </c>
      <c r="S30" s="274">
        <f>'Prod. GEXIJU'!K15</f>
        <v>0</v>
      </c>
      <c r="T30" s="275">
        <f>'GEXIJU Limp.Ord. '!H$185</f>
        <v>0.52008013973953826</v>
      </c>
      <c r="U30" s="276">
        <f>'Prod. GEXIJU'!L15</f>
        <v>0</v>
      </c>
      <c r="V30" s="275">
        <f>'GEXIJU Limp.Ord. '!H$191</f>
        <v>0.25992584549487158</v>
      </c>
      <c r="W30" s="274">
        <f>'Prod. GEXIJU'!M15</f>
        <v>0</v>
      </c>
      <c r="X30" s="275">
        <f>'GEXIJU Limp.Ord. '!H$194</f>
        <v>1.0440930298916682</v>
      </c>
      <c r="Y30" s="277">
        <f>'Prod. GEXIJU'!N15</f>
        <v>0</v>
      </c>
      <c r="Z30" s="275">
        <f>'GEXIJU Limp.Ord. '!H$197</f>
        <v>1.0440930298916682</v>
      </c>
      <c r="AA30" s="267">
        <f t="shared" si="1"/>
        <v>5207.9344002218368</v>
      </c>
      <c r="AB30" s="268">
        <f>('GEXIJU Covid '!C$131*'Prod. GEXIJU'!T15)+('GEXIJU Covid '!D$131*'Prod. GEXIJU'!U15)+('GEXIJU Covid '!E$131*'Prod. GEXIJU'!V15)</f>
        <v>2545.9976029525765</v>
      </c>
      <c r="AC30" s="278">
        <f>'GEXIJU Limp.Ord. '!C$141*'Prod. GEXIJU'!W14</f>
        <v>151.24092996974863</v>
      </c>
      <c r="AD30" s="279">
        <f>'GEXIJU Covid '!C$136*'Prod. GEXIJU'!X15</f>
        <v>130.52722169322567</v>
      </c>
      <c r="AE30" s="280"/>
      <c r="ALD30" s="257"/>
      <c r="ALE30" s="257"/>
      <c r="ALF30" s="257"/>
      <c r="ALG30" s="257"/>
      <c r="ALH30" s="257"/>
      <c r="ALI30" s="257"/>
      <c r="ALJ30" s="257"/>
      <c r="ALK30" s="257"/>
      <c r="ALL30" s="257"/>
      <c r="ALM30" s="257"/>
      <c r="ALN30" s="257"/>
      <c r="ALO30" s="257"/>
    </row>
    <row r="31" spans="1:1003" x14ac:dyDescent="0.2">
      <c r="A31" s="243" t="s">
        <v>108</v>
      </c>
      <c r="B31" s="243" t="s">
        <v>408</v>
      </c>
      <c r="C31" s="244" t="s">
        <v>409</v>
      </c>
      <c r="D31" s="272">
        <f>MC!J83</f>
        <v>0.02</v>
      </c>
      <c r="E31" s="232">
        <f>'Prod. GEXIJU'!D16</f>
        <v>-174.45000000000007</v>
      </c>
      <c r="F31" s="236">
        <f>'GEXIJU Limp.Ord. '!D$149</f>
        <v>5.1442862025314202</v>
      </c>
      <c r="G31" s="273">
        <f>'Prod. GEXIJU'!E16</f>
        <v>765.78</v>
      </c>
      <c r="H31" s="236">
        <f>'GEXIJU Limp.Ord. '!D$155</f>
        <v>5.7234781056320889</v>
      </c>
      <c r="I31" s="274">
        <f>'Prod. GEXIJU'!F16</f>
        <v>652.46</v>
      </c>
      <c r="J31" s="275">
        <f>'GEXIJU Limp.Ord. '!D$161</f>
        <v>1.8519430329113113</v>
      </c>
      <c r="K31" s="274">
        <f>'Prod. GEXIJU'!G16</f>
        <v>139.79</v>
      </c>
      <c r="L31" s="264">
        <f>'GEXIJU Limp.Ord. '!D$167</f>
        <v>3.086571721518852</v>
      </c>
      <c r="M31" s="274">
        <f>'Prod. GEXIJU'!H16</f>
        <v>44.74</v>
      </c>
      <c r="N31" s="275">
        <f>'GEXIJU Limp.Ord. '!D$173</f>
        <v>17.170434316896266</v>
      </c>
      <c r="O31" s="274">
        <f>'Prod. GEXIJU'!I16</f>
        <v>69.94</v>
      </c>
      <c r="P31" s="275">
        <f>'GEXIJU Limp.Ord. '!D$179</f>
        <v>2.3149287911391392</v>
      </c>
      <c r="Q31" s="274">
        <f>'Prod. GEXIJU'!J16</f>
        <v>114.73</v>
      </c>
      <c r="R31" s="275">
        <f>'GEXIJU Limp.Ord. '!D$182</f>
        <v>4.6298575822782781E-2</v>
      </c>
      <c r="S31" s="274">
        <f>'Prod. GEXIJU'!K16</f>
        <v>326.63</v>
      </c>
      <c r="T31" s="275">
        <f>'GEXIJU Limp.Ord. '!D$185</f>
        <v>0.51442862025314207</v>
      </c>
      <c r="U31" s="276">
        <f>'Prod. GEXIJU'!L16</f>
        <v>0</v>
      </c>
      <c r="V31" s="275">
        <f>'GEXIJU Limp.Ord. '!D$191</f>
        <v>0.25753622280052824</v>
      </c>
      <c r="W31" s="274">
        <f>'Prod. GEXIJU'!M16</f>
        <v>413.11</v>
      </c>
      <c r="X31" s="275">
        <f>'GEXIJU Limp.Ord. '!D$194</f>
        <v>1.0327472551674146</v>
      </c>
      <c r="Y31" s="277">
        <f>'Prod. GEXIJU'!N16</f>
        <v>413.11</v>
      </c>
      <c r="Z31" s="275">
        <f>'GEXIJU Limp.Ord. '!D$197</f>
        <v>1.0327472551674146</v>
      </c>
      <c r="AA31" s="267">
        <f t="shared" si="1"/>
        <v>7082.0223918958309</v>
      </c>
      <c r="AB31" s="268">
        <f>('GEXIJU Covid '!C$129*'Prod. GEXIJU'!T16)+('GEXIJU Covid '!D$129*'Prod. GEXIJU'!U16)+('GEXIJU Covid '!E$129*'Prod. GEXIJU'!V16)</f>
        <v>2517.3103060178996</v>
      </c>
      <c r="AC31" s="278">
        <f>'GEXIJU Limp.Ord. '!C$139*'Prod. GEXIJU'!W15</f>
        <v>149.53680681515993</v>
      </c>
      <c r="AD31" s="279">
        <f>'GEXIJU Covid '!C$134*'Prod. GEXIJU'!X16</f>
        <v>129.05649243471046</v>
      </c>
      <c r="AE31" s="280"/>
      <c r="ALD31" s="257"/>
      <c r="ALE31" s="257"/>
      <c r="ALF31" s="257"/>
      <c r="ALG31" s="257"/>
      <c r="ALH31" s="257"/>
      <c r="ALI31" s="257"/>
      <c r="ALJ31" s="257"/>
      <c r="ALK31" s="257"/>
      <c r="ALL31" s="257"/>
      <c r="ALM31" s="257"/>
      <c r="ALN31" s="257"/>
      <c r="ALO31" s="257"/>
    </row>
    <row r="32" spans="1:1003" x14ac:dyDescent="0.2">
      <c r="A32" s="243" t="s">
        <v>110</v>
      </c>
      <c r="B32" s="243" t="s">
        <v>410</v>
      </c>
      <c r="C32" s="244" t="s">
        <v>411</v>
      </c>
      <c r="D32" s="272">
        <f>MC!J84</f>
        <v>0.02</v>
      </c>
      <c r="E32" s="232">
        <f>'Prod. GEXIJU'!D17</f>
        <v>0</v>
      </c>
      <c r="F32" s="236">
        <f>'GEXIJU Limp.Ord. '!D$149</f>
        <v>5.1442862025314202</v>
      </c>
      <c r="G32" s="273">
        <f>'Prod. GEXIJU'!E17</f>
        <v>900</v>
      </c>
      <c r="H32" s="236">
        <f>'GEXIJU Limp.Ord. '!D$155</f>
        <v>5.7234781056320889</v>
      </c>
      <c r="I32" s="274">
        <f>'Prod. GEXIJU'!F17</f>
        <v>0</v>
      </c>
      <c r="J32" s="275">
        <f>'GEXIJU Limp.Ord. '!D$161</f>
        <v>1.8519430329113113</v>
      </c>
      <c r="K32" s="274">
        <f>'Prod. GEXIJU'!G17</f>
        <v>0</v>
      </c>
      <c r="L32" s="264">
        <f>'GEXIJU Limp.Ord. '!D$167</f>
        <v>3.086571721518852</v>
      </c>
      <c r="M32" s="274">
        <f>'Prod. GEXIJU'!H17</f>
        <v>0</v>
      </c>
      <c r="N32" s="275">
        <f>'GEXIJU Limp.Ord. '!D$173</f>
        <v>17.170434316896266</v>
      </c>
      <c r="O32" s="274">
        <f>'Prod. GEXIJU'!I17</f>
        <v>0</v>
      </c>
      <c r="P32" s="275">
        <f>'GEXIJU Limp.Ord. '!D$179</f>
        <v>2.3149287911391392</v>
      </c>
      <c r="Q32" s="274">
        <f>'Prod. GEXIJU'!J17</f>
        <v>0</v>
      </c>
      <c r="R32" s="275">
        <f>'GEXIJU Limp.Ord. '!D$182</f>
        <v>4.6298575822782781E-2</v>
      </c>
      <c r="S32" s="274">
        <f>'Prod. GEXIJU'!K17</f>
        <v>0</v>
      </c>
      <c r="T32" s="275">
        <f>'GEXIJU Limp.Ord. '!D$185</f>
        <v>0.51442862025314207</v>
      </c>
      <c r="U32" s="276">
        <f>'Prod. GEXIJU'!L17</f>
        <v>0</v>
      </c>
      <c r="V32" s="275">
        <f>'GEXIJU Limp.Ord. '!D$191</f>
        <v>0.25753622280052824</v>
      </c>
      <c r="W32" s="274">
        <f>'Prod. GEXIJU'!M17</f>
        <v>0</v>
      </c>
      <c r="X32" s="275">
        <f>'GEXIJU Limp.Ord. '!D$194</f>
        <v>1.0327472551674146</v>
      </c>
      <c r="Y32" s="277">
        <f>'Prod. GEXIJU'!N17</f>
        <v>0</v>
      </c>
      <c r="Z32" s="275">
        <f>'GEXIJU Limp.Ord. '!D$197</f>
        <v>1.0327472551674146</v>
      </c>
      <c r="AA32" s="267">
        <f t="shared" si="1"/>
        <v>5151.1302950688796</v>
      </c>
      <c r="AB32" s="268">
        <f>('GEXIJU Covid '!C$129*'Prod. GEXIJU'!T17)+('GEXIJU Covid '!D$129*'Prod. GEXIJU'!U17)+('GEXIJU Covid '!E$129*'Prod. GEXIJU'!V17)</f>
        <v>0</v>
      </c>
      <c r="AC32" s="278">
        <f>'GEXIJU Limp.Ord. '!C$139*'Prod. GEXIJU'!W16</f>
        <v>149.53680681515993</v>
      </c>
      <c r="AD32" s="279">
        <f>'GEXIJU Covid '!C$134*'Prod. GEXIJU'!X17</f>
        <v>129.05649243471046</v>
      </c>
      <c r="AE32" s="280"/>
      <c r="ALD32" s="257"/>
      <c r="ALE32" s="257"/>
      <c r="ALF32" s="257"/>
      <c r="ALG32" s="257"/>
      <c r="ALH32" s="257"/>
      <c r="ALI32" s="257"/>
      <c r="ALJ32" s="257"/>
      <c r="ALK32" s="257"/>
      <c r="ALL32" s="257"/>
      <c r="ALM32" s="257"/>
      <c r="ALN32" s="257"/>
      <c r="ALO32" s="257"/>
    </row>
    <row r="33" spans="1:1003" x14ac:dyDescent="0.2">
      <c r="A33" s="243" t="s">
        <v>111</v>
      </c>
      <c r="B33" s="243" t="s">
        <v>412</v>
      </c>
      <c r="C33" s="244" t="s">
        <v>413</v>
      </c>
      <c r="D33" s="272">
        <f>MC!J85</f>
        <v>0.02</v>
      </c>
      <c r="E33" s="232">
        <f>'Prod. GEXIJU'!D18</f>
        <v>0</v>
      </c>
      <c r="F33" s="236">
        <f>'GEXIJU Limp.Ord. '!D$149</f>
        <v>5.1442862025314202</v>
      </c>
      <c r="G33" s="273">
        <f>'Prod. GEXIJU'!E18</f>
        <v>900</v>
      </c>
      <c r="H33" s="236">
        <f>'GEXIJU Limp.Ord. '!D$155</f>
        <v>5.7234781056320889</v>
      </c>
      <c r="I33" s="274">
        <f>'Prod. GEXIJU'!F18</f>
        <v>0</v>
      </c>
      <c r="J33" s="275">
        <f>'GEXIJU Limp.Ord. '!D$161</f>
        <v>1.8519430329113113</v>
      </c>
      <c r="K33" s="274">
        <f>'Prod. GEXIJU'!G18</f>
        <v>0</v>
      </c>
      <c r="L33" s="264">
        <f>'GEXIJU Limp.Ord. '!D$167</f>
        <v>3.086571721518852</v>
      </c>
      <c r="M33" s="274">
        <f>'Prod. GEXIJU'!H18</f>
        <v>0</v>
      </c>
      <c r="N33" s="275">
        <f>'GEXIJU Limp.Ord. '!D$173</f>
        <v>17.170434316896266</v>
      </c>
      <c r="O33" s="274">
        <f>'Prod. GEXIJU'!I18</f>
        <v>0</v>
      </c>
      <c r="P33" s="275">
        <f>'GEXIJU Limp.Ord. '!D$179</f>
        <v>2.3149287911391392</v>
      </c>
      <c r="Q33" s="274">
        <f>'Prod. GEXIJU'!J18</f>
        <v>0</v>
      </c>
      <c r="R33" s="275">
        <f>'GEXIJU Limp.Ord. '!D$182</f>
        <v>4.6298575822782781E-2</v>
      </c>
      <c r="S33" s="274">
        <f>'Prod. GEXIJU'!K18</f>
        <v>0</v>
      </c>
      <c r="T33" s="275">
        <f>'GEXIJU Limp.Ord. '!D$185</f>
        <v>0.51442862025314207</v>
      </c>
      <c r="U33" s="276">
        <f>'Prod. GEXIJU'!L18</f>
        <v>0</v>
      </c>
      <c r="V33" s="275">
        <f>'GEXIJU Limp.Ord. '!D$191</f>
        <v>0.25753622280052824</v>
      </c>
      <c r="W33" s="274">
        <f>'Prod. GEXIJU'!M18</f>
        <v>0</v>
      </c>
      <c r="X33" s="275">
        <f>'GEXIJU Limp.Ord. '!D$194</f>
        <v>1.0327472551674146</v>
      </c>
      <c r="Y33" s="277">
        <f>'Prod. GEXIJU'!N18</f>
        <v>0</v>
      </c>
      <c r="Z33" s="275">
        <f>'GEXIJU Limp.Ord. '!D$197</f>
        <v>1.0327472551674146</v>
      </c>
      <c r="AA33" s="267">
        <f t="shared" si="1"/>
        <v>5151.1302950688796</v>
      </c>
      <c r="AB33" s="268">
        <f>('GEXIJU Covid '!C$129*'Prod. GEXIJU'!T18)+('GEXIJU Covid '!D$129*'Prod. GEXIJU'!U18)+('GEXIJU Covid '!E$129*'Prod. GEXIJU'!V18)</f>
        <v>0</v>
      </c>
      <c r="AC33" s="278">
        <f>'GEXIJU Limp.Ord. '!C$139*'Prod. GEXIJU'!W17</f>
        <v>149.53680681515993</v>
      </c>
      <c r="AD33" s="279">
        <f>'GEXIJU Covid '!C$134*'Prod. GEXIJU'!X18</f>
        <v>129.05649243471046</v>
      </c>
      <c r="AE33" s="281"/>
      <c r="ALD33" s="257"/>
      <c r="ALE33" s="257"/>
      <c r="ALF33" s="257"/>
      <c r="ALG33" s="257"/>
      <c r="ALH33" s="257"/>
      <c r="ALI33" s="257"/>
      <c r="ALJ33" s="257"/>
      <c r="ALK33" s="257"/>
      <c r="ALL33" s="257"/>
      <c r="ALM33" s="257"/>
      <c r="ALN33" s="257"/>
      <c r="ALO33" s="257"/>
    </row>
    <row r="34" spans="1:1003" x14ac:dyDescent="0.2">
      <c r="A34" s="243" t="s">
        <v>112</v>
      </c>
      <c r="B34" s="243" t="s">
        <v>414</v>
      </c>
      <c r="C34" s="244" t="s">
        <v>415</v>
      </c>
      <c r="D34" s="272">
        <f>MC!J86</f>
        <v>0.03</v>
      </c>
      <c r="E34" s="232">
        <f>'Prod. GEXIJU'!D19</f>
        <v>0</v>
      </c>
      <c r="F34" s="236">
        <f>'GEXIJU Limp.Ord. '!H$149</f>
        <v>5.2008013973953817</v>
      </c>
      <c r="G34" s="273">
        <f>'Prod. GEXIJU'!E19</f>
        <v>900</v>
      </c>
      <c r="H34" s="236">
        <f>'GEXIJU Limp.Ord. '!H$155</f>
        <v>5.7865937780242627</v>
      </c>
      <c r="I34" s="274">
        <f>'Prod. GEXIJU'!F19</f>
        <v>0</v>
      </c>
      <c r="J34" s="275">
        <f>'GEXIJU Limp.Ord. '!H$161</f>
        <v>1.8722885030623375</v>
      </c>
      <c r="K34" s="274">
        <f>'Prod. GEXIJU'!G19</f>
        <v>0</v>
      </c>
      <c r="L34" s="264">
        <f>'GEXIJU Limp.Ord. '!H$167</f>
        <v>3.1204808384372287</v>
      </c>
      <c r="M34" s="274">
        <f>'Prod. GEXIJU'!H19</f>
        <v>0</v>
      </c>
      <c r="N34" s="275">
        <f>'GEXIJU Limp.Ord. '!H$173</f>
        <v>17.359781334072789</v>
      </c>
      <c r="O34" s="274">
        <f>'Prod. GEXIJU'!I19</f>
        <v>0</v>
      </c>
      <c r="P34" s="275">
        <f>'GEXIJU Limp.Ord. '!H$179</f>
        <v>2.3403606288279217</v>
      </c>
      <c r="Q34" s="274">
        <f>'Prod. GEXIJU'!J19</f>
        <v>0</v>
      </c>
      <c r="R34" s="275">
        <f>'GEXIJU Limp.Ord. '!H$182</f>
        <v>4.6807212576558441E-2</v>
      </c>
      <c r="S34" s="274">
        <f>'Prod. GEXIJU'!K19</f>
        <v>0</v>
      </c>
      <c r="T34" s="275">
        <f>'GEXIJU Limp.Ord. '!H$185</f>
        <v>0.52008013973953826</v>
      </c>
      <c r="U34" s="276">
        <f>'Prod. GEXIJU'!L19</f>
        <v>0</v>
      </c>
      <c r="V34" s="275">
        <f>'GEXIJU Limp.Ord. '!H$191</f>
        <v>0.25992584549487158</v>
      </c>
      <c r="W34" s="274">
        <f>'Prod. GEXIJU'!M19</f>
        <v>0</v>
      </c>
      <c r="X34" s="275">
        <f>'GEXIJU Limp.Ord. '!H$194</f>
        <v>1.0440930298916682</v>
      </c>
      <c r="Y34" s="277">
        <f>'Prod. GEXIJU'!N19</f>
        <v>0</v>
      </c>
      <c r="Z34" s="275">
        <f>'GEXIJU Limp.Ord. '!H$197</f>
        <v>1.0440930298916682</v>
      </c>
      <c r="AA34" s="267">
        <f t="shared" si="1"/>
        <v>5207.9344002218368</v>
      </c>
      <c r="AB34" s="268">
        <f>('GEXIJU Covid '!C$131*'Prod. GEXIJU'!T19)+('GEXIJU Covid '!D$131*'Prod. GEXIJU'!U19)+('GEXIJU Covid '!E$131*'Prod. GEXIJU'!V19)</f>
        <v>0</v>
      </c>
      <c r="AC34" s="278">
        <f>'GEXIJU Limp.Ord. '!C$141*'Prod. GEXIJU'!W18</f>
        <v>151.24092996974863</v>
      </c>
      <c r="AD34" s="279">
        <f>'GEXIJU Covid '!C$136*'Prod. GEXIJU'!X19</f>
        <v>130.52722169322567</v>
      </c>
      <c r="AE34" s="281"/>
      <c r="ALD34" s="257"/>
      <c r="ALE34" s="257"/>
      <c r="ALF34" s="257"/>
      <c r="ALG34" s="257"/>
      <c r="ALH34" s="257"/>
      <c r="ALI34" s="257"/>
      <c r="ALJ34" s="257"/>
      <c r="ALK34" s="257"/>
      <c r="ALL34" s="257"/>
      <c r="ALM34" s="257"/>
      <c r="ALN34" s="257"/>
      <c r="ALO34" s="257"/>
    </row>
    <row r="35" spans="1:1003" x14ac:dyDescent="0.2">
      <c r="A35" s="243" t="s">
        <v>114</v>
      </c>
      <c r="B35" s="243" t="s">
        <v>416</v>
      </c>
      <c r="C35" s="244" t="s">
        <v>417</v>
      </c>
      <c r="D35" s="272">
        <f>MC!J87</f>
        <v>0.03</v>
      </c>
      <c r="E35" s="232">
        <f>'Prod. GEXIJU'!D20</f>
        <v>0</v>
      </c>
      <c r="F35" s="236">
        <f>'GEXIJU Limp.Ord. '!H$149</f>
        <v>5.2008013973953817</v>
      </c>
      <c r="G35" s="273">
        <f>'Prod. GEXIJU'!E20</f>
        <v>900</v>
      </c>
      <c r="H35" s="236">
        <f>'GEXIJU Limp.Ord. '!H$155</f>
        <v>5.7865937780242627</v>
      </c>
      <c r="I35" s="274">
        <f>'Prod. GEXIJU'!F20</f>
        <v>0</v>
      </c>
      <c r="J35" s="275">
        <f>'GEXIJU Limp.Ord. '!H$161</f>
        <v>1.8722885030623375</v>
      </c>
      <c r="K35" s="274">
        <f>'Prod. GEXIJU'!G20</f>
        <v>0</v>
      </c>
      <c r="L35" s="264">
        <f>'GEXIJU Limp.Ord. '!H$167</f>
        <v>3.1204808384372287</v>
      </c>
      <c r="M35" s="274">
        <f>'Prod. GEXIJU'!H20</f>
        <v>0</v>
      </c>
      <c r="N35" s="275">
        <f>'GEXIJU Limp.Ord. '!H$173</f>
        <v>17.359781334072789</v>
      </c>
      <c r="O35" s="274">
        <f>'Prod. GEXIJU'!I20</f>
        <v>0</v>
      </c>
      <c r="P35" s="275">
        <f>'GEXIJU Limp.Ord. '!H$179</f>
        <v>2.3403606288279217</v>
      </c>
      <c r="Q35" s="274">
        <f>'Prod. GEXIJU'!J20</f>
        <v>0</v>
      </c>
      <c r="R35" s="275">
        <f>'GEXIJU Limp.Ord. '!H$182</f>
        <v>4.6807212576558441E-2</v>
      </c>
      <c r="S35" s="274">
        <f>'Prod. GEXIJU'!K20</f>
        <v>0</v>
      </c>
      <c r="T35" s="275">
        <f>'GEXIJU Limp.Ord. '!H$185</f>
        <v>0.52008013973953826</v>
      </c>
      <c r="U35" s="276">
        <f>'Prod. GEXIJU'!L20</f>
        <v>0</v>
      </c>
      <c r="V35" s="275">
        <f>'GEXIJU Limp.Ord. '!H$191</f>
        <v>0.25992584549487158</v>
      </c>
      <c r="W35" s="274">
        <f>'Prod. GEXIJU'!M20</f>
        <v>0</v>
      </c>
      <c r="X35" s="275">
        <f>'GEXIJU Limp.Ord. '!H$194</f>
        <v>1.0440930298916682</v>
      </c>
      <c r="Y35" s="277">
        <f>'Prod. GEXIJU'!N20</f>
        <v>0</v>
      </c>
      <c r="Z35" s="275">
        <f>'GEXIJU Limp.Ord. '!H$197</f>
        <v>1.0440930298916682</v>
      </c>
      <c r="AA35" s="267">
        <f t="shared" si="1"/>
        <v>5207.9344002218368</v>
      </c>
      <c r="AB35" s="268">
        <f>('GEXIJU Covid '!C$131*'Prod. GEXIJU'!T20)+('GEXIJU Covid '!D$131*'Prod. GEXIJU'!U20)+('GEXIJU Covid '!E$131*'Prod. GEXIJU'!V20)</f>
        <v>0</v>
      </c>
      <c r="AC35" s="278">
        <f>'GEXIJU Limp.Ord. '!C$141*'Prod. GEXIJU'!W19</f>
        <v>151.24092996974863</v>
      </c>
      <c r="AD35" s="279">
        <f>'GEXIJU Covid '!C$136*'Prod. GEXIJU'!X20</f>
        <v>130.52722169322567</v>
      </c>
      <c r="AE35" s="281"/>
      <c r="ALD35" s="257"/>
      <c r="ALE35" s="257"/>
      <c r="ALF35" s="257"/>
      <c r="ALG35" s="257"/>
      <c r="ALH35" s="257"/>
      <c r="ALI35" s="257"/>
      <c r="ALJ35" s="257"/>
      <c r="ALK35" s="257"/>
      <c r="ALL35" s="257"/>
      <c r="ALM35" s="257"/>
      <c r="ALN35" s="257"/>
      <c r="ALO35" s="257"/>
    </row>
    <row r="36" spans="1:1003" x14ac:dyDescent="0.2">
      <c r="A36" s="727"/>
      <c r="B36" s="727"/>
      <c r="C36" s="727"/>
      <c r="D36" s="727"/>
      <c r="E36" s="249">
        <f>SUM(E19:E35)</f>
        <v>560.50000000000091</v>
      </c>
      <c r="F36" s="250"/>
      <c r="G36" s="282">
        <f>SUM(G19:G35)</f>
        <v>13025.460000000001</v>
      </c>
      <c r="H36" s="250"/>
      <c r="I36" s="283">
        <f>SUM(I19:I35)</f>
        <v>6482.3300000000008</v>
      </c>
      <c r="J36" s="252"/>
      <c r="K36" s="283">
        <f>SUM(K19:K35)</f>
        <v>1711.9199999999998</v>
      </c>
      <c r="L36" s="252"/>
      <c r="M36" s="283">
        <f>SUM(M19:M35)</f>
        <v>758.18000000000006</v>
      </c>
      <c r="N36" s="252"/>
      <c r="O36" s="283">
        <f>SUM(O19:O35)</f>
        <v>1493.1399999999999</v>
      </c>
      <c r="P36" s="284"/>
      <c r="Q36" s="283">
        <f>SUM(Q19:Q35)</f>
        <v>1271.0300000000002</v>
      </c>
      <c r="R36" s="252"/>
      <c r="S36" s="283">
        <f>SUM(S19:S35)</f>
        <v>2139.08</v>
      </c>
      <c r="T36" s="252"/>
      <c r="U36" s="283">
        <f>SUM(U19:U35)</f>
        <v>0</v>
      </c>
      <c r="V36" s="252"/>
      <c r="W36" s="283">
        <f>SUM(W19:W35)</f>
        <v>3286.4</v>
      </c>
      <c r="X36" s="252"/>
      <c r="Y36" s="285">
        <f>SUM(Y19:Y35)</f>
        <v>3286.4</v>
      </c>
      <c r="Z36" s="252"/>
      <c r="AA36" s="252">
        <f>SUM(AA19:AA35)</f>
        <v>120047.83284983886</v>
      </c>
      <c r="AB36" s="256">
        <f>SUM(AB19:AB35)</f>
        <v>38193.087518634537</v>
      </c>
      <c r="AC36" s="254">
        <f>SUM(AC19:AC35)</f>
        <v>2562.6144818546763</v>
      </c>
      <c r="AD36" s="256">
        <f>SUM(AD19:AD35)</f>
        <v>2211.6430297950506</v>
      </c>
      <c r="AE36" s="252">
        <f>SUM(AE19:AE35)</f>
        <v>4043.6000000000004</v>
      </c>
      <c r="ALD36" s="257"/>
      <c r="ALE36" s="257"/>
      <c r="ALF36" s="257"/>
      <c r="ALG36" s="257"/>
      <c r="ALH36" s="257"/>
      <c r="ALI36" s="257"/>
      <c r="ALJ36" s="257"/>
      <c r="ALK36" s="257"/>
      <c r="ALL36" s="257"/>
      <c r="ALM36" s="257"/>
      <c r="ALN36" s="257"/>
      <c r="ALO36" s="257"/>
    </row>
    <row r="37" spans="1:1003" x14ac:dyDescent="0.2">
      <c r="A37" s="228" t="s">
        <v>115</v>
      </c>
      <c r="B37" s="258" t="s">
        <v>418</v>
      </c>
      <c r="C37" s="258" t="s">
        <v>419</v>
      </c>
      <c r="D37" s="231">
        <f>MC!C88</f>
        <v>0.02</v>
      </c>
      <c r="E37" s="232">
        <f>'Prod. GEXPSF'!D4</f>
        <v>0</v>
      </c>
      <c r="F37" s="286">
        <f>'GEXPSF Limp. Ord.'!$D$149</f>
        <v>5.8175815264219084</v>
      </c>
      <c r="G37" s="273">
        <f>'Prod. GEXPSF'!E4</f>
        <v>800</v>
      </c>
      <c r="H37" s="286">
        <f>'GEXPSF Limp. Ord.'!$D$155</f>
        <v>6.4691724174101601</v>
      </c>
      <c r="I37" s="274">
        <f>'Prod. GEXPSF'!F4</f>
        <v>0</v>
      </c>
      <c r="J37" s="286">
        <f>'GEXPSF Limp. Ord.'!$D$161</f>
        <v>3.1027101474250172</v>
      </c>
      <c r="K37" s="274">
        <f>'Prod. GEXPSF'!G4</f>
        <v>0</v>
      </c>
      <c r="L37" s="286">
        <f>'GEXPSF Limp. Ord.'!$D$167</f>
        <v>4.6540652211375262</v>
      </c>
      <c r="M37" s="274">
        <f>'Prod. GEXPSF'!H4</f>
        <v>0</v>
      </c>
      <c r="N37" s="286">
        <f>'GEXPSF Limp. Ord.'!$D$173</f>
        <v>25.876689669640641</v>
      </c>
      <c r="O37" s="274">
        <f>'Prod. GEXPSF'!I4</f>
        <v>0</v>
      </c>
      <c r="P37" s="286">
        <f>'GEXPSF Limp. Ord.'!$D$179</f>
        <v>1.9391938421406361</v>
      </c>
      <c r="Q37" s="274">
        <f>'Prod. GEXPSF'!J4</f>
        <v>0</v>
      </c>
      <c r="R37" s="286">
        <f>'GEXPSF Limp. Ord.'!$D$182</f>
        <v>4.6540652211375266E-2</v>
      </c>
      <c r="S37" s="274">
        <f>'Prod. GEXPSF'!K4</f>
        <v>0</v>
      </c>
      <c r="T37" s="286">
        <f>'GEXPSF Limp. Ord.'!$D$185</f>
        <v>0.5171183579041696</v>
      </c>
      <c r="U37" s="276">
        <f>'Prod. GEXPSF'!L4</f>
        <v>0</v>
      </c>
      <c r="V37" s="286">
        <f>'GEXPSF Limp. Ord.'!$D$191</f>
        <v>0.25734303793915286</v>
      </c>
      <c r="W37" s="274">
        <f>'Prod. GEXPSF'!M4</f>
        <v>0</v>
      </c>
      <c r="X37" s="286">
        <f>'GEXPSF Limp. Ord.'!$D$194</f>
        <v>1.0381470697711439</v>
      </c>
      <c r="Y37" s="274">
        <f>'Prod. GEXPSF'!N4</f>
        <v>0</v>
      </c>
      <c r="Z37" s="286">
        <f>'GEXPSF Limp. Ord.'!$D$197</f>
        <v>1.0381470697711439</v>
      </c>
      <c r="AA37" s="267">
        <f t="shared" ref="AA37:AA49" si="2">(E37*F37)+(G37*H37)+(I37*J37)+(K37*L37)+(M37*N37)+(O37*P37)+(Q37*R37)+(S37*T37)+(U37*V37)+(W37*X37)+(Y37*Z37)</f>
        <v>5175.3379339281282</v>
      </c>
      <c r="AB37" s="268">
        <f>('GEX PSF Covid'!C$129*'Prod. GEXPSF'!T4)+('GEX PSF Covid'!D$129*'Prod. GEXPSF'!U4)</f>
        <v>0</v>
      </c>
      <c r="AC37" s="269">
        <f>'GEXPSF Limp. Ord.'!C$139*'Prod. GEXPSF'!W4</f>
        <v>149.35885798414029</v>
      </c>
      <c r="AD37" s="270">
        <f>'GEX PSF Covid'!C$134*'Prod. GEXPSF'!W4</f>
        <v>128.9600002166211</v>
      </c>
      <c r="AE37" s="271">
        <f>MC!C15*'Prod. GEXPSF'!X4</f>
        <v>4043.6000000000004</v>
      </c>
      <c r="ALD37" s="257"/>
      <c r="ALE37" s="257"/>
      <c r="ALF37" s="257"/>
      <c r="ALG37" s="257"/>
      <c r="ALH37" s="257"/>
      <c r="ALI37" s="257"/>
      <c r="ALJ37" s="257"/>
      <c r="ALK37" s="257"/>
      <c r="ALL37" s="257"/>
      <c r="ALM37" s="257"/>
      <c r="ALN37" s="257"/>
      <c r="ALO37" s="257"/>
    </row>
    <row r="38" spans="1:1003" x14ac:dyDescent="0.2">
      <c r="A38" s="243" t="s">
        <v>116</v>
      </c>
      <c r="B38" s="244" t="s">
        <v>420</v>
      </c>
      <c r="C38" s="244" t="s">
        <v>421</v>
      </c>
      <c r="D38" s="245">
        <f>MC!C89</f>
        <v>0.03</v>
      </c>
      <c r="E38" s="232">
        <f>'Prod. GEXPSF'!D5</f>
        <v>136.9500000000001</v>
      </c>
      <c r="F38" s="286">
        <f>'GEXPSF Limp. Ord.'!$H$149</f>
        <v>5.8810766245227732</v>
      </c>
      <c r="G38" s="273">
        <f>'Prod. GEXPSF'!E5</f>
        <v>500.44000000000005</v>
      </c>
      <c r="H38" s="286">
        <f>'GEXPSF Limp. Ord.'!$H$155</f>
        <v>6.5400930527302652</v>
      </c>
      <c r="I38" s="274">
        <f>'Prod. GEXPSF'!F5</f>
        <v>1326.82</v>
      </c>
      <c r="J38" s="286">
        <f>'GEXPSF Limp. Ord.'!$H$161</f>
        <v>3.1365741997454784</v>
      </c>
      <c r="K38" s="274">
        <f>'Prod. GEXPSF'!G5</f>
        <v>329.34</v>
      </c>
      <c r="L38" s="286">
        <f>'GEXPSF Limp. Ord.'!$H$167</f>
        <v>4.7048612996182175</v>
      </c>
      <c r="M38" s="274">
        <f>'Prod. GEXPSF'!H5</f>
        <v>74.89</v>
      </c>
      <c r="N38" s="286">
        <f>'GEXPSF Limp. Ord.'!$H$173</f>
        <v>26.160372210921061</v>
      </c>
      <c r="O38" s="274">
        <f>'Prod. GEXPSF'!I5</f>
        <v>918.7</v>
      </c>
      <c r="P38" s="286">
        <f>'GEXPSF Limp. Ord.'!$H$179</f>
        <v>1.9603588748409244</v>
      </c>
      <c r="Q38" s="274">
        <f>'Prod. GEXPSF'!J5</f>
        <v>0</v>
      </c>
      <c r="R38" s="286">
        <f>'GEXPSF Limp. Ord.'!$H$182</f>
        <v>4.7048612996182189E-2</v>
      </c>
      <c r="S38" s="274">
        <f>'Prod. GEXPSF'!K5</f>
        <v>0</v>
      </c>
      <c r="T38" s="286">
        <f>'GEXPSF Limp. Ord.'!$H$185</f>
        <v>0.52276236662424647</v>
      </c>
      <c r="U38" s="276">
        <f>'Prod. GEXPSF'!L5</f>
        <v>0</v>
      </c>
      <c r="V38" s="286">
        <f>'GEXPSF Limp. Ord.'!$H$191</f>
        <v>0.25973086405162915</v>
      </c>
      <c r="W38" s="274">
        <f>'Prod. GEXPSF'!M5</f>
        <v>343.54</v>
      </c>
      <c r="X38" s="286">
        <f>'GEXPSF Limp. Ord.'!$H$194</f>
        <v>1.0494777661677248</v>
      </c>
      <c r="Y38" s="274">
        <f>'Prod. GEXPSF'!N5</f>
        <v>343.54</v>
      </c>
      <c r="Z38" s="286">
        <f>'GEXPSF Limp. Ord.'!$H$197</f>
        <v>1.0494777661677248</v>
      </c>
      <c r="AA38" s="267">
        <f t="shared" si="2"/>
        <v>14270.713167930044</v>
      </c>
      <c r="AB38" s="268">
        <f>('GEX PSF Covid'!C$131*'Prod. GEXPSF'!T5)+('GEX PSF Covid'!D$131*'Prod. GEXPSF'!U5)</f>
        <v>6617.89250337061</v>
      </c>
      <c r="AC38" s="278">
        <f>'GEXPSF Limp. Ord.'!C$141*'Prod. GEXPSF'!W5</f>
        <v>151.06095323182279</v>
      </c>
      <c r="AD38" s="279">
        <f>'GEX PSF Covid'!C$136*'Prod. GEXPSF'!W4</f>
        <v>130.42962984871932</v>
      </c>
      <c r="AE38" s="280"/>
      <c r="ALD38" s="257"/>
      <c r="ALE38" s="257"/>
      <c r="ALF38" s="257"/>
      <c r="ALG38" s="257"/>
      <c r="ALH38" s="257"/>
      <c r="ALI38" s="257"/>
      <c r="ALJ38" s="257"/>
      <c r="ALK38" s="257"/>
      <c r="ALL38" s="257"/>
      <c r="ALM38" s="257"/>
      <c r="ALN38" s="257"/>
      <c r="ALO38" s="257"/>
    </row>
    <row r="39" spans="1:1003" x14ac:dyDescent="0.2">
      <c r="A39" s="243" t="s">
        <v>117</v>
      </c>
      <c r="B39" s="244" t="s">
        <v>422</v>
      </c>
      <c r="C39" s="244" t="s">
        <v>423</v>
      </c>
      <c r="D39" s="245">
        <f>MC!C90</f>
        <v>0.03</v>
      </c>
      <c r="E39" s="232">
        <f>'Prod. GEXPSF'!D6</f>
        <v>711.69999999999993</v>
      </c>
      <c r="F39" s="286">
        <f>'GEXPSF Limp. Ord.'!$H$149</f>
        <v>5.8810766245227732</v>
      </c>
      <c r="G39" s="273">
        <f>'Prod. GEXPSF'!E6</f>
        <v>492.44000000000005</v>
      </c>
      <c r="H39" s="286">
        <f>'GEXPSF Limp. Ord.'!$H$155</f>
        <v>6.5400930527302652</v>
      </c>
      <c r="I39" s="274">
        <f>'Prod. GEXPSF'!F6</f>
        <v>1078.3</v>
      </c>
      <c r="J39" s="286">
        <f>'GEXPSF Limp. Ord.'!$H$161</f>
        <v>3.1365741997454784</v>
      </c>
      <c r="K39" s="274">
        <f>'Prod. GEXPSF'!G6</f>
        <v>274.79000000000002</v>
      </c>
      <c r="L39" s="286">
        <f>'GEXPSF Limp. Ord.'!$H$167</f>
        <v>4.7048612996182175</v>
      </c>
      <c r="M39" s="274">
        <f>'Prod. GEXPSF'!H6</f>
        <v>76.89</v>
      </c>
      <c r="N39" s="286">
        <f>'GEXPSF Limp. Ord.'!$H$173</f>
        <v>26.160372210921061</v>
      </c>
      <c r="O39" s="274">
        <f>'Prod. GEXPSF'!I6</f>
        <v>473.07</v>
      </c>
      <c r="P39" s="286">
        <f>'GEXPSF Limp. Ord.'!$H$179</f>
        <v>1.9603588748409244</v>
      </c>
      <c r="Q39" s="274">
        <f>'Prod. GEXPSF'!J6</f>
        <v>0</v>
      </c>
      <c r="R39" s="286">
        <f>'GEXPSF Limp. Ord.'!$H$182</f>
        <v>4.7048612996182189E-2</v>
      </c>
      <c r="S39" s="274">
        <f>'Prod. GEXPSF'!K6</f>
        <v>0</v>
      </c>
      <c r="T39" s="286">
        <f>'GEXPSF Limp. Ord.'!$H$185</f>
        <v>0.52276236662424647</v>
      </c>
      <c r="U39" s="276">
        <f>'Prod. GEXPSF'!L6</f>
        <v>0</v>
      </c>
      <c r="V39" s="286">
        <f>'GEXPSF Limp. Ord.'!$H$191</f>
        <v>0.25973086405162915</v>
      </c>
      <c r="W39" s="274">
        <f>'Prod. GEXPSF'!M6</f>
        <v>658.53</v>
      </c>
      <c r="X39" s="286">
        <f>'GEXPSF Limp. Ord.'!$H$194</f>
        <v>1.0494777661677248</v>
      </c>
      <c r="Y39" s="274">
        <f>'Prod. GEXPSF'!N6</f>
        <v>658.53</v>
      </c>
      <c r="Z39" s="286">
        <f>'GEXPSF Limp. Ord.'!$H$197</f>
        <v>1.0494777661677248</v>
      </c>
      <c r="AA39" s="267">
        <f t="shared" si="2"/>
        <v>16402.265631594568</v>
      </c>
      <c r="AB39" s="268">
        <f>('GEX PSF Covid'!C$131*'Prod. GEXPSF'!T6)+('GEX PSF Covid'!D$131*'Prod. GEXPSF'!U6)</f>
        <v>6617.89250337061</v>
      </c>
      <c r="AC39" s="278">
        <f>'GEXPSF Limp. Ord.'!C$141*'Prod. GEXPSF'!W6</f>
        <v>151.06095323182279</v>
      </c>
      <c r="AD39" s="279">
        <f>'GEX PSF Covid'!C$136*'Prod. GEXPSF'!W5</f>
        <v>130.42962984871932</v>
      </c>
      <c r="AE39" s="280"/>
      <c r="ALD39" s="257"/>
      <c r="ALE39" s="257"/>
      <c r="ALF39" s="257"/>
      <c r="ALG39" s="257"/>
      <c r="ALH39" s="257"/>
      <c r="ALI39" s="257"/>
      <c r="ALJ39" s="257"/>
      <c r="ALK39" s="257"/>
      <c r="ALL39" s="257"/>
      <c r="ALM39" s="257"/>
      <c r="ALN39" s="257"/>
      <c r="ALO39" s="257"/>
    </row>
    <row r="40" spans="1:1003" x14ac:dyDescent="0.2">
      <c r="A40" s="243" t="s">
        <v>118</v>
      </c>
      <c r="B40" s="244" t="s">
        <v>424</v>
      </c>
      <c r="C40" s="244" t="s">
        <v>425</v>
      </c>
      <c r="D40" s="245">
        <f>MC!C91</f>
        <v>0.02</v>
      </c>
      <c r="E40" s="232">
        <f>'Prod. GEXPSF'!D7</f>
        <v>0</v>
      </c>
      <c r="F40" s="286">
        <f>'GEXPSF Limp. Ord.'!$D$149</f>
        <v>5.8175815264219084</v>
      </c>
      <c r="G40" s="273">
        <f>'Prod. GEXPSF'!E7</f>
        <v>800</v>
      </c>
      <c r="H40" s="286">
        <f>'GEXPSF Limp. Ord.'!$D$155</f>
        <v>6.4691724174101601</v>
      </c>
      <c r="I40" s="274">
        <f>'Prod. GEXPSF'!F7</f>
        <v>0</v>
      </c>
      <c r="J40" s="286">
        <f>'GEXPSF Limp. Ord.'!$D$161</f>
        <v>3.1027101474250172</v>
      </c>
      <c r="K40" s="274">
        <f>'Prod. GEXPSF'!G7</f>
        <v>0</v>
      </c>
      <c r="L40" s="286">
        <f>'GEXPSF Limp. Ord.'!$D$167</f>
        <v>4.6540652211375262</v>
      </c>
      <c r="M40" s="274">
        <f>'Prod. GEXPSF'!H7</f>
        <v>0</v>
      </c>
      <c r="N40" s="286">
        <f>'GEXPSF Limp. Ord.'!$D$173</f>
        <v>25.876689669640641</v>
      </c>
      <c r="O40" s="274">
        <f>'Prod. GEXPSF'!I7</f>
        <v>0</v>
      </c>
      <c r="P40" s="286">
        <f>'GEXPSF Limp. Ord.'!$D$179</f>
        <v>1.9391938421406361</v>
      </c>
      <c r="Q40" s="274">
        <f>'Prod. GEXPSF'!J7</f>
        <v>0</v>
      </c>
      <c r="R40" s="286">
        <f>'GEXPSF Limp. Ord.'!$D$182</f>
        <v>4.6540652211375266E-2</v>
      </c>
      <c r="S40" s="274">
        <f>'Prod. GEXPSF'!K7</f>
        <v>0</v>
      </c>
      <c r="T40" s="286">
        <f>'GEXPSF Limp. Ord.'!$D$185</f>
        <v>0.5171183579041696</v>
      </c>
      <c r="U40" s="276">
        <f>'Prod. GEXPSF'!L7</f>
        <v>0</v>
      </c>
      <c r="V40" s="286">
        <f>'GEXPSF Limp. Ord.'!$D$191</f>
        <v>0.25734303793915286</v>
      </c>
      <c r="W40" s="274">
        <f>'Prod. GEXPSF'!M7</f>
        <v>0</v>
      </c>
      <c r="X40" s="286">
        <f>'GEXPSF Limp. Ord.'!$D$194</f>
        <v>1.0381470697711439</v>
      </c>
      <c r="Y40" s="274">
        <f>'Prod. GEXPSF'!N7</f>
        <v>0</v>
      </c>
      <c r="Z40" s="286">
        <f>'GEXPSF Limp. Ord.'!$D$197</f>
        <v>1.0381470697711439</v>
      </c>
      <c r="AA40" s="267">
        <f t="shared" si="2"/>
        <v>5175.3379339281282</v>
      </c>
      <c r="AB40" s="268">
        <f>('GEX PSF Covid'!C$129*'Prod. GEXPSF'!T7)+('GEX PSF Covid'!D$129*'Prod. GEXPSF'!U7)</f>
        <v>0</v>
      </c>
      <c r="AC40" s="278">
        <f>'GEXPSF Limp. Ord.'!C$139*'Prod. GEXPSF'!W7</f>
        <v>149.35885798414029</v>
      </c>
      <c r="AD40" s="279">
        <f>'GEX PSF Covid'!C$134*'Prod. GEXPSF'!W6</f>
        <v>128.9600002166211</v>
      </c>
      <c r="AE40" s="280"/>
      <c r="ALD40" s="257"/>
      <c r="ALE40" s="257"/>
      <c r="ALF40" s="257"/>
      <c r="ALG40" s="257"/>
      <c r="ALH40" s="257"/>
      <c r="ALI40" s="257"/>
      <c r="ALJ40" s="257"/>
      <c r="ALK40" s="257"/>
      <c r="ALL40" s="257"/>
      <c r="ALM40" s="257"/>
      <c r="ALN40" s="257"/>
      <c r="ALO40" s="257"/>
    </row>
    <row r="41" spans="1:1003" x14ac:dyDescent="0.2">
      <c r="A41" s="243" t="s">
        <v>119</v>
      </c>
      <c r="B41" s="244" t="s">
        <v>426</v>
      </c>
      <c r="C41" s="244" t="s">
        <v>427</v>
      </c>
      <c r="D41" s="245">
        <f>MC!C92</f>
        <v>0.03</v>
      </c>
      <c r="E41" s="232">
        <f>'Prod. GEXPSF'!D8</f>
        <v>-220.93000000000006</v>
      </c>
      <c r="F41" s="286">
        <f>'GEXPSF Limp. Ord.'!$H$149</f>
        <v>5.8810766245227732</v>
      </c>
      <c r="G41" s="273">
        <f>'Prod. GEXPSF'!E8</f>
        <v>603.56000000000006</v>
      </c>
      <c r="H41" s="286">
        <f>'GEXPSF Limp. Ord.'!$H$155</f>
        <v>6.5400930527302652</v>
      </c>
      <c r="I41" s="274">
        <f>'Prod. GEXPSF'!F8</f>
        <v>869.07</v>
      </c>
      <c r="J41" s="286">
        <f>'GEXPSF Limp. Ord.'!$H$161</f>
        <v>3.1365741997454784</v>
      </c>
      <c r="K41" s="274">
        <f>'Prod. GEXPSF'!G8</f>
        <v>248.17</v>
      </c>
      <c r="L41" s="286">
        <f>'GEXPSF Limp. Ord.'!$H$167</f>
        <v>4.7048612996182175</v>
      </c>
      <c r="M41" s="274">
        <f>'Prod. GEXPSF'!H8</f>
        <v>49.11</v>
      </c>
      <c r="N41" s="286">
        <f>'GEXPSF Limp. Ord.'!$H$173</f>
        <v>26.160372210921061</v>
      </c>
      <c r="O41" s="274">
        <f>'Prod. GEXPSF'!I8</f>
        <v>751.02</v>
      </c>
      <c r="P41" s="286">
        <f>'GEXPSF Limp. Ord.'!$H$179</f>
        <v>1.9603588748409244</v>
      </c>
      <c r="Q41" s="274">
        <f>'Prod. GEXPSF'!J8</f>
        <v>0</v>
      </c>
      <c r="R41" s="286">
        <f>'GEXPSF Limp. Ord.'!$H$182</f>
        <v>4.7048612996182189E-2</v>
      </c>
      <c r="S41" s="274">
        <f>'Prod. GEXPSF'!K8</f>
        <v>0</v>
      </c>
      <c r="T41" s="286">
        <f>'GEXPSF Limp. Ord.'!$H$185</f>
        <v>0.52276236662424647</v>
      </c>
      <c r="U41" s="276">
        <f>'Prod. GEXPSF'!L8</f>
        <v>0</v>
      </c>
      <c r="V41" s="286">
        <f>'GEXPSF Limp. Ord.'!$H$191</f>
        <v>0.25973086405162915</v>
      </c>
      <c r="W41" s="274">
        <f>'Prod. GEXPSF'!M8</f>
        <v>333.85</v>
      </c>
      <c r="X41" s="286">
        <f>'GEXPSF Limp. Ord.'!$H$194</f>
        <v>1.0494777661677248</v>
      </c>
      <c r="Y41" s="274">
        <f>'Prod. GEXPSF'!N8</f>
        <v>333.85</v>
      </c>
      <c r="Z41" s="286">
        <f>'GEXPSF Limp. Ord.'!$H$197</f>
        <v>1.0494777661677248</v>
      </c>
      <c r="AA41" s="267">
        <f t="shared" si="2"/>
        <v>9999.2811786806724</v>
      </c>
      <c r="AB41" s="268">
        <f>('GEX PSF Covid'!C$131*'Prod. GEXPSF'!T8)+('GEX PSF Covid'!D$131*'Prod. GEXPSF'!U8)</f>
        <v>0</v>
      </c>
      <c r="AC41" s="278">
        <f>'GEXPSF Limp. Ord.'!C$141*'Prod. GEXPSF'!W8</f>
        <v>151.06095323182279</v>
      </c>
      <c r="AD41" s="279">
        <f>'GEX PSF Covid'!C$136*'Prod. GEXPSF'!W7</f>
        <v>130.42962984871932</v>
      </c>
      <c r="AE41" s="280"/>
      <c r="ALD41" s="257"/>
      <c r="ALE41" s="257"/>
      <c r="ALF41" s="257"/>
      <c r="ALG41" s="257"/>
      <c r="ALH41" s="257"/>
      <c r="ALI41" s="257"/>
      <c r="ALJ41" s="257"/>
      <c r="ALK41" s="257"/>
      <c r="ALL41" s="257"/>
      <c r="ALM41" s="257"/>
      <c r="ALN41" s="257"/>
      <c r="ALO41" s="257"/>
    </row>
    <row r="42" spans="1:1003" x14ac:dyDescent="0.2">
      <c r="A42" s="243" t="s">
        <v>120</v>
      </c>
      <c r="B42" s="244" t="s">
        <v>418</v>
      </c>
      <c r="C42" s="244" t="s">
        <v>419</v>
      </c>
      <c r="D42" s="245">
        <f>MC!C93</f>
        <v>0.02</v>
      </c>
      <c r="E42" s="232">
        <f>'Prod. GEXPSF'!D9</f>
        <v>431.50000000000011</v>
      </c>
      <c r="F42" s="286">
        <f>'GEXPSF Limp. Ord.'!$D$149</f>
        <v>5.8175815264219084</v>
      </c>
      <c r="G42" s="273">
        <f>'Prod. GEXPSF'!E9</f>
        <v>443.36</v>
      </c>
      <c r="H42" s="286">
        <f>'GEXPSF Limp. Ord.'!$D$155</f>
        <v>6.4691724174101601</v>
      </c>
      <c r="I42" s="274">
        <f>'Prod. GEXPSF'!F9</f>
        <v>358.98500000000001</v>
      </c>
      <c r="J42" s="286">
        <f>'GEXPSF Limp. Ord.'!$D$161</f>
        <v>3.1027101474250172</v>
      </c>
      <c r="K42" s="274">
        <f>'Prod. GEXPSF'!G9</f>
        <v>129.685</v>
      </c>
      <c r="L42" s="286">
        <f>'GEXPSF Limp. Ord.'!$D$167</f>
        <v>4.6540652211375262</v>
      </c>
      <c r="M42" s="274">
        <f>'Prod. GEXPSF'!H9</f>
        <v>89.16</v>
      </c>
      <c r="N42" s="286">
        <f>'GEXPSF Limp. Ord.'!$D$173</f>
        <v>25.876689669640641</v>
      </c>
      <c r="O42" s="274">
        <f>'Prod. GEXPSF'!I9</f>
        <v>440.34</v>
      </c>
      <c r="P42" s="286">
        <f>'GEXPSF Limp. Ord.'!$D$179</f>
        <v>1.9391938421406361</v>
      </c>
      <c r="Q42" s="274">
        <f>'Prod. GEXPSF'!J9</f>
        <v>0</v>
      </c>
      <c r="R42" s="286">
        <f>'GEXPSF Limp. Ord.'!$D$182</f>
        <v>4.6540652211375266E-2</v>
      </c>
      <c r="S42" s="274">
        <f>'Prod. GEXPSF'!K9</f>
        <v>0</v>
      </c>
      <c r="T42" s="286">
        <f>'GEXPSF Limp. Ord.'!$D$185</f>
        <v>0.5171183579041696</v>
      </c>
      <c r="U42" s="276">
        <f>'Prod. GEXPSF'!L9</f>
        <v>0</v>
      </c>
      <c r="V42" s="286">
        <f>'GEXPSF Limp. Ord.'!$D$191</f>
        <v>0.25734303793915286</v>
      </c>
      <c r="W42" s="274">
        <f>'Prod. GEXPSF'!M9</f>
        <v>268.43</v>
      </c>
      <c r="X42" s="286">
        <f>'GEXPSF Limp. Ord.'!$D$194</f>
        <v>1.0381470697711439</v>
      </c>
      <c r="Y42" s="274">
        <f>'Prod. GEXPSF'!N9</f>
        <v>268.43</v>
      </c>
      <c r="Z42" s="286">
        <f>'GEXPSF Limp. Ord.'!$D$197</f>
        <v>1.0381470697711439</v>
      </c>
      <c r="AA42" s="267">
        <f t="shared" si="2"/>
        <v>10814.257465381315</v>
      </c>
      <c r="AB42" s="268">
        <f>('GEX PSF Covid'!C$129*'Prod. GEXPSF'!T9)+('GEX PSF Covid'!D$129*'Prod. GEXPSF'!U9)</f>
        <v>10841.9913744031</v>
      </c>
      <c r="AC42" s="278">
        <f>'GEXPSF Limp. Ord.'!C$139*'Prod. GEXPSF'!W9</f>
        <v>149.35885798414029</v>
      </c>
      <c r="AD42" s="279">
        <f>'GEX PSF Covid'!C$134*'Prod. GEXPSF'!W8</f>
        <v>128.9600002166211</v>
      </c>
      <c r="AE42" s="280"/>
      <c r="ALD42" s="257"/>
      <c r="ALE42" s="257"/>
      <c r="ALF42" s="257"/>
      <c r="ALG42" s="257"/>
      <c r="ALH42" s="257"/>
      <c r="ALI42" s="257"/>
      <c r="ALJ42" s="257"/>
      <c r="ALK42" s="257"/>
      <c r="ALL42" s="257"/>
      <c r="ALM42" s="257"/>
      <c r="ALN42" s="257"/>
      <c r="ALO42" s="257"/>
    </row>
    <row r="43" spans="1:1003" x14ac:dyDescent="0.2">
      <c r="A43" s="243" t="s">
        <v>121</v>
      </c>
      <c r="B43" s="244" t="s">
        <v>428</v>
      </c>
      <c r="C43" s="244" t="s">
        <v>429</v>
      </c>
      <c r="D43" s="245">
        <f>MC!C94</f>
        <v>0.03</v>
      </c>
      <c r="E43" s="232">
        <f>'Prod. GEXPSF'!D10</f>
        <v>-196.13000000000011</v>
      </c>
      <c r="F43" s="286">
        <f>'GEXPSF Limp. Ord.'!$H$149</f>
        <v>5.8810766245227732</v>
      </c>
      <c r="G43" s="273">
        <f>'Prod. GEXPSF'!E10</f>
        <v>572.44000000000005</v>
      </c>
      <c r="H43" s="286">
        <f>'GEXPSF Limp. Ord.'!$H$155</f>
        <v>6.5400930527302652</v>
      </c>
      <c r="I43" s="274">
        <f>'Prod. GEXPSF'!F10</f>
        <v>1361.14</v>
      </c>
      <c r="J43" s="286">
        <f>'GEXPSF Limp. Ord.'!$H$161</f>
        <v>3.1365741997454784</v>
      </c>
      <c r="K43" s="274">
        <f>'Prod. GEXPSF'!G10</f>
        <v>117.89</v>
      </c>
      <c r="L43" s="286">
        <f>'GEXPSF Limp. Ord.'!$H$167</f>
        <v>4.7048612996182175</v>
      </c>
      <c r="M43" s="274">
        <f>'Prod. GEXPSF'!H10</f>
        <v>56.89</v>
      </c>
      <c r="N43" s="286">
        <f>'GEXPSF Limp. Ord.'!$H$173</f>
        <v>26.160372210921061</v>
      </c>
      <c r="O43" s="274">
        <f>'Prod. GEXPSF'!I10</f>
        <v>711.41</v>
      </c>
      <c r="P43" s="286">
        <f>'GEXPSF Limp. Ord.'!$H$179</f>
        <v>1.9603588748409244</v>
      </c>
      <c r="Q43" s="274">
        <f>'Prod. GEXPSF'!J10</f>
        <v>0</v>
      </c>
      <c r="R43" s="286">
        <f>'GEXPSF Limp. Ord.'!$H$182</f>
        <v>4.7048612996182189E-2</v>
      </c>
      <c r="S43" s="274">
        <f>'Prod. GEXPSF'!K10</f>
        <v>0</v>
      </c>
      <c r="T43" s="286">
        <f>'GEXPSF Limp. Ord.'!$H$185</f>
        <v>0.52276236662424647</v>
      </c>
      <c r="U43" s="276">
        <f>'Prod. GEXPSF'!L10</f>
        <v>0</v>
      </c>
      <c r="V43" s="286">
        <f>'GEXPSF Limp. Ord.'!$H$191</f>
        <v>0.25973086405162915</v>
      </c>
      <c r="W43" s="274">
        <f>'Prod. GEXPSF'!M10</f>
        <v>434.32</v>
      </c>
      <c r="X43" s="286">
        <f>'GEXPSF Limp. Ord.'!$H$194</f>
        <v>1.0494777661677248</v>
      </c>
      <c r="Y43" s="274">
        <f>'Prod. GEXPSF'!N10</f>
        <v>434.32</v>
      </c>
      <c r="Z43" s="286">
        <f>'GEXPSF Limp. Ord.'!$H$197</f>
        <v>1.0494777661677248</v>
      </c>
      <c r="AA43" s="267">
        <f t="shared" si="2"/>
        <v>11208.828862624629</v>
      </c>
      <c r="AB43" s="268">
        <f>('GEX PSF Covid'!C$131*'Prod. GEXPSF'!T10)+('GEX PSF Covid'!D$131*'Prod. GEXPSF'!U10)</f>
        <v>3308.946251685305</v>
      </c>
      <c r="AC43" s="278">
        <f>'GEXPSF Limp. Ord.'!C$141*'Prod. GEXPSF'!W10</f>
        <v>151.06095323182279</v>
      </c>
      <c r="AD43" s="279">
        <f>'GEX PSF Covid'!C$136*'Prod. GEXPSF'!W9</f>
        <v>130.42962984871932</v>
      </c>
      <c r="AE43" s="280"/>
      <c r="ALD43" s="257"/>
      <c r="ALE43" s="257"/>
      <c r="ALF43" s="257"/>
      <c r="ALG43" s="257"/>
      <c r="ALH43" s="257"/>
      <c r="ALI43" s="257"/>
      <c r="ALJ43" s="257"/>
      <c r="ALK43" s="257"/>
      <c r="ALL43" s="257"/>
      <c r="ALM43" s="257"/>
      <c r="ALN43" s="257"/>
      <c r="ALO43" s="257"/>
    </row>
    <row r="44" spans="1:1003" x14ac:dyDescent="0.2">
      <c r="A44" s="243" t="s">
        <v>122</v>
      </c>
      <c r="B44" s="244" t="s">
        <v>430</v>
      </c>
      <c r="C44" s="244" t="s">
        <v>431</v>
      </c>
      <c r="D44" s="245">
        <f>MC!C95</f>
        <v>0.02</v>
      </c>
      <c r="E44" s="232">
        <f>'Prod. GEXPSF'!D11</f>
        <v>0</v>
      </c>
      <c r="F44" s="286">
        <f>'GEXPSF Limp. Ord.'!$D$149</f>
        <v>5.8175815264219084</v>
      </c>
      <c r="G44" s="273">
        <f>'Prod. GEXPSF'!E11</f>
        <v>600</v>
      </c>
      <c r="H44" s="286">
        <f>'GEXPSF Limp. Ord.'!$D$155</f>
        <v>6.4691724174101601</v>
      </c>
      <c r="I44" s="274">
        <f>'Prod. GEXPSF'!F11</f>
        <v>0</v>
      </c>
      <c r="J44" s="286">
        <f>'GEXPSF Limp. Ord.'!$D$161</f>
        <v>3.1027101474250172</v>
      </c>
      <c r="K44" s="274">
        <f>'Prod. GEXPSF'!G11</f>
        <v>0</v>
      </c>
      <c r="L44" s="286">
        <f>'GEXPSF Limp. Ord.'!$D$167</f>
        <v>4.6540652211375262</v>
      </c>
      <c r="M44" s="274">
        <f>'Prod. GEXPSF'!H11</f>
        <v>0</v>
      </c>
      <c r="N44" s="286">
        <f>'GEXPSF Limp. Ord.'!$D$173</f>
        <v>25.876689669640641</v>
      </c>
      <c r="O44" s="274">
        <f>'Prod. GEXPSF'!I11</f>
        <v>0</v>
      </c>
      <c r="P44" s="286">
        <f>'GEXPSF Limp. Ord.'!$D$179</f>
        <v>1.9391938421406361</v>
      </c>
      <c r="Q44" s="274">
        <f>'Prod. GEXPSF'!J11</f>
        <v>0</v>
      </c>
      <c r="R44" s="286">
        <f>'GEXPSF Limp. Ord.'!$D$182</f>
        <v>4.6540652211375266E-2</v>
      </c>
      <c r="S44" s="274">
        <f>'Prod. GEXPSF'!K11</f>
        <v>0</v>
      </c>
      <c r="T44" s="286">
        <f>'GEXPSF Limp. Ord.'!$D$185</f>
        <v>0.5171183579041696</v>
      </c>
      <c r="U44" s="276">
        <f>'Prod. GEXPSF'!L11</f>
        <v>0</v>
      </c>
      <c r="V44" s="286">
        <f>'GEXPSF Limp. Ord.'!$D$191</f>
        <v>0.25734303793915286</v>
      </c>
      <c r="W44" s="274">
        <f>'Prod. GEXPSF'!M11</f>
        <v>0</v>
      </c>
      <c r="X44" s="286">
        <f>'GEXPSF Limp. Ord.'!$D$194</f>
        <v>1.0381470697711439</v>
      </c>
      <c r="Y44" s="274">
        <f>'Prod. GEXPSF'!N11</f>
        <v>0</v>
      </c>
      <c r="Z44" s="286">
        <f>'GEXPSF Limp. Ord.'!$D$197</f>
        <v>1.0381470697711439</v>
      </c>
      <c r="AA44" s="267">
        <f t="shared" si="2"/>
        <v>3881.5034504460959</v>
      </c>
      <c r="AB44" s="268">
        <f>('GEX PSF Covid'!C$129*'Prod. GEXPSF'!T11)+('GEX PSF Covid'!D$129*'Prod. GEXPSF'!U11)</f>
        <v>0</v>
      </c>
      <c r="AC44" s="278">
        <f>'GEXPSF Limp. Ord.'!C$139*'Prod. GEXPSF'!W11</f>
        <v>149.35885798414029</v>
      </c>
      <c r="AD44" s="279">
        <f>'GEX PSF Covid'!C$134*'Prod. GEXPSF'!W10</f>
        <v>128.9600002166211</v>
      </c>
      <c r="AE44" s="280"/>
      <c r="ALD44" s="257"/>
      <c r="ALE44" s="257"/>
      <c r="ALF44" s="257"/>
      <c r="ALG44" s="257"/>
      <c r="ALH44" s="257"/>
      <c r="ALI44" s="257"/>
      <c r="ALJ44" s="257"/>
      <c r="ALK44" s="257"/>
      <c r="ALL44" s="257"/>
      <c r="ALM44" s="257"/>
      <c r="ALN44" s="257"/>
      <c r="ALO44" s="257"/>
    </row>
    <row r="45" spans="1:1003" x14ac:dyDescent="0.2">
      <c r="A45" s="243" t="s">
        <v>123</v>
      </c>
      <c r="B45" s="244" t="s">
        <v>432</v>
      </c>
      <c r="C45" s="244" t="s">
        <v>433</v>
      </c>
      <c r="D45" s="245">
        <f>MC!C96</f>
        <v>0.03</v>
      </c>
      <c r="E45" s="232">
        <f>'Prod. GEXPSF'!D12</f>
        <v>0</v>
      </c>
      <c r="F45" s="286">
        <f>'GEXPSF Limp. Ord.'!$H$149</f>
        <v>5.8810766245227732</v>
      </c>
      <c r="G45" s="273">
        <f>'Prod. GEXPSF'!E12</f>
        <v>800</v>
      </c>
      <c r="H45" s="286">
        <f>'GEXPSF Limp. Ord.'!$H$155</f>
        <v>6.5400930527302652</v>
      </c>
      <c r="I45" s="274">
        <f>'Prod. GEXPSF'!F12</f>
        <v>0</v>
      </c>
      <c r="J45" s="286">
        <f>'GEXPSF Limp. Ord.'!$H$161</f>
        <v>3.1365741997454784</v>
      </c>
      <c r="K45" s="274">
        <f>'Prod. GEXPSF'!G12</f>
        <v>0</v>
      </c>
      <c r="L45" s="286">
        <f>'GEXPSF Limp. Ord.'!$H$167</f>
        <v>4.7048612996182175</v>
      </c>
      <c r="M45" s="274">
        <f>'Prod. GEXPSF'!H12</f>
        <v>0</v>
      </c>
      <c r="N45" s="286">
        <f>'GEXPSF Limp. Ord.'!$H$173</f>
        <v>26.160372210921061</v>
      </c>
      <c r="O45" s="274">
        <f>'Prod. GEXPSF'!I12</f>
        <v>0</v>
      </c>
      <c r="P45" s="286">
        <f>'GEXPSF Limp. Ord.'!$H$179</f>
        <v>1.9603588748409244</v>
      </c>
      <c r="Q45" s="274">
        <f>'Prod. GEXPSF'!J12</f>
        <v>0</v>
      </c>
      <c r="R45" s="286">
        <f>'GEXPSF Limp. Ord.'!$H$182</f>
        <v>4.7048612996182189E-2</v>
      </c>
      <c r="S45" s="274">
        <f>'Prod. GEXPSF'!K12</f>
        <v>0</v>
      </c>
      <c r="T45" s="286">
        <f>'GEXPSF Limp. Ord.'!$H$185</f>
        <v>0.52276236662424647</v>
      </c>
      <c r="U45" s="276">
        <f>'Prod. GEXPSF'!L12</f>
        <v>0</v>
      </c>
      <c r="V45" s="286">
        <f>'GEXPSF Limp. Ord.'!$H$191</f>
        <v>0.25973086405162915</v>
      </c>
      <c r="W45" s="274">
        <f>'Prod. GEXPSF'!M12</f>
        <v>0</v>
      </c>
      <c r="X45" s="286">
        <f>'GEXPSF Limp. Ord.'!$H$194</f>
        <v>1.0494777661677248</v>
      </c>
      <c r="Y45" s="274">
        <f>'Prod. GEXPSF'!N12</f>
        <v>0</v>
      </c>
      <c r="Z45" s="286">
        <f>'GEXPSF Limp. Ord.'!$H$197</f>
        <v>1.0494777661677248</v>
      </c>
      <c r="AA45" s="267">
        <f t="shared" si="2"/>
        <v>5232.0744421842119</v>
      </c>
      <c r="AB45" s="268">
        <f>('GEX PSF Covid'!C$131*'Prod. GEXPSF'!T12)+('GEX PSF Covid'!D$131*'Prod. GEXPSF'!U12)</f>
        <v>3308.946251685305</v>
      </c>
      <c r="AC45" s="278">
        <f>'GEXPSF Limp. Ord.'!C$141*'Prod. GEXPSF'!W12</f>
        <v>151.06095323182279</v>
      </c>
      <c r="AD45" s="279">
        <f>'GEX PSF Covid'!C$136*'Prod. GEXPSF'!W11</f>
        <v>130.42962984871932</v>
      </c>
      <c r="AE45" s="280"/>
      <c r="ALD45" s="257"/>
      <c r="ALE45" s="257"/>
      <c r="ALF45" s="257"/>
      <c r="ALG45" s="257"/>
      <c r="ALH45" s="257"/>
      <c r="ALI45" s="257"/>
      <c r="ALJ45" s="257"/>
      <c r="ALK45" s="257"/>
      <c r="ALL45" s="257"/>
      <c r="ALM45" s="257"/>
      <c r="ALN45" s="257"/>
      <c r="ALO45" s="257"/>
    </row>
    <row r="46" spans="1:1003" x14ac:dyDescent="0.2">
      <c r="A46" s="243" t="s">
        <v>124</v>
      </c>
      <c r="B46" s="244" t="s">
        <v>434</v>
      </c>
      <c r="C46" s="244" t="s">
        <v>435</v>
      </c>
      <c r="D46" s="245">
        <f>MC!C97</f>
        <v>0.02</v>
      </c>
      <c r="E46" s="232">
        <f>'Prod. GEXPSF'!D13</f>
        <v>0</v>
      </c>
      <c r="F46" s="286">
        <f>'GEXPSF Limp. Ord.'!$D$149</f>
        <v>5.8175815264219084</v>
      </c>
      <c r="G46" s="273">
        <f>'Prod. GEXPSF'!E13</f>
        <v>600</v>
      </c>
      <c r="H46" s="286">
        <f>'GEXPSF Limp. Ord.'!$D$155</f>
        <v>6.4691724174101601</v>
      </c>
      <c r="I46" s="274">
        <f>'Prod. GEXPSF'!F13</f>
        <v>0</v>
      </c>
      <c r="J46" s="286">
        <f>'GEXPSF Limp. Ord.'!$D$161</f>
        <v>3.1027101474250172</v>
      </c>
      <c r="K46" s="274">
        <f>'Prod. GEXPSF'!G13</f>
        <v>0</v>
      </c>
      <c r="L46" s="286">
        <f>'GEXPSF Limp. Ord.'!$D$167</f>
        <v>4.6540652211375262</v>
      </c>
      <c r="M46" s="274">
        <f>'Prod. GEXPSF'!H13</f>
        <v>0</v>
      </c>
      <c r="N46" s="286">
        <f>'GEXPSF Limp. Ord.'!$D$173</f>
        <v>25.876689669640641</v>
      </c>
      <c r="O46" s="274">
        <f>'Prod. GEXPSF'!I13</f>
        <v>0</v>
      </c>
      <c r="P46" s="286">
        <f>'GEXPSF Limp. Ord.'!$D$179</f>
        <v>1.9391938421406361</v>
      </c>
      <c r="Q46" s="274">
        <f>'Prod. GEXPSF'!J13</f>
        <v>0</v>
      </c>
      <c r="R46" s="286">
        <f>'GEXPSF Limp. Ord.'!$D$182</f>
        <v>4.6540652211375266E-2</v>
      </c>
      <c r="S46" s="274">
        <f>'Prod. GEXPSF'!K13</f>
        <v>0</v>
      </c>
      <c r="T46" s="286">
        <f>'GEXPSF Limp. Ord.'!$D$185</f>
        <v>0.5171183579041696</v>
      </c>
      <c r="U46" s="276">
        <f>'Prod. GEXPSF'!L13</f>
        <v>0</v>
      </c>
      <c r="V46" s="286">
        <f>'GEXPSF Limp. Ord.'!$D$191</f>
        <v>0.25734303793915286</v>
      </c>
      <c r="W46" s="274">
        <f>'Prod. GEXPSF'!M13</f>
        <v>0</v>
      </c>
      <c r="X46" s="286">
        <f>'GEXPSF Limp. Ord.'!$D$194</f>
        <v>1.0381470697711439</v>
      </c>
      <c r="Y46" s="274">
        <f>'Prod. GEXPSF'!N13</f>
        <v>0</v>
      </c>
      <c r="Z46" s="286">
        <f>'GEXPSF Limp. Ord.'!$D$197</f>
        <v>1.0381470697711439</v>
      </c>
      <c r="AA46" s="267">
        <f t="shared" si="2"/>
        <v>3881.5034504460959</v>
      </c>
      <c r="AB46" s="268">
        <f>('GEX PSF Covid'!C$129*'Prod. GEXPSF'!T13)+('GEX PSF Covid'!D$129*'Prod. GEXPSF'!U13)</f>
        <v>0</v>
      </c>
      <c r="AC46" s="278">
        <f>'GEXPSF Limp. Ord.'!C$139*'Prod. GEXPSF'!W13</f>
        <v>149.35885798414029</v>
      </c>
      <c r="AD46" s="279">
        <f>'GEX PSF Covid'!C$134*'Prod. GEXPSF'!W12</f>
        <v>128.9600002166211</v>
      </c>
      <c r="AE46" s="280"/>
      <c r="ALD46" s="257"/>
      <c r="ALE46" s="257"/>
      <c r="ALF46" s="257"/>
      <c r="ALG46" s="257"/>
      <c r="ALH46" s="257"/>
      <c r="ALI46" s="257"/>
      <c r="ALJ46" s="257"/>
      <c r="ALK46" s="257"/>
      <c r="ALL46" s="257"/>
      <c r="ALM46" s="257"/>
      <c r="ALN46" s="257"/>
      <c r="ALO46" s="257"/>
    </row>
    <row r="47" spans="1:1003" x14ac:dyDescent="0.2">
      <c r="A47" s="243" t="s">
        <v>125</v>
      </c>
      <c r="B47" s="244" t="s">
        <v>436</v>
      </c>
      <c r="C47" s="244" t="s">
        <v>437</v>
      </c>
      <c r="D47" s="245">
        <f>MC!C98</f>
        <v>2.5000000000000001E-2</v>
      </c>
      <c r="E47" s="232">
        <f>'Prod. GEXPSF'!D14</f>
        <v>0</v>
      </c>
      <c r="F47" s="286">
        <f>'GEXPSF Limp. Ord.'!$F$149</f>
        <v>5.8491492026731873</v>
      </c>
      <c r="G47" s="273">
        <f>'Prod. GEXPSF'!E14</f>
        <v>600</v>
      </c>
      <c r="H47" s="286">
        <f>'GEXPSF Limp. Ord.'!$F$155</f>
        <v>6.5044318267548578</v>
      </c>
      <c r="I47" s="274">
        <f>'Prod. GEXPSF'!F14</f>
        <v>0</v>
      </c>
      <c r="J47" s="286">
        <f>'GEXPSF Limp. Ord.'!$F$161</f>
        <v>3.1195462414256996</v>
      </c>
      <c r="K47" s="274">
        <f>'Prod. GEXPSF'!G14</f>
        <v>0</v>
      </c>
      <c r="L47" s="286">
        <f>'GEXPSF Limp. Ord.'!$F$167</f>
        <v>4.6793193621385498</v>
      </c>
      <c r="M47" s="274">
        <f>'Prod. GEXPSF'!H14</f>
        <v>0</v>
      </c>
      <c r="N47" s="286">
        <f>'GEXPSF Limp. Ord.'!$F$173</f>
        <v>26.017727307019431</v>
      </c>
      <c r="O47" s="274">
        <f>'Prod. GEXPSF'!I14</f>
        <v>0</v>
      </c>
      <c r="P47" s="286">
        <f>'GEXPSF Limp. Ord.'!$F$179</f>
        <v>1.9497164008910626</v>
      </c>
      <c r="Q47" s="274">
        <f>'Prod. GEXPSF'!J14</f>
        <v>0</v>
      </c>
      <c r="R47" s="286">
        <f>'GEXPSF Limp. Ord.'!$F$182</f>
        <v>4.6793193621385502E-2</v>
      </c>
      <c r="S47" s="274">
        <f>'Prod. GEXPSF'!K14</f>
        <v>0</v>
      </c>
      <c r="T47" s="286">
        <f>'GEXPSF Limp. Ord.'!$F$185</f>
        <v>0.51992437357095</v>
      </c>
      <c r="U47" s="276">
        <f>'Prod. GEXPSF'!L14</f>
        <v>0</v>
      </c>
      <c r="V47" s="286">
        <f>'GEXPSF Limp. Ord.'!$F$191</f>
        <v>0.258530186615469</v>
      </c>
      <c r="W47" s="274">
        <f>'Prod. GEXPSF'!M14</f>
        <v>0</v>
      </c>
      <c r="X47" s="286">
        <f>'GEXPSF Limp. Ord.'!$F$194</f>
        <v>1.0437803196793589</v>
      </c>
      <c r="Y47" s="274">
        <f>'Prod. GEXPSF'!N14</f>
        <v>0</v>
      </c>
      <c r="Z47" s="286">
        <f>'GEXPSF Limp. Ord.'!$F$197</f>
        <v>1.0437803196793589</v>
      </c>
      <c r="AA47" s="267">
        <f t="shared" si="2"/>
        <v>3902.6590960529147</v>
      </c>
      <c r="AB47" s="268">
        <f>('GEX PSF Covid'!C$130*'Prod. GEXPSF'!T14)+('GEX PSF Covid'!D$130*'Prod. GEXPSF'!U14)</f>
        <v>0</v>
      </c>
      <c r="AC47" s="278">
        <f>'GEXPSF Limp. Ord.'!C$140*'Prod. GEXPSF'!W14</f>
        <v>150.20508380841301</v>
      </c>
      <c r="AD47" s="279">
        <f>'GEX PSF Covid'!C$135*'Prod. GEXPSF'!W13</f>
        <v>129.69065177592205</v>
      </c>
      <c r="AE47" s="280"/>
      <c r="ALD47" s="257"/>
      <c r="ALE47" s="257"/>
      <c r="ALF47" s="257"/>
      <c r="ALG47" s="257"/>
      <c r="ALH47" s="257"/>
      <c r="ALI47" s="257"/>
      <c r="ALJ47" s="257"/>
      <c r="ALK47" s="257"/>
      <c r="ALL47" s="257"/>
      <c r="ALM47" s="257"/>
      <c r="ALN47" s="257"/>
      <c r="ALO47" s="257"/>
    </row>
    <row r="48" spans="1:1003" x14ac:dyDescent="0.2">
      <c r="A48" s="243" t="s">
        <v>126</v>
      </c>
      <c r="B48" s="244" t="s">
        <v>438</v>
      </c>
      <c r="C48" s="244" t="s">
        <v>439</v>
      </c>
      <c r="D48" s="245">
        <f>MC!C99</f>
        <v>0.04</v>
      </c>
      <c r="E48" s="232">
        <f>'Prod. GEXPSF'!D15</f>
        <v>0</v>
      </c>
      <c r="F48" s="286">
        <f>'GEXPSF Limp. Ord.'!J$149</f>
        <v>5.9460355865567998</v>
      </c>
      <c r="G48" s="273">
        <f>'Prod. GEXPSF'!E15</f>
        <v>800</v>
      </c>
      <c r="H48" s="286">
        <f>'GEXPSF Limp. Ord.'!$J$155</f>
        <v>6.6126487459251848</v>
      </c>
      <c r="I48" s="274">
        <f>'Prod. GEXPSF'!F15</f>
        <v>0</v>
      </c>
      <c r="J48" s="286">
        <f>'GEXPSF Limp. Ord.'!$J$161</f>
        <v>3.1712189794969596</v>
      </c>
      <c r="K48" s="274">
        <f>'Prod. GEXPSF'!G15</f>
        <v>0</v>
      </c>
      <c r="L48" s="286">
        <f>'GEXPSF Limp. Ord.'!$J$167</f>
        <v>4.7568284692454395</v>
      </c>
      <c r="M48" s="274">
        <f>'Prod. GEXPSF'!H15</f>
        <v>0</v>
      </c>
      <c r="N48" s="286">
        <f>'GEXPSF Limp. Ord.'!$J$173</f>
        <v>26.450594983700739</v>
      </c>
      <c r="O48" s="274">
        <f>'Prod. GEXPSF'!I15</f>
        <v>0</v>
      </c>
      <c r="P48" s="286">
        <f>'GEXPSF Limp. Ord.'!$J$179</f>
        <v>1.9820118621856002</v>
      </c>
      <c r="Q48" s="274">
        <f>'Prod. GEXPSF'!J15</f>
        <v>0</v>
      </c>
      <c r="R48" s="286">
        <f>'GEXPSF Limp. Ord.'!$J$182</f>
        <v>4.7568284692454402E-2</v>
      </c>
      <c r="S48" s="274">
        <f>'Prod. GEXPSF'!K15</f>
        <v>0</v>
      </c>
      <c r="T48" s="286">
        <f>'GEXPSF Limp. Ord.'!$J$185</f>
        <v>0.52853649658282664</v>
      </c>
      <c r="U48" s="276">
        <f>'Prod. GEXPSF'!L15</f>
        <v>0</v>
      </c>
      <c r="V48" s="286">
        <f>'GEXPSF Limp. Ord.'!$J$191</f>
        <v>0.26217374091021445</v>
      </c>
      <c r="W48" s="274">
        <f>'Prod. GEXPSF'!M15</f>
        <v>0</v>
      </c>
      <c r="X48" s="286">
        <f>'GEXPSF Limp. Ord.'!$J$194</f>
        <v>1.0610696889941982</v>
      </c>
      <c r="Y48" s="274">
        <f>'Prod. GEXPSF'!N15</f>
        <v>0</v>
      </c>
      <c r="Z48" s="286">
        <f>'GEXPSF Limp. Ord.'!$J$197</f>
        <v>1.0610696889941982</v>
      </c>
      <c r="AA48" s="267">
        <f t="shared" si="2"/>
        <v>5290.1189967401478</v>
      </c>
      <c r="AB48" s="268">
        <f>('GEX PSF Covid'!C$132*'Prod. GEXPSF'!T15)+('GEX PSF Covid'!D$132*'Prod. GEXPSF'!U15)</f>
        <v>0</v>
      </c>
      <c r="AC48" s="278">
        <f>'GEXPSF Limp. Ord.'!C$142*'Prod. GEXPSF'!W15</f>
        <v>152.80228986850085</v>
      </c>
      <c r="AD48" s="279">
        <f>'GEX PSF Covid'!C$137*'Prod. GEXPSF'!W14</f>
        <v>131.93314143198984</v>
      </c>
      <c r="AE48" s="280"/>
      <c r="ALD48" s="257"/>
      <c r="ALE48" s="257"/>
      <c r="ALF48" s="257"/>
      <c r="ALG48" s="257"/>
      <c r="ALH48" s="257"/>
      <c r="ALI48" s="257"/>
      <c r="ALJ48" s="257"/>
      <c r="ALK48" s="257"/>
      <c r="ALL48" s="257"/>
      <c r="ALM48" s="257"/>
      <c r="ALN48" s="257"/>
      <c r="ALO48" s="257"/>
    </row>
    <row r="49" spans="1:1003" x14ac:dyDescent="0.2">
      <c r="A49" s="243" t="s">
        <v>127</v>
      </c>
      <c r="B49" s="244" t="s">
        <v>440</v>
      </c>
      <c r="C49" s="244" t="s">
        <v>441</v>
      </c>
      <c r="D49" s="245">
        <f>MC!C100</f>
        <v>0.04</v>
      </c>
      <c r="E49" s="232">
        <f>'Prod. GEXPSF'!D16</f>
        <v>0</v>
      </c>
      <c r="F49" s="286">
        <f>'GEXPSF Limp. Ord.'!J$149</f>
        <v>5.9460355865567998</v>
      </c>
      <c r="G49" s="273">
        <f>'Prod. GEXPSF'!E16</f>
        <v>800</v>
      </c>
      <c r="H49" s="286">
        <f>'GEXPSF Limp. Ord.'!$J$155</f>
        <v>6.6126487459251848</v>
      </c>
      <c r="I49" s="274">
        <f>'Prod. GEXPSF'!F16</f>
        <v>0</v>
      </c>
      <c r="J49" s="286">
        <f>'GEXPSF Limp. Ord.'!$J$161</f>
        <v>3.1712189794969596</v>
      </c>
      <c r="K49" s="274">
        <f>'Prod. GEXPSF'!G16</f>
        <v>0</v>
      </c>
      <c r="L49" s="286">
        <f>'GEXPSF Limp. Ord.'!$J$167</f>
        <v>4.7568284692454395</v>
      </c>
      <c r="M49" s="274">
        <f>'Prod. GEXPSF'!H16</f>
        <v>0</v>
      </c>
      <c r="N49" s="286">
        <f>'GEXPSF Limp. Ord.'!$J$173</f>
        <v>26.450594983700739</v>
      </c>
      <c r="O49" s="274">
        <f>'Prod. GEXPSF'!I16</f>
        <v>0</v>
      </c>
      <c r="P49" s="286">
        <f>'GEXPSF Limp. Ord.'!$J$179</f>
        <v>1.9820118621856002</v>
      </c>
      <c r="Q49" s="274">
        <f>'Prod. GEXPSF'!J16</f>
        <v>0</v>
      </c>
      <c r="R49" s="286">
        <f>'GEXPSF Limp. Ord.'!$J$182</f>
        <v>4.7568284692454402E-2</v>
      </c>
      <c r="S49" s="274">
        <f>'Prod. GEXPSF'!K16</f>
        <v>0</v>
      </c>
      <c r="T49" s="286">
        <f>'GEXPSF Limp. Ord.'!$J$185</f>
        <v>0.52853649658282664</v>
      </c>
      <c r="U49" s="276">
        <f>'Prod. GEXPSF'!L16</f>
        <v>0</v>
      </c>
      <c r="V49" s="286">
        <f>'GEXPSF Limp. Ord.'!$J$191</f>
        <v>0.26217374091021445</v>
      </c>
      <c r="W49" s="274">
        <f>'Prod. GEXPSF'!M16</f>
        <v>0</v>
      </c>
      <c r="X49" s="286">
        <f>'GEXPSF Limp. Ord.'!$J$194</f>
        <v>1.0610696889941982</v>
      </c>
      <c r="Y49" s="274">
        <f>'Prod. GEXPSF'!N16</f>
        <v>0</v>
      </c>
      <c r="Z49" s="286">
        <f>'GEXPSF Limp. Ord.'!$J$197</f>
        <v>1.0610696889941982</v>
      </c>
      <c r="AA49" s="267">
        <f t="shared" si="2"/>
        <v>5290.1189967401478</v>
      </c>
      <c r="AB49" s="268">
        <f>('GEX PSF Covid'!C$132*'Prod. GEXPSF'!T16)+('GEX PSF Covid'!D$132*'Prod. GEXPSF'!U16)</f>
        <v>0</v>
      </c>
      <c r="AC49" s="278">
        <f>'GEXPSF Limp. Ord.'!C$142*'Prod. GEXPSF'!W16</f>
        <v>152.80228986850085</v>
      </c>
      <c r="AD49" s="279">
        <f>'GEX PSF Covid'!C$137*'Prod. GEXPSF'!W15</f>
        <v>131.93314143198984</v>
      </c>
      <c r="AE49" s="280"/>
      <c r="ALD49" s="257"/>
      <c r="ALE49" s="257"/>
      <c r="ALF49" s="257"/>
      <c r="ALG49" s="257"/>
      <c r="ALH49" s="257"/>
      <c r="ALI49" s="257"/>
      <c r="ALJ49" s="257"/>
      <c r="ALK49" s="257"/>
      <c r="ALL49" s="257"/>
      <c r="ALM49" s="257"/>
      <c r="ALN49" s="257"/>
      <c r="ALO49" s="257"/>
    </row>
    <row r="50" spans="1:1003" x14ac:dyDescent="0.2">
      <c r="A50" s="727"/>
      <c r="B50" s="727"/>
      <c r="C50" s="727"/>
      <c r="D50" s="727"/>
      <c r="E50" s="249">
        <f>SUM(E37:E49)</f>
        <v>863.09000000000015</v>
      </c>
      <c r="F50" s="250"/>
      <c r="G50" s="283">
        <f>SUM(G37:G49)</f>
        <v>8412.24</v>
      </c>
      <c r="H50" s="250"/>
      <c r="I50" s="283">
        <f>SUM(I37:I49)</f>
        <v>4994.3150000000005</v>
      </c>
      <c r="J50" s="252"/>
      <c r="K50" s="283">
        <f>SUM(K37:K49)</f>
        <v>1099.875</v>
      </c>
      <c r="L50" s="252"/>
      <c r="M50" s="283">
        <f>SUM(M37:M49)</f>
        <v>346.93999999999994</v>
      </c>
      <c r="N50" s="252"/>
      <c r="O50" s="283">
        <f>SUM(O37:O49)</f>
        <v>3294.54</v>
      </c>
      <c r="P50" s="284"/>
      <c r="Q50" s="283">
        <f>SUM(Q37:Q49)</f>
        <v>0</v>
      </c>
      <c r="R50" s="252"/>
      <c r="S50" s="283">
        <f>SUM(S37:S49)</f>
        <v>0</v>
      </c>
      <c r="T50" s="252"/>
      <c r="U50" s="283">
        <f>SUM(U37:U49)</f>
        <v>0</v>
      </c>
      <c r="V50" s="252"/>
      <c r="W50" s="283">
        <f>SUM(W37:W49)</f>
        <v>2038.67</v>
      </c>
      <c r="X50" s="252"/>
      <c r="Y50" s="285">
        <f>SUM(Y37:Y49)</f>
        <v>2038.67</v>
      </c>
      <c r="Z50" s="252"/>
      <c r="AA50" s="252">
        <f>SUM(AA37:AA49)</f>
        <v>100524.00060667707</v>
      </c>
      <c r="AB50" s="256">
        <f>SUM(AB37:AB49)</f>
        <v>30695.668884514933</v>
      </c>
      <c r="AC50" s="254">
        <f>SUM(AC37:AC49)</f>
        <v>1957.9087196252301</v>
      </c>
      <c r="AD50" s="256">
        <f>SUM(AD37:AD49)</f>
        <v>1690.505084966604</v>
      </c>
      <c r="AE50" s="252">
        <f>SUM(AE37:AE49)</f>
        <v>4043.6000000000004</v>
      </c>
      <c r="ALD50" s="257"/>
      <c r="ALE50" s="257"/>
      <c r="ALF50" s="257"/>
      <c r="ALG50" s="257"/>
      <c r="ALH50" s="257"/>
      <c r="ALI50" s="257"/>
      <c r="ALJ50" s="257"/>
      <c r="ALK50" s="257"/>
      <c r="ALL50" s="257"/>
      <c r="ALM50" s="257"/>
      <c r="ALN50" s="257"/>
      <c r="ALO50" s="257"/>
    </row>
    <row r="51" spans="1:1003" ht="15" x14ac:dyDescent="0.25">
      <c r="A51" s="287"/>
      <c r="B51" s="287"/>
      <c r="C51" s="287"/>
      <c r="D51" s="287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9"/>
      <c r="AB51" s="289"/>
      <c r="AC51" s="289"/>
      <c r="AD51" s="289"/>
      <c r="AE51" s="290"/>
      <c r="ALG51" s="290"/>
      <c r="ALH51" s="290"/>
      <c r="ALI51" s="290"/>
      <c r="ALJ51" s="290"/>
      <c r="ALK51" s="290"/>
      <c r="ALL51" s="290"/>
      <c r="ALM51" s="290"/>
      <c r="ALN51" s="290"/>
      <c r="ALO51" s="290"/>
    </row>
    <row r="52" spans="1:1003" ht="15" x14ac:dyDescent="0.2">
      <c r="A52" s="728" t="s">
        <v>442</v>
      </c>
      <c r="B52" s="728"/>
      <c r="C52" s="728"/>
      <c r="D52" s="728"/>
      <c r="E52" s="728"/>
      <c r="F52" s="728"/>
      <c r="G52" s="728"/>
      <c r="H52" s="728"/>
      <c r="I52" s="728"/>
      <c r="J52" s="728"/>
      <c r="K52" s="728"/>
      <c r="L52" s="728"/>
      <c r="M52" s="728"/>
      <c r="N52" s="728"/>
      <c r="O52" s="728"/>
      <c r="P52" s="728"/>
      <c r="Q52" s="728"/>
      <c r="R52" s="728"/>
      <c r="S52" s="728"/>
      <c r="T52" s="728"/>
      <c r="U52" s="728"/>
      <c r="V52" s="728"/>
      <c r="W52" s="728"/>
      <c r="X52" s="728"/>
      <c r="Y52" s="728"/>
      <c r="Z52" s="728"/>
      <c r="AA52" s="291">
        <f>ROUND(AA18+AA36+AA50,2)</f>
        <v>298341.53000000003</v>
      </c>
      <c r="AB52" s="291">
        <f>ROUND(AB18+AB36+AB50,2)</f>
        <v>112860.12</v>
      </c>
      <c r="AC52" s="291">
        <f>ROUND(AC18+AC36+AC50,2)</f>
        <v>6347.29</v>
      </c>
      <c r="AD52" s="291">
        <f>ROUND(AD18+AD36+AD50,2)</f>
        <v>6338.08</v>
      </c>
      <c r="AE52" s="291">
        <f>ROUND(AE18+AE36+AE50,2)</f>
        <v>12130.8</v>
      </c>
    </row>
    <row r="53" spans="1:1003" ht="15" x14ac:dyDescent="0.2">
      <c r="A53" s="292"/>
      <c r="B53" s="292"/>
      <c r="C53" s="292"/>
      <c r="D53" s="292"/>
      <c r="E53" s="293"/>
      <c r="F53" s="294"/>
      <c r="G53" s="294"/>
      <c r="H53" s="294"/>
      <c r="I53" s="293"/>
      <c r="J53" s="293"/>
      <c r="K53" s="291"/>
      <c r="L53" s="291"/>
      <c r="M53" s="291"/>
      <c r="N53" s="291"/>
      <c r="O53" s="291"/>
      <c r="P53" s="291"/>
      <c r="Q53" s="291"/>
      <c r="R53" s="295"/>
      <c r="S53" s="296"/>
      <c r="T53" s="293"/>
      <c r="U53" s="294"/>
      <c r="V53" s="293"/>
      <c r="W53" s="293"/>
      <c r="X53" s="291"/>
      <c r="Y53" s="291"/>
      <c r="Z53" s="291"/>
      <c r="AA53" s="291"/>
      <c r="AB53" s="291"/>
      <c r="AC53" s="293"/>
      <c r="AD53" s="291"/>
      <c r="AE53" s="291"/>
    </row>
    <row r="54" spans="1:1003" x14ac:dyDescent="0.2">
      <c r="A54" s="297"/>
      <c r="B54" s="297"/>
      <c r="C54" s="297"/>
      <c r="D54" s="297"/>
      <c r="E54" s="298"/>
      <c r="F54" s="298"/>
      <c r="G54" s="298"/>
      <c r="H54" s="298"/>
      <c r="I54" s="298"/>
      <c r="J54" s="298"/>
      <c r="K54" s="299"/>
      <c r="L54" s="299"/>
      <c r="M54" s="299"/>
      <c r="N54" s="299"/>
      <c r="O54" s="299"/>
      <c r="P54" s="298"/>
      <c r="Q54" s="298"/>
      <c r="R54" s="298"/>
      <c r="S54" s="299"/>
      <c r="T54" s="299"/>
      <c r="U54" s="298"/>
      <c r="V54" s="298"/>
      <c r="W54" s="298"/>
      <c r="X54" s="299"/>
      <c r="Y54" s="299"/>
      <c r="Z54" s="299"/>
      <c r="AA54" s="299"/>
      <c r="AB54" s="299"/>
      <c r="AC54" s="298"/>
      <c r="AD54" s="729" t="s">
        <v>59</v>
      </c>
      <c r="AE54" s="295">
        <f>AA52+AB52+AC52+AD52+AE52</f>
        <v>436017.82</v>
      </c>
    </row>
    <row r="55" spans="1:1003" x14ac:dyDescent="0.2">
      <c r="A55" s="300"/>
      <c r="B55" s="300"/>
      <c r="C55" s="300"/>
      <c r="D55" s="300"/>
      <c r="E55" s="301"/>
      <c r="F55" s="301"/>
      <c r="G55" s="301"/>
      <c r="H55" s="301"/>
      <c r="I55" s="301"/>
      <c r="J55" s="301"/>
      <c r="K55" s="302"/>
      <c r="L55" s="302"/>
      <c r="M55" s="302"/>
      <c r="N55" s="302"/>
      <c r="O55" s="302"/>
      <c r="P55" s="301"/>
      <c r="Q55" s="301"/>
      <c r="R55" s="301"/>
      <c r="S55" s="302"/>
      <c r="T55" s="302"/>
      <c r="U55" s="301"/>
      <c r="V55" s="301"/>
      <c r="W55" s="301"/>
      <c r="X55" s="302"/>
      <c r="Y55" s="302"/>
      <c r="Z55" s="302"/>
      <c r="AA55" s="302"/>
      <c r="AB55" s="302"/>
      <c r="AC55" s="301"/>
      <c r="AD55" s="729"/>
      <c r="AE55" s="295">
        <f>AE54*12</f>
        <v>5232213.84</v>
      </c>
    </row>
    <row r="56" spans="1:1003" x14ac:dyDescent="0.2">
      <c r="E56" s="303" t="s">
        <v>443</v>
      </c>
    </row>
  </sheetData>
  <mergeCells count="26">
    <mergeCell ref="A18:D18"/>
    <mergeCell ref="A36:D36"/>
    <mergeCell ref="A50:D50"/>
    <mergeCell ref="A52:Z52"/>
    <mergeCell ref="AD54:AD55"/>
    <mergeCell ref="AA3:AA4"/>
    <mergeCell ref="AB3:AB4"/>
    <mergeCell ref="AC3:AC4"/>
    <mergeCell ref="AD3:AD4"/>
    <mergeCell ref="AE3:AE4"/>
    <mergeCell ref="E2:N2"/>
    <mergeCell ref="O2:T2"/>
    <mergeCell ref="U2:Z2"/>
    <mergeCell ref="A3:C5"/>
    <mergeCell ref="D3:D5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LX176"/>
  <sheetViews>
    <sheetView zoomScale="75" zoomScaleNormal="75" workbookViewId="0">
      <pane xSplit="1" topLeftCell="G1" activePane="topRight" state="frozen"/>
      <selection pane="topRight" activeCell="U12" sqref="U12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1012" width="10.625" customWidth="1"/>
    <col min="1013" max="1025" width="10.5" customWidth="1"/>
  </cols>
  <sheetData>
    <row r="1" spans="1:1012" ht="15" customHeight="1" x14ac:dyDescent="0.2">
      <c r="A1" s="287"/>
      <c r="B1" s="287"/>
      <c r="C1" s="730" t="s">
        <v>335</v>
      </c>
      <c r="D1" s="730"/>
      <c r="E1" s="730"/>
      <c r="F1" s="730"/>
      <c r="G1" s="730"/>
      <c r="H1" s="730"/>
      <c r="I1" s="731" t="s">
        <v>336</v>
      </c>
      <c r="J1" s="731"/>
      <c r="K1" s="731"/>
      <c r="L1" s="732" t="s">
        <v>337</v>
      </c>
      <c r="M1" s="732"/>
      <c r="N1" s="732"/>
      <c r="O1" s="287"/>
      <c r="P1" s="287"/>
      <c r="Q1" s="287"/>
      <c r="R1" s="287"/>
      <c r="S1" s="287"/>
      <c r="T1" s="287"/>
      <c r="U1" s="287"/>
      <c r="V1" s="733"/>
      <c r="W1" s="733"/>
      <c r="X1" s="733"/>
      <c r="Y1" s="287"/>
    </row>
    <row r="2" spans="1:1012" ht="73.7" customHeight="1" x14ac:dyDescent="0.2">
      <c r="A2" s="734" t="s">
        <v>343</v>
      </c>
      <c r="B2" s="734" t="s">
        <v>344</v>
      </c>
      <c r="C2" s="735" t="s">
        <v>444</v>
      </c>
      <c r="D2" s="716" t="s">
        <v>345</v>
      </c>
      <c r="E2" s="716" t="s">
        <v>346</v>
      </c>
      <c r="F2" s="717" t="s">
        <v>347</v>
      </c>
      <c r="G2" s="715" t="s">
        <v>348</v>
      </c>
      <c r="H2" s="736" t="s">
        <v>445</v>
      </c>
      <c r="I2" s="737" t="s">
        <v>350</v>
      </c>
      <c r="J2" s="718" t="s">
        <v>446</v>
      </c>
      <c r="K2" s="738" t="s">
        <v>352</v>
      </c>
      <c r="L2" s="739" t="s">
        <v>353</v>
      </c>
      <c r="M2" s="720" t="s">
        <v>354</v>
      </c>
      <c r="N2" s="740" t="s">
        <v>355</v>
      </c>
      <c r="O2" s="741" t="s">
        <v>447</v>
      </c>
      <c r="P2" s="742" t="s">
        <v>448</v>
      </c>
      <c r="Q2" s="742"/>
      <c r="R2" s="742"/>
      <c r="S2" s="742"/>
      <c r="T2" s="743" t="s">
        <v>449</v>
      </c>
      <c r="U2" s="743"/>
      <c r="V2" s="304" t="s">
        <v>450</v>
      </c>
      <c r="W2" s="305" t="s">
        <v>451</v>
      </c>
      <c r="X2" s="306" t="s">
        <v>452</v>
      </c>
      <c r="Y2" s="307" t="s">
        <v>453</v>
      </c>
    </row>
    <row r="3" spans="1:1012" x14ac:dyDescent="0.2">
      <c r="A3" s="734"/>
      <c r="B3" s="734"/>
      <c r="C3" s="734"/>
      <c r="D3" s="716"/>
      <c r="E3" s="716"/>
      <c r="F3" s="717"/>
      <c r="G3" s="715"/>
      <c r="H3" s="736"/>
      <c r="I3" s="737"/>
      <c r="J3" s="718"/>
      <c r="K3" s="738"/>
      <c r="L3" s="739"/>
      <c r="M3" s="720"/>
      <c r="N3" s="740"/>
      <c r="O3" s="741"/>
      <c r="P3" s="308" t="s">
        <v>454</v>
      </c>
      <c r="Q3" s="308" t="s">
        <v>455</v>
      </c>
      <c r="R3" s="308" t="s">
        <v>456</v>
      </c>
      <c r="S3" s="309" t="s">
        <v>457</v>
      </c>
      <c r="T3" s="310" t="s">
        <v>458</v>
      </c>
      <c r="U3" s="310" t="s">
        <v>459</v>
      </c>
      <c r="V3" s="311" t="s">
        <v>460</v>
      </c>
      <c r="W3" s="312" t="s">
        <v>460</v>
      </c>
      <c r="X3" s="313" t="s">
        <v>461</v>
      </c>
      <c r="Y3" s="307" t="s">
        <v>458</v>
      </c>
    </row>
    <row r="4" spans="1:1012" x14ac:dyDescent="0.2">
      <c r="A4" s="314" t="s">
        <v>82</v>
      </c>
      <c r="B4" s="315">
        <f>'Resumo Proposta'!D6</f>
        <v>0.04</v>
      </c>
      <c r="C4" s="316"/>
      <c r="D4" s="317"/>
      <c r="E4" s="317">
        <f t="shared" ref="E4:E14" si="0">$E$17*(1-H4/$H$17)</f>
        <v>800</v>
      </c>
      <c r="F4" s="318"/>
      <c r="G4" s="319"/>
      <c r="H4" s="318"/>
      <c r="I4" s="319"/>
      <c r="J4" s="318"/>
      <c r="K4" s="318"/>
      <c r="L4" s="318"/>
      <c r="M4" s="319"/>
      <c r="N4" s="320"/>
      <c r="O4" s="321">
        <f t="shared" ref="O4:O15" si="1">D4/$D$17+E4/$E$17+F4/$F$17+G4/$G$17+H4/$H$17+I4/$I$17+J4/$J$17+K4/$K$17+M4/$M$17*16*1/188.76+N4/$N$17*16*1/188.76</f>
        <v>1</v>
      </c>
      <c r="P4" s="321">
        <v>1</v>
      </c>
      <c r="Q4" s="321"/>
      <c r="R4" s="321"/>
      <c r="S4" s="321"/>
      <c r="T4" s="322"/>
      <c r="U4" s="322"/>
      <c r="V4" s="323">
        <v>6</v>
      </c>
      <c r="W4" s="324">
        <v>6</v>
      </c>
      <c r="X4" s="325">
        <v>22</v>
      </c>
      <c r="Y4" s="326">
        <v>1</v>
      </c>
    </row>
    <row r="5" spans="1:1012" x14ac:dyDescent="0.2">
      <c r="A5" s="327" t="s">
        <v>84</v>
      </c>
      <c r="B5" s="315">
        <f>'Resumo Proposta'!D7</f>
        <v>0.03</v>
      </c>
      <c r="C5" s="328">
        <v>1198.53</v>
      </c>
      <c r="D5" s="317">
        <f>C5-E5-F5-G5-H5</f>
        <v>301.46999999999997</v>
      </c>
      <c r="E5" s="317">
        <f t="shared" si="0"/>
        <v>646.72</v>
      </c>
      <c r="F5" s="329"/>
      <c r="G5" s="330">
        <v>202.44</v>
      </c>
      <c r="H5" s="329">
        <v>47.9</v>
      </c>
      <c r="I5" s="330">
        <v>224.13</v>
      </c>
      <c r="J5" s="329"/>
      <c r="K5" s="329"/>
      <c r="L5" s="329">
        <v>291.08</v>
      </c>
      <c r="M5" s="330">
        <v>291.08</v>
      </c>
      <c r="N5" s="331">
        <v>291.08</v>
      </c>
      <c r="O5" s="321">
        <f t="shared" si="1"/>
        <v>1.7313075207671116</v>
      </c>
      <c r="P5" s="332">
        <v>1</v>
      </c>
      <c r="Q5" s="333">
        <v>1</v>
      </c>
      <c r="R5" s="333"/>
      <c r="S5" s="333"/>
      <c r="T5" s="334">
        <v>2</v>
      </c>
      <c r="U5" s="334"/>
      <c r="V5" s="335">
        <v>6</v>
      </c>
      <c r="W5" s="336">
        <v>6</v>
      </c>
      <c r="X5" s="337"/>
      <c r="Y5" s="338"/>
    </row>
    <row r="6" spans="1:1012" x14ac:dyDescent="0.2">
      <c r="A6" s="327" t="s">
        <v>86</v>
      </c>
      <c r="B6" s="315">
        <f>'Resumo Proposta'!D8</f>
        <v>0.03</v>
      </c>
      <c r="C6" s="328"/>
      <c r="D6" s="317"/>
      <c r="E6" s="317">
        <f t="shared" si="0"/>
        <v>800</v>
      </c>
      <c r="F6" s="329"/>
      <c r="G6" s="330"/>
      <c r="H6" s="329"/>
      <c r="I6" s="330"/>
      <c r="J6" s="329"/>
      <c r="K6" s="329"/>
      <c r="L6" s="329"/>
      <c r="M6" s="330"/>
      <c r="N6" s="331"/>
      <c r="O6" s="321">
        <f t="shared" si="1"/>
        <v>1</v>
      </c>
      <c r="P6" s="332">
        <v>1</v>
      </c>
      <c r="Q6" s="333"/>
      <c r="R6" s="333"/>
      <c r="S6" s="333"/>
      <c r="T6" s="334"/>
      <c r="U6" s="334">
        <v>1</v>
      </c>
      <c r="V6" s="335">
        <v>6</v>
      </c>
      <c r="W6" s="336">
        <v>6</v>
      </c>
      <c r="X6" s="339"/>
      <c r="Y6" s="338"/>
    </row>
    <row r="7" spans="1:1012" x14ac:dyDescent="0.2">
      <c r="A7" s="327" t="s">
        <v>89</v>
      </c>
      <c r="B7" s="315">
        <f>'Resumo Proposta'!D9</f>
        <v>0.04</v>
      </c>
      <c r="C7" s="328">
        <v>1350.8</v>
      </c>
      <c r="D7" s="317">
        <f>C7-E7-F7-G7-H7</f>
        <v>538.51</v>
      </c>
      <c r="E7" s="317">
        <f t="shared" si="0"/>
        <v>671.19999999999993</v>
      </c>
      <c r="F7" s="329"/>
      <c r="G7" s="330">
        <v>100.84</v>
      </c>
      <c r="H7" s="329">
        <f>15.82+24.43</f>
        <v>40.25</v>
      </c>
      <c r="I7" s="330">
        <v>1060.3</v>
      </c>
      <c r="J7" s="329"/>
      <c r="K7" s="329"/>
      <c r="L7" s="329"/>
      <c r="M7" s="330">
        <v>146.43</v>
      </c>
      <c r="N7" s="331">
        <v>146.43</v>
      </c>
      <c r="O7" s="321">
        <f t="shared" si="1"/>
        <v>2.2298102281649768</v>
      </c>
      <c r="P7" s="321">
        <v>1</v>
      </c>
      <c r="Q7" s="321">
        <v>1</v>
      </c>
      <c r="R7" s="321"/>
      <c r="S7" s="321"/>
      <c r="T7" s="322">
        <v>4</v>
      </c>
      <c r="U7" s="322"/>
      <c r="V7" s="335">
        <v>6</v>
      </c>
      <c r="W7" s="336">
        <v>6</v>
      </c>
      <c r="X7" s="339"/>
      <c r="Y7" s="338"/>
    </row>
    <row r="8" spans="1:1012" x14ac:dyDescent="0.2">
      <c r="A8" s="327" t="s">
        <v>91</v>
      </c>
      <c r="B8" s="315">
        <f>'Resumo Proposta'!D10</f>
        <v>0.02</v>
      </c>
      <c r="C8" s="328"/>
      <c r="D8" s="317"/>
      <c r="E8" s="317">
        <f t="shared" si="0"/>
        <v>800</v>
      </c>
      <c r="F8" s="329"/>
      <c r="G8" s="330"/>
      <c r="H8" s="329"/>
      <c r="I8" s="330"/>
      <c r="J8" s="329"/>
      <c r="K8" s="329"/>
      <c r="L8" s="329"/>
      <c r="M8" s="330"/>
      <c r="N8" s="331"/>
      <c r="O8" s="321">
        <f t="shared" si="1"/>
        <v>1</v>
      </c>
      <c r="P8" s="332">
        <v>1</v>
      </c>
      <c r="Q8" s="333"/>
      <c r="R8" s="333"/>
      <c r="S8" s="333"/>
      <c r="T8" s="334"/>
      <c r="U8" s="334">
        <v>1</v>
      </c>
      <c r="V8" s="335">
        <v>6</v>
      </c>
      <c r="W8" s="336">
        <v>36</v>
      </c>
      <c r="X8" s="339"/>
      <c r="Y8" s="338"/>
    </row>
    <row r="9" spans="1:1012" x14ac:dyDescent="0.2">
      <c r="A9" s="327" t="s">
        <v>93</v>
      </c>
      <c r="B9" s="315">
        <f>'Resumo Proposta'!D11</f>
        <v>0.03</v>
      </c>
      <c r="C9" s="328"/>
      <c r="D9" s="317"/>
      <c r="E9" s="317">
        <f t="shared" si="0"/>
        <v>800</v>
      </c>
      <c r="F9" s="329"/>
      <c r="G9" s="330"/>
      <c r="H9" s="329"/>
      <c r="I9" s="330"/>
      <c r="J9" s="330"/>
      <c r="K9" s="329"/>
      <c r="L9" s="329"/>
      <c r="M9" s="330"/>
      <c r="N9" s="331"/>
      <c r="O9" s="321">
        <f t="shared" si="1"/>
        <v>1</v>
      </c>
      <c r="P9" s="332">
        <v>1</v>
      </c>
      <c r="Q9" s="333"/>
      <c r="R9" s="333"/>
      <c r="S9" s="333"/>
      <c r="T9" s="334"/>
      <c r="U9" s="334">
        <v>1</v>
      </c>
      <c r="V9" s="335">
        <v>6</v>
      </c>
      <c r="W9" s="336">
        <v>16</v>
      </c>
      <c r="X9" s="339"/>
      <c r="Y9" s="338"/>
    </row>
    <row r="10" spans="1:1012" x14ac:dyDescent="0.2">
      <c r="A10" s="327" t="s">
        <v>95</v>
      </c>
      <c r="B10" s="315">
        <f>'Resumo Proposta'!D12</f>
        <v>0.03</v>
      </c>
      <c r="C10" s="328">
        <v>2242.85</v>
      </c>
      <c r="D10" s="317">
        <f>C10-E10-F10-G10-H10</f>
        <v>-54.418000000000063</v>
      </c>
      <c r="E10" s="317">
        <f t="shared" si="0"/>
        <v>715.80799999999999</v>
      </c>
      <c r="F10" s="329">
        <v>734.88</v>
      </c>
      <c r="G10" s="330">
        <v>820.27</v>
      </c>
      <c r="H10" s="329">
        <f>16.88+9.43</f>
        <v>26.31</v>
      </c>
      <c r="I10" s="330"/>
      <c r="J10" s="330">
        <v>165.47</v>
      </c>
      <c r="K10" s="329"/>
      <c r="L10" s="329"/>
      <c r="M10" s="330">
        <v>158.44999999999999</v>
      </c>
      <c r="N10" s="331">
        <v>158.44999999999999</v>
      </c>
      <c r="O10" s="321">
        <f t="shared" si="1"/>
        <v>2.0410873488384023</v>
      </c>
      <c r="P10" s="321">
        <v>1</v>
      </c>
      <c r="Q10" s="321">
        <v>1</v>
      </c>
      <c r="R10" s="321"/>
      <c r="S10" s="321"/>
      <c r="T10" s="322">
        <v>1</v>
      </c>
      <c r="U10" s="322"/>
      <c r="V10" s="335">
        <v>6</v>
      </c>
      <c r="W10" s="336">
        <v>6</v>
      </c>
      <c r="X10" s="339"/>
      <c r="Y10" s="338"/>
    </row>
    <row r="11" spans="1:1012" x14ac:dyDescent="0.2">
      <c r="A11" s="327" t="s">
        <v>97</v>
      </c>
      <c r="B11" s="315">
        <f>'Resumo Proposta'!D13</f>
        <v>0.03</v>
      </c>
      <c r="C11" s="328"/>
      <c r="D11" s="317"/>
      <c r="E11" s="317">
        <f t="shared" si="0"/>
        <v>800</v>
      </c>
      <c r="F11" s="329"/>
      <c r="G11" s="330"/>
      <c r="H11" s="329"/>
      <c r="I11" s="330"/>
      <c r="J11" s="330"/>
      <c r="K11" s="329"/>
      <c r="L11" s="329"/>
      <c r="M11" s="330"/>
      <c r="N11" s="331"/>
      <c r="O11" s="321">
        <f t="shared" si="1"/>
        <v>1</v>
      </c>
      <c r="P11" s="332">
        <v>1</v>
      </c>
      <c r="Q11" s="333"/>
      <c r="R11" s="333"/>
      <c r="S11" s="333"/>
      <c r="T11" s="334"/>
      <c r="U11" s="334"/>
      <c r="V11" s="335">
        <v>6</v>
      </c>
      <c r="W11" s="336">
        <v>6</v>
      </c>
      <c r="X11" s="339"/>
      <c r="Y11" s="338"/>
    </row>
    <row r="12" spans="1:1012" x14ac:dyDescent="0.2">
      <c r="A12" s="327" t="s">
        <v>99</v>
      </c>
      <c r="B12" s="315">
        <f>'Resumo Proposta'!D14</f>
        <v>0.03</v>
      </c>
      <c r="C12" s="328"/>
      <c r="D12" s="317"/>
      <c r="E12" s="317">
        <f t="shared" si="0"/>
        <v>800</v>
      </c>
      <c r="F12" s="329"/>
      <c r="G12" s="330"/>
      <c r="H12" s="329"/>
      <c r="I12" s="330"/>
      <c r="J12" s="329"/>
      <c r="K12" s="329"/>
      <c r="L12" s="329"/>
      <c r="M12" s="330"/>
      <c r="N12" s="331"/>
      <c r="O12" s="321">
        <f t="shared" si="1"/>
        <v>1</v>
      </c>
      <c r="P12" s="332">
        <v>1</v>
      </c>
      <c r="Q12" s="333"/>
      <c r="R12" s="333"/>
      <c r="S12" s="333"/>
      <c r="T12" s="334"/>
      <c r="U12" s="334">
        <v>1</v>
      </c>
      <c r="V12" s="335">
        <v>6</v>
      </c>
      <c r="W12" s="336">
        <v>6</v>
      </c>
      <c r="X12" s="339"/>
      <c r="Y12" s="338"/>
    </row>
    <row r="13" spans="1:1012" x14ac:dyDescent="0.2">
      <c r="A13" s="327" t="s">
        <v>101</v>
      </c>
      <c r="B13" s="315">
        <f>'Resumo Proposta'!D15</f>
        <v>0.03</v>
      </c>
      <c r="C13" s="328"/>
      <c r="D13" s="317"/>
      <c r="E13" s="317">
        <f t="shared" si="0"/>
        <v>800</v>
      </c>
      <c r="F13" s="329"/>
      <c r="G13" s="330"/>
      <c r="H13" s="329"/>
      <c r="I13" s="330"/>
      <c r="J13" s="329"/>
      <c r="K13" s="329"/>
      <c r="L13" s="329"/>
      <c r="M13" s="330"/>
      <c r="N13" s="331"/>
      <c r="O13" s="321">
        <f t="shared" si="1"/>
        <v>1</v>
      </c>
      <c r="P13" s="321">
        <v>1</v>
      </c>
      <c r="Q13" s="321"/>
      <c r="R13" s="321"/>
      <c r="S13" s="321"/>
      <c r="T13" s="322"/>
      <c r="U13" s="322"/>
      <c r="V13" s="335">
        <v>6</v>
      </c>
      <c r="W13" s="336">
        <v>6</v>
      </c>
      <c r="X13" s="339"/>
      <c r="Y13" s="338"/>
    </row>
    <row r="14" spans="1:1012" x14ac:dyDescent="0.2">
      <c r="A14" s="327" t="s">
        <v>103</v>
      </c>
      <c r="B14" s="315">
        <f>'Resumo Proposta'!D16</f>
        <v>0.02</v>
      </c>
      <c r="C14" s="328"/>
      <c r="D14" s="317"/>
      <c r="E14" s="317">
        <f t="shared" si="0"/>
        <v>800</v>
      </c>
      <c r="F14" s="329"/>
      <c r="G14" s="330"/>
      <c r="H14" s="329"/>
      <c r="I14" s="330"/>
      <c r="J14" s="329"/>
      <c r="K14" s="329"/>
      <c r="L14" s="329"/>
      <c r="M14" s="330"/>
      <c r="N14" s="331"/>
      <c r="O14" s="321">
        <f t="shared" si="1"/>
        <v>1</v>
      </c>
      <c r="P14" s="332">
        <v>1</v>
      </c>
      <c r="Q14" s="333"/>
      <c r="R14" s="333"/>
      <c r="S14" s="333"/>
      <c r="T14" s="334"/>
      <c r="U14" s="334"/>
      <c r="V14" s="335">
        <v>6</v>
      </c>
      <c r="W14" s="336">
        <v>6</v>
      </c>
      <c r="X14" s="339"/>
      <c r="Y14" s="338"/>
    </row>
    <row r="15" spans="1:1012" x14ac:dyDescent="0.2">
      <c r="A15" s="327" t="s">
        <v>105</v>
      </c>
      <c r="B15" s="315">
        <f>'Resumo Proposta'!D17</f>
        <v>0.04</v>
      </c>
      <c r="C15" s="340"/>
      <c r="D15" s="317"/>
      <c r="E15" s="317">
        <f>($E$17*30/40)*(1-H15/$H$17)</f>
        <v>600</v>
      </c>
      <c r="F15" s="341"/>
      <c r="G15" s="342"/>
      <c r="H15" s="341"/>
      <c r="I15" s="342"/>
      <c r="J15" s="341"/>
      <c r="K15" s="341"/>
      <c r="L15" s="341"/>
      <c r="M15" s="342"/>
      <c r="N15" s="343"/>
      <c r="O15" s="321">
        <f t="shared" si="1"/>
        <v>0.75</v>
      </c>
      <c r="P15" s="332"/>
      <c r="Q15" s="333"/>
      <c r="R15" s="333">
        <v>1</v>
      </c>
      <c r="S15" s="333"/>
      <c r="T15" s="334"/>
      <c r="U15" s="334"/>
      <c r="V15" s="335">
        <v>6</v>
      </c>
      <c r="W15" s="336">
        <v>6</v>
      </c>
      <c r="X15" s="339"/>
      <c r="Y15" s="338"/>
    </row>
    <row r="16" spans="1:1012" x14ac:dyDescent="0.2">
      <c r="A16" s="344" t="s">
        <v>462</v>
      </c>
      <c r="B16" s="344"/>
      <c r="C16" s="345">
        <f t="shared" ref="C16:Y16" si="2">SUM(C4:C15)</f>
        <v>4792.18</v>
      </c>
      <c r="D16" s="345">
        <f t="shared" si="2"/>
        <v>785.5619999999999</v>
      </c>
      <c r="E16" s="345">
        <f t="shared" si="2"/>
        <v>9033.7279999999992</v>
      </c>
      <c r="F16" s="346">
        <f t="shared" si="2"/>
        <v>734.88</v>
      </c>
      <c r="G16" s="346">
        <f t="shared" si="2"/>
        <v>1123.55</v>
      </c>
      <c r="H16" s="346">
        <f t="shared" si="2"/>
        <v>114.46000000000001</v>
      </c>
      <c r="I16" s="346">
        <f t="shared" si="2"/>
        <v>1284.4299999999998</v>
      </c>
      <c r="J16" s="346">
        <f t="shared" si="2"/>
        <v>165.47</v>
      </c>
      <c r="K16" s="346">
        <f t="shared" si="2"/>
        <v>0</v>
      </c>
      <c r="L16" s="346">
        <f t="shared" si="2"/>
        <v>291.08</v>
      </c>
      <c r="M16" s="346">
        <f t="shared" si="2"/>
        <v>595.96</v>
      </c>
      <c r="N16" s="347">
        <f t="shared" si="2"/>
        <v>595.96</v>
      </c>
      <c r="O16" s="348">
        <f t="shared" si="2"/>
        <v>14.75220509777049</v>
      </c>
      <c r="P16" s="349">
        <f t="shared" si="2"/>
        <v>11</v>
      </c>
      <c r="Q16" s="350">
        <f t="shared" si="2"/>
        <v>3</v>
      </c>
      <c r="R16" s="350">
        <f t="shared" si="2"/>
        <v>1</v>
      </c>
      <c r="S16" s="350">
        <f t="shared" si="2"/>
        <v>0</v>
      </c>
      <c r="T16" s="351">
        <f t="shared" si="2"/>
        <v>7</v>
      </c>
      <c r="U16" s="352">
        <f t="shared" si="2"/>
        <v>4</v>
      </c>
      <c r="V16" s="353">
        <f t="shared" si="2"/>
        <v>72</v>
      </c>
      <c r="W16" s="354">
        <f t="shared" si="2"/>
        <v>112</v>
      </c>
      <c r="X16" s="355">
        <f t="shared" si="2"/>
        <v>22</v>
      </c>
      <c r="Y16" s="356">
        <f t="shared" si="2"/>
        <v>1</v>
      </c>
      <c r="ALT16" s="257"/>
      <c r="ALU16" s="257"/>
      <c r="ALV16" s="257"/>
      <c r="ALW16" s="257"/>
      <c r="ALX16" s="257"/>
    </row>
    <row r="17" spans="1:1012" ht="15" x14ac:dyDescent="0.25">
      <c r="A17" s="357" t="s">
        <v>463</v>
      </c>
      <c r="B17" s="357"/>
      <c r="C17" s="357"/>
      <c r="D17" s="358">
        <v>800</v>
      </c>
      <c r="E17" s="358">
        <v>800</v>
      </c>
      <c r="F17" s="359">
        <v>1500</v>
      </c>
      <c r="G17" s="359">
        <v>1500</v>
      </c>
      <c r="H17" s="359">
        <v>250</v>
      </c>
      <c r="I17" s="359">
        <v>2500</v>
      </c>
      <c r="J17" s="359">
        <v>100000</v>
      </c>
      <c r="K17" s="359">
        <v>7500</v>
      </c>
      <c r="L17" s="359">
        <v>160</v>
      </c>
      <c r="M17" s="359">
        <v>380</v>
      </c>
      <c r="N17" s="360">
        <v>380</v>
      </c>
      <c r="O17" s="361"/>
      <c r="P17" s="362" t="s">
        <v>464</v>
      </c>
      <c r="Q17" s="363">
        <f>P16+Q16+R16+S16</f>
        <v>15</v>
      </c>
      <c r="R17" s="364"/>
      <c r="S17" s="364"/>
      <c r="T17" s="362" t="s">
        <v>464</v>
      </c>
      <c r="U17" s="365">
        <f>T16+U16</f>
        <v>11</v>
      </c>
      <c r="V17" s="366"/>
      <c r="W17" s="366"/>
      <c r="X17" s="366"/>
      <c r="Y17" s="289"/>
      <c r="ALW17" s="290"/>
      <c r="ALX17" s="290"/>
    </row>
    <row r="18" spans="1:1012" ht="15" x14ac:dyDescent="0.25">
      <c r="A18" s="367" t="s">
        <v>465</v>
      </c>
      <c r="B18" s="367"/>
      <c r="C18" s="367"/>
      <c r="D18" s="368">
        <f t="shared" ref="D18:K18" si="3">D16/D17</f>
        <v>0.98195249999999989</v>
      </c>
      <c r="E18" s="368">
        <f t="shared" si="3"/>
        <v>11.292159999999999</v>
      </c>
      <c r="F18" s="369">
        <f t="shared" si="3"/>
        <v>0.48992000000000002</v>
      </c>
      <c r="G18" s="369">
        <f t="shared" si="3"/>
        <v>0.74903333333333333</v>
      </c>
      <c r="H18" s="369">
        <f t="shared" si="3"/>
        <v>0.45784000000000002</v>
      </c>
      <c r="I18" s="369">
        <f t="shared" si="3"/>
        <v>0.5137719999999999</v>
      </c>
      <c r="J18" s="369">
        <f t="shared" si="3"/>
        <v>1.6547000000000001E-3</v>
      </c>
      <c r="K18" s="369">
        <f t="shared" si="3"/>
        <v>0</v>
      </c>
      <c r="L18" s="369">
        <f>1/L17*8*1/1132.6*L16</f>
        <v>1.2850079463182061E-2</v>
      </c>
      <c r="M18" s="369">
        <f>1/M17*16*1/188.76*M16</f>
        <v>0.13293628221857889</v>
      </c>
      <c r="N18" s="370">
        <f>1/N17*16*1/188.76*N16</f>
        <v>0.13293628221857889</v>
      </c>
      <c r="O18" s="371">
        <f>SUM(D18:N18)-L18</f>
        <v>14.752205097770489</v>
      </c>
      <c r="P18" s="362" t="s">
        <v>466</v>
      </c>
      <c r="Q18" s="365">
        <f>P16+Q16+((R16+S16)*0.75)</f>
        <v>14.75</v>
      </c>
      <c r="R18" s="289"/>
      <c r="S18" s="289"/>
      <c r="T18" s="372"/>
      <c r="U18" s="289"/>
      <c r="V18" s="289"/>
      <c r="W18" s="289"/>
      <c r="X18" s="289"/>
      <c r="Y18" s="289"/>
      <c r="ALW18" s="290"/>
      <c r="ALX18" s="290"/>
    </row>
    <row r="19" spans="1:1012" ht="15" x14ac:dyDescent="0.25">
      <c r="A19" s="373" t="s">
        <v>467</v>
      </c>
      <c r="B19" s="373"/>
      <c r="C19" s="373"/>
      <c r="D19" s="374">
        <f t="shared" ref="D19:K19" si="4">D16/($O18*D17)</f>
        <v>6.6563099786919516E-2</v>
      </c>
      <c r="E19" s="374">
        <f t="shared" si="4"/>
        <v>0.76545573527218591</v>
      </c>
      <c r="F19" s="375">
        <f t="shared" si="4"/>
        <v>3.3209950427956159E-2</v>
      </c>
      <c r="G19" s="375">
        <f t="shared" si="4"/>
        <v>5.0774330235317515E-2</v>
      </c>
      <c r="H19" s="375">
        <f t="shared" si="4"/>
        <v>3.1035360270932899E-2</v>
      </c>
      <c r="I19" s="375">
        <f t="shared" si="4"/>
        <v>3.4826793458670575E-2</v>
      </c>
      <c r="J19" s="375">
        <f t="shared" si="4"/>
        <v>1.1216628219533608E-4</v>
      </c>
      <c r="K19" s="375">
        <f t="shared" si="4"/>
        <v>0</v>
      </c>
      <c r="L19" s="375">
        <f>1/$O18*1/L17*16*1/188.76*L16</f>
        <v>1.0453108443038825E-2</v>
      </c>
      <c r="M19" s="375">
        <f>1/$O18*1/M17*16*1/188.76*M16</f>
        <v>9.0112821329110734E-3</v>
      </c>
      <c r="N19" s="375">
        <f>1/$O18*1/N17*16*1/188.76*N16</f>
        <v>9.0112821329110734E-3</v>
      </c>
      <c r="O19" s="376">
        <f>SUM(D19:N19)-L19</f>
        <v>1.0000000000000002</v>
      </c>
      <c r="P19" s="289"/>
      <c r="Q19" s="289"/>
      <c r="R19" s="289"/>
      <c r="S19" s="289"/>
      <c r="T19" s="289"/>
      <c r="U19" s="289"/>
      <c r="V19" s="289"/>
      <c r="W19" s="289"/>
      <c r="X19" s="289"/>
      <c r="Y19" s="290"/>
      <c r="ALW19" s="290"/>
      <c r="ALX19" s="290"/>
    </row>
    <row r="20" spans="1:1012" ht="15" hidden="1" x14ac:dyDescent="0.25">
      <c r="A20" s="377" t="s">
        <v>468</v>
      </c>
      <c r="B20" s="377"/>
      <c r="C20" s="377"/>
      <c r="D20" s="378">
        <f>ROUND(1/D17,9)</f>
        <v>1.25E-3</v>
      </c>
      <c r="E20" s="378"/>
      <c r="F20" s="379">
        <f t="shared" ref="F20:K20" si="5">ROUND(1/F17,9)</f>
        <v>6.6666700000000002E-4</v>
      </c>
      <c r="G20" s="379">
        <f t="shared" si="5"/>
        <v>6.6666700000000002E-4</v>
      </c>
      <c r="H20" s="379">
        <f t="shared" si="5"/>
        <v>4.0000000000000001E-3</v>
      </c>
      <c r="I20" s="379">
        <f t="shared" si="5"/>
        <v>4.0000000000000002E-4</v>
      </c>
      <c r="J20" s="379">
        <f t="shared" si="5"/>
        <v>1.0000000000000001E-5</v>
      </c>
      <c r="K20" s="379">
        <f t="shared" si="5"/>
        <v>1.3333299999999999E-4</v>
      </c>
      <c r="L20" s="380">
        <f>(1/L17)*(1/N25)*8</f>
        <v>4.8611111111111115E-5</v>
      </c>
      <c r="M20" s="380">
        <f>(1/M17)*(1/N24)*16</f>
        <v>2.4561403508771931E-4</v>
      </c>
      <c r="N20" s="381">
        <f>(1/N17)*(1/N24)*16</f>
        <v>2.4561403508771931E-4</v>
      </c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ALW20" s="290"/>
      <c r="ALX20" s="290"/>
    </row>
    <row r="21" spans="1:1012" ht="15" hidden="1" x14ac:dyDescent="0.25">
      <c r="A21" s="382" t="s">
        <v>469</v>
      </c>
      <c r="B21" s="382"/>
      <c r="C21" s="382"/>
      <c r="D21" s="383">
        <f>D20/$Y$16</f>
        <v>1.25E-3</v>
      </c>
      <c r="E21" s="383"/>
      <c r="F21" s="384">
        <f t="shared" ref="F21:N21" si="6">F20/$Y$16</f>
        <v>6.6666700000000002E-4</v>
      </c>
      <c r="G21" s="384">
        <f t="shared" si="6"/>
        <v>6.6666700000000002E-4</v>
      </c>
      <c r="H21" s="384">
        <f t="shared" si="6"/>
        <v>4.0000000000000001E-3</v>
      </c>
      <c r="I21" s="384">
        <f t="shared" si="6"/>
        <v>4.0000000000000002E-4</v>
      </c>
      <c r="J21" s="384">
        <f t="shared" si="6"/>
        <v>1.0000000000000001E-5</v>
      </c>
      <c r="K21" s="384">
        <f t="shared" si="6"/>
        <v>1.3333299999999999E-4</v>
      </c>
      <c r="L21" s="385">
        <f t="shared" si="6"/>
        <v>4.8611111111111115E-5</v>
      </c>
      <c r="M21" s="385">
        <f t="shared" si="6"/>
        <v>2.4561403508771931E-4</v>
      </c>
      <c r="N21" s="386">
        <f t="shared" si="6"/>
        <v>2.4561403508771931E-4</v>
      </c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ALW21" s="290"/>
      <c r="ALX21" s="290"/>
    </row>
    <row r="22" spans="1:1012" ht="15" x14ac:dyDescent="0.25">
      <c r="A22" s="387" t="s">
        <v>470</v>
      </c>
      <c r="B22" s="387"/>
      <c r="C22" s="387"/>
      <c r="D22" s="388" t="s">
        <v>471</v>
      </c>
      <c r="E22" s="388" t="s">
        <v>471</v>
      </c>
      <c r="F22" s="389" t="s">
        <v>472</v>
      </c>
      <c r="G22" s="389" t="s">
        <v>473</v>
      </c>
      <c r="H22" s="389" t="s">
        <v>474</v>
      </c>
      <c r="I22" s="390" t="s">
        <v>475</v>
      </c>
      <c r="J22" s="390" t="s">
        <v>475</v>
      </c>
      <c r="K22" s="390" t="s">
        <v>476</v>
      </c>
      <c r="L22" s="391" t="s">
        <v>477</v>
      </c>
      <c r="M22" s="391" t="s">
        <v>478</v>
      </c>
      <c r="N22" s="392" t="s">
        <v>478</v>
      </c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ALW22" s="290"/>
      <c r="ALX22" s="290"/>
    </row>
    <row r="23" spans="1:1012" ht="15" hidden="1" x14ac:dyDescent="0.25">
      <c r="A23" s="290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ALT23" s="257"/>
      <c r="ALU23" s="257"/>
      <c r="ALV23" s="257"/>
      <c r="ALW23" s="257"/>
      <c r="ALX23" s="257"/>
    </row>
    <row r="24" spans="1:1012" ht="15" hidden="1" x14ac:dyDescent="0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393">
        <f>30/7</f>
        <v>4.2857142857142856</v>
      </c>
      <c r="M24" s="393">
        <v>40</v>
      </c>
      <c r="N24" s="393">
        <f>L24*M24</f>
        <v>171.42857142857142</v>
      </c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ALT24" s="257"/>
      <c r="ALU24" s="257"/>
      <c r="ALV24" s="257"/>
      <c r="ALW24" s="257"/>
      <c r="ALX24" s="257"/>
    </row>
    <row r="25" spans="1:1012" ht="15" hidden="1" x14ac:dyDescent="0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393"/>
      <c r="M25" s="393"/>
      <c r="N25" s="393">
        <f>N24*6</f>
        <v>1028.5714285714284</v>
      </c>
      <c r="O25" s="393" t="s">
        <v>479</v>
      </c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ALT25" s="257"/>
      <c r="ALU25" s="257"/>
      <c r="ALV25" s="257"/>
      <c r="ALW25" s="257"/>
      <c r="ALX25" s="257"/>
    </row>
    <row r="176" spans="4:4" x14ac:dyDescent="0.2">
      <c r="D176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K198"/>
  <sheetViews>
    <sheetView zoomScale="89" zoomScaleNormal="89" workbookViewId="0">
      <pane xSplit="2" ySplit="10" topLeftCell="C152" activePane="bottomRight" state="frozen"/>
      <selection pane="topRight" activeCell="C1" sqref="C1"/>
      <selection pane="bottomLeft" activeCell="A152" sqref="A152"/>
      <selection pane="bottomRight" activeCell="M154" sqref="M154:N154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44" t="s">
        <v>480</v>
      </c>
      <c r="B1" s="744"/>
      <c r="C1" s="744"/>
      <c r="D1" s="744"/>
      <c r="E1" s="744"/>
      <c r="F1" s="744"/>
      <c r="G1" s="744"/>
      <c r="H1" s="744"/>
      <c r="I1" s="744"/>
    </row>
    <row r="2" spans="1:9" ht="15.75" x14ac:dyDescent="0.2">
      <c r="A2" s="745" t="s">
        <v>481</v>
      </c>
      <c r="B2" s="745"/>
      <c r="C2" s="745"/>
      <c r="D2" s="745"/>
      <c r="E2" s="745"/>
      <c r="F2" s="745"/>
      <c r="G2" s="745"/>
      <c r="H2" s="745"/>
      <c r="I2" s="745"/>
    </row>
    <row r="3" spans="1:9" ht="15.75" customHeight="1" x14ac:dyDescent="0.2">
      <c r="A3" s="745" t="s">
        <v>482</v>
      </c>
      <c r="B3" s="745"/>
      <c r="C3" s="745"/>
      <c r="D3" s="745"/>
      <c r="E3" s="745"/>
      <c r="F3" s="745"/>
      <c r="G3" s="745"/>
      <c r="H3" s="745"/>
      <c r="I3" s="745"/>
    </row>
    <row r="4" spans="1:9" ht="24" x14ac:dyDescent="0.2">
      <c r="A4" s="394"/>
      <c r="B4" s="395"/>
      <c r="C4" s="746" t="s">
        <v>483</v>
      </c>
      <c r="D4" s="746"/>
      <c r="E4" s="747" t="s">
        <v>484</v>
      </c>
      <c r="F4" s="747"/>
      <c r="G4" s="397" t="s">
        <v>485</v>
      </c>
      <c r="H4" s="398" t="s">
        <v>486</v>
      </c>
      <c r="I4" s="399" t="s">
        <v>487</v>
      </c>
    </row>
    <row r="5" spans="1:9" x14ac:dyDescent="0.2">
      <c r="A5" s="400"/>
      <c r="B5" s="401" t="s">
        <v>488</v>
      </c>
      <c r="C5" s="748">
        <f>MC!$D11</f>
        <v>1194.6272727272726</v>
      </c>
      <c r="D5" s="748"/>
      <c r="E5" s="748">
        <f>MC!$E11</f>
        <v>895.97045454545446</v>
      </c>
      <c r="F5" s="748"/>
      <c r="G5" s="403">
        <f>MC!$F11</f>
        <v>597.31363636363631</v>
      </c>
      <c r="H5" s="404">
        <f>MC!$C13</f>
        <v>1669.75</v>
      </c>
      <c r="I5" s="404">
        <f>MC!$D12</f>
        <v>1673.9117345454545</v>
      </c>
    </row>
    <row r="6" spans="1:9" x14ac:dyDescent="0.2">
      <c r="A6" s="400"/>
      <c r="B6" s="401" t="s">
        <v>489</v>
      </c>
      <c r="C6" s="749">
        <f>MC!$E8</f>
        <v>44562</v>
      </c>
      <c r="D6" s="749"/>
      <c r="E6" s="749">
        <f>MC!$E8</f>
        <v>44562</v>
      </c>
      <c r="F6" s="749"/>
      <c r="G6" s="406">
        <f>MC!$E8</f>
        <v>44562</v>
      </c>
      <c r="H6" s="407">
        <f>MC!$E8</f>
        <v>44562</v>
      </c>
      <c r="I6" s="407">
        <f>MC!$E8</f>
        <v>44562</v>
      </c>
    </row>
    <row r="7" spans="1:9" x14ac:dyDescent="0.2">
      <c r="A7" s="400"/>
      <c r="B7" s="401" t="s">
        <v>490</v>
      </c>
      <c r="C7" s="749" t="str">
        <f>MC!$C8</f>
        <v>RS005021/2021</v>
      </c>
      <c r="D7" s="749"/>
      <c r="E7" s="749" t="str">
        <f>MC!$C8</f>
        <v>RS005021/2021</v>
      </c>
      <c r="F7" s="749"/>
      <c r="G7" s="406" t="str">
        <f>MC!$C8</f>
        <v>RS005021/2021</v>
      </c>
      <c r="H7" s="407" t="str">
        <f>MC!$C8</f>
        <v>RS005021/2021</v>
      </c>
      <c r="I7" s="407" t="str">
        <f>MC!$C8</f>
        <v>RS005021/2021</v>
      </c>
    </row>
    <row r="8" spans="1:9" x14ac:dyDescent="0.2">
      <c r="A8" s="400"/>
      <c r="B8" s="401" t="s">
        <v>491</v>
      </c>
      <c r="C8" s="750" t="str">
        <f>MC!$F8</f>
        <v>5143-20</v>
      </c>
      <c r="D8" s="750"/>
      <c r="E8" s="751" t="str">
        <f>MC!$F8</f>
        <v>5143-20</v>
      </c>
      <c r="F8" s="751"/>
      <c r="G8" s="409" t="str">
        <f>MC!$F8</f>
        <v>5143-20</v>
      </c>
      <c r="H8" s="410" t="str">
        <f>MC!$F8</f>
        <v>5143-20</v>
      </c>
      <c r="I8" s="410" t="str">
        <f>MC!$F8</f>
        <v>5143-20</v>
      </c>
    </row>
    <row r="9" spans="1:9" x14ac:dyDescent="0.2">
      <c r="A9" s="752"/>
      <c r="B9" s="752"/>
      <c r="C9" s="752"/>
      <c r="D9" s="752"/>
      <c r="E9" s="752"/>
      <c r="F9" s="752"/>
      <c r="G9" s="752"/>
      <c r="H9" s="752"/>
      <c r="I9" s="752"/>
    </row>
    <row r="10" spans="1:9" ht="56.1" customHeight="1" x14ac:dyDescent="0.2">
      <c r="A10" s="411" t="s">
        <v>492</v>
      </c>
      <c r="B10" s="412" t="s">
        <v>493</v>
      </c>
      <c r="C10" s="413" t="s">
        <v>494</v>
      </c>
      <c r="D10" s="413" t="s">
        <v>495</v>
      </c>
      <c r="E10" s="413" t="s">
        <v>496</v>
      </c>
      <c r="F10" s="413" t="s">
        <v>497</v>
      </c>
      <c r="G10" s="413" t="s">
        <v>498</v>
      </c>
      <c r="H10" s="413" t="s">
        <v>499</v>
      </c>
      <c r="I10" s="414" t="s">
        <v>500</v>
      </c>
    </row>
    <row r="11" spans="1:9" ht="14.25" customHeight="1" x14ac:dyDescent="0.2">
      <c r="A11" s="753" t="s">
        <v>501</v>
      </c>
      <c r="B11" s="753"/>
      <c r="C11" s="753"/>
      <c r="D11" s="753"/>
      <c r="E11" s="753"/>
      <c r="F11" s="753"/>
      <c r="G11" s="753"/>
      <c r="H11" s="753"/>
      <c r="I11" s="753"/>
    </row>
    <row r="12" spans="1:9" ht="15.75" customHeight="1" x14ac:dyDescent="0.2">
      <c r="A12" s="415" t="s">
        <v>502</v>
      </c>
      <c r="B12" s="416" t="s">
        <v>503</v>
      </c>
      <c r="C12" s="416" t="s">
        <v>504</v>
      </c>
      <c r="D12" s="416" t="s">
        <v>504</v>
      </c>
      <c r="E12" s="416" t="s">
        <v>504</v>
      </c>
      <c r="F12" s="416" t="s">
        <v>504</v>
      </c>
      <c r="G12" s="416" t="s">
        <v>504</v>
      </c>
      <c r="H12" s="416" t="s">
        <v>504</v>
      </c>
      <c r="I12" s="417" t="s">
        <v>504</v>
      </c>
    </row>
    <row r="13" spans="1:9" ht="15.75" customHeight="1" x14ac:dyDescent="0.2">
      <c r="A13" s="418" t="s">
        <v>505</v>
      </c>
      <c r="B13" s="419"/>
      <c r="C13" s="420">
        <f>C5</f>
        <v>1194.6272727272726</v>
      </c>
      <c r="D13" s="420">
        <f>C5</f>
        <v>1194.6272727272726</v>
      </c>
      <c r="E13" s="421">
        <f>E5</f>
        <v>895.97045454545446</v>
      </c>
      <c r="F13" s="421">
        <f>E5</f>
        <v>895.97045454545446</v>
      </c>
      <c r="G13" s="421">
        <f>G5</f>
        <v>597.31363636363631</v>
      </c>
      <c r="H13" s="421">
        <f>H5</f>
        <v>1669.75</v>
      </c>
      <c r="I13" s="422">
        <f>I5</f>
        <v>1673.9117345454545</v>
      </c>
    </row>
    <row r="14" spans="1:9" ht="15.75" customHeight="1" x14ac:dyDescent="0.2">
      <c r="A14" s="418" t="s">
        <v>506</v>
      </c>
      <c r="B14" s="423" t="s">
        <v>507</v>
      </c>
      <c r="C14" s="420">
        <f>C5*0.4</f>
        <v>477.85090909090906</v>
      </c>
      <c r="D14" s="420">
        <f>C5*0.2</f>
        <v>238.92545454545453</v>
      </c>
      <c r="E14" s="420">
        <f>E5*0.4</f>
        <v>358.38818181818181</v>
      </c>
      <c r="F14" s="420">
        <f>E5*0.2</f>
        <v>179.1940909090909</v>
      </c>
      <c r="G14" s="420">
        <f>G5*0.2</f>
        <v>119.46272727272726</v>
      </c>
      <c r="H14" s="424" t="s">
        <v>88</v>
      </c>
      <c r="I14" s="425" t="s">
        <v>88</v>
      </c>
    </row>
    <row r="15" spans="1:9" ht="15.75" customHeight="1" x14ac:dyDescent="0.2">
      <c r="A15" s="418" t="s">
        <v>508</v>
      </c>
      <c r="B15" s="426"/>
      <c r="C15" s="424" t="s">
        <v>88</v>
      </c>
      <c r="D15" s="424" t="s">
        <v>88</v>
      </c>
      <c r="E15" s="427" t="s">
        <v>88</v>
      </c>
      <c r="F15" s="427" t="s">
        <v>88</v>
      </c>
      <c r="G15" s="427" t="s">
        <v>88</v>
      </c>
      <c r="H15" s="427" t="s">
        <v>88</v>
      </c>
      <c r="I15" s="425" t="s">
        <v>88</v>
      </c>
    </row>
    <row r="16" spans="1:9" ht="15.75" customHeight="1" x14ac:dyDescent="0.2">
      <c r="A16" s="418" t="s">
        <v>509</v>
      </c>
      <c r="B16" s="426"/>
      <c r="C16" s="424" t="s">
        <v>88</v>
      </c>
      <c r="D16" s="424" t="s">
        <v>88</v>
      </c>
      <c r="E16" s="427" t="s">
        <v>88</v>
      </c>
      <c r="F16" s="427" t="s">
        <v>88</v>
      </c>
      <c r="G16" s="427" t="s">
        <v>88</v>
      </c>
      <c r="H16" s="427" t="s">
        <v>88</v>
      </c>
      <c r="I16" s="425" t="s">
        <v>88</v>
      </c>
    </row>
    <row r="17" spans="1:9" ht="15.75" customHeight="1" x14ac:dyDescent="0.2">
      <c r="A17" s="418" t="s">
        <v>510</v>
      </c>
      <c r="B17" s="426"/>
      <c r="C17" s="424" t="s">
        <v>88</v>
      </c>
      <c r="D17" s="424" t="s">
        <v>88</v>
      </c>
      <c r="E17" s="427" t="s">
        <v>88</v>
      </c>
      <c r="F17" s="427" t="s">
        <v>88</v>
      </c>
      <c r="G17" s="427" t="s">
        <v>88</v>
      </c>
      <c r="H17" s="427" t="s">
        <v>88</v>
      </c>
      <c r="I17" s="425" t="s">
        <v>88</v>
      </c>
    </row>
    <row r="18" spans="1:9" ht="15.75" customHeight="1" x14ac:dyDescent="0.2">
      <c r="A18" s="418" t="s">
        <v>511</v>
      </c>
      <c r="B18" s="428"/>
      <c r="C18" s="424" t="s">
        <v>88</v>
      </c>
      <c r="D18" s="424" t="s">
        <v>88</v>
      </c>
      <c r="E18" s="424" t="s">
        <v>88</v>
      </c>
      <c r="F18" s="424" t="s">
        <v>88</v>
      </c>
      <c r="G18" s="424" t="s">
        <v>88</v>
      </c>
      <c r="H18" s="427" t="s">
        <v>88</v>
      </c>
      <c r="I18" s="425" t="s">
        <v>88</v>
      </c>
    </row>
    <row r="19" spans="1:9" ht="15.75" customHeight="1" x14ac:dyDescent="0.2">
      <c r="A19" s="429" t="s">
        <v>512</v>
      </c>
      <c r="B19" s="430"/>
      <c r="C19" s="431">
        <f t="shared" ref="C19:I19" si="0">SUM(C13:C18)</f>
        <v>1672.4781818181816</v>
      </c>
      <c r="D19" s="432">
        <f t="shared" si="0"/>
        <v>1433.5527272727272</v>
      </c>
      <c r="E19" s="432">
        <f t="shared" si="0"/>
        <v>1254.3586363636364</v>
      </c>
      <c r="F19" s="432">
        <f t="shared" si="0"/>
        <v>1075.1645454545453</v>
      </c>
      <c r="G19" s="432">
        <f t="shared" si="0"/>
        <v>716.77636363636361</v>
      </c>
      <c r="H19" s="432">
        <f t="shared" si="0"/>
        <v>1669.75</v>
      </c>
      <c r="I19" s="433">
        <f t="shared" si="0"/>
        <v>1673.9117345454545</v>
      </c>
    </row>
    <row r="20" spans="1:9" ht="15.75" customHeight="1" x14ac:dyDescent="0.2">
      <c r="A20" s="754"/>
      <c r="B20" s="754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53" t="s">
        <v>513</v>
      </c>
      <c r="B21" s="753"/>
      <c r="C21" s="753"/>
      <c r="D21" s="753"/>
      <c r="E21" s="753"/>
      <c r="F21" s="753"/>
      <c r="G21" s="753"/>
      <c r="H21" s="753"/>
      <c r="I21" s="753"/>
    </row>
    <row r="22" spans="1:9" ht="28.35" customHeight="1" x14ac:dyDescent="0.2">
      <c r="A22" s="438" t="s">
        <v>514</v>
      </c>
      <c r="B22" s="439" t="s">
        <v>503</v>
      </c>
      <c r="C22" s="439" t="s">
        <v>504</v>
      </c>
      <c r="D22" s="439" t="s">
        <v>504</v>
      </c>
      <c r="E22" s="439" t="s">
        <v>504</v>
      </c>
      <c r="F22" s="439" t="s">
        <v>504</v>
      </c>
      <c r="G22" s="439" t="s">
        <v>504</v>
      </c>
      <c r="H22" s="439" t="s">
        <v>504</v>
      </c>
      <c r="I22" s="440" t="s">
        <v>504</v>
      </c>
    </row>
    <row r="23" spans="1:9" ht="15.75" customHeight="1" x14ac:dyDescent="0.2">
      <c r="A23" s="441" t="s">
        <v>515</v>
      </c>
      <c r="B23" s="442">
        <f>1/12</f>
        <v>8.3333333333333329E-2</v>
      </c>
      <c r="C23" s="420">
        <f t="shared" ref="C23:I23" si="1">ROUND($B23*C$19,2)</f>
        <v>139.37</v>
      </c>
      <c r="D23" s="420">
        <f t="shared" si="1"/>
        <v>119.46</v>
      </c>
      <c r="E23" s="420">
        <f t="shared" si="1"/>
        <v>104.53</v>
      </c>
      <c r="F23" s="420">
        <f t="shared" si="1"/>
        <v>89.6</v>
      </c>
      <c r="G23" s="420">
        <f t="shared" si="1"/>
        <v>59.73</v>
      </c>
      <c r="H23" s="420">
        <f t="shared" si="1"/>
        <v>139.15</v>
      </c>
      <c r="I23" s="422">
        <f t="shared" si="1"/>
        <v>139.49</v>
      </c>
    </row>
    <row r="24" spans="1:9" x14ac:dyDescent="0.2">
      <c r="A24" s="441" t="s">
        <v>516</v>
      </c>
      <c r="B24" s="442">
        <f>1/3*1/12</f>
        <v>2.7777777777777776E-2</v>
      </c>
      <c r="C24" s="420">
        <f t="shared" ref="C24:I24" si="2">C$19*$B$24</f>
        <v>46.457727272727261</v>
      </c>
      <c r="D24" s="420">
        <f t="shared" si="2"/>
        <v>39.82090909090909</v>
      </c>
      <c r="E24" s="420">
        <f t="shared" si="2"/>
        <v>34.843295454545455</v>
      </c>
      <c r="F24" s="420">
        <f t="shared" si="2"/>
        <v>29.865681818181812</v>
      </c>
      <c r="G24" s="420">
        <f t="shared" si="2"/>
        <v>19.910454545454545</v>
      </c>
      <c r="H24" s="420">
        <f t="shared" si="2"/>
        <v>46.381944444444443</v>
      </c>
      <c r="I24" s="422">
        <f t="shared" si="2"/>
        <v>46.497548181818175</v>
      </c>
    </row>
    <row r="25" spans="1:9" ht="14.25" customHeight="1" x14ac:dyDescent="0.2">
      <c r="A25" s="429" t="s">
        <v>512</v>
      </c>
      <c r="B25" s="443">
        <f t="shared" ref="B25:I25" si="3">SUM(B23:B24)</f>
        <v>0.1111111111111111</v>
      </c>
      <c r="C25" s="444">
        <f t="shared" si="3"/>
        <v>185.82772727272726</v>
      </c>
      <c r="D25" s="444">
        <f t="shared" si="3"/>
        <v>159.28090909090909</v>
      </c>
      <c r="E25" s="444">
        <f t="shared" si="3"/>
        <v>139.37329545454546</v>
      </c>
      <c r="F25" s="444">
        <f t="shared" si="3"/>
        <v>119.46568181818181</v>
      </c>
      <c r="G25" s="444">
        <f t="shared" si="3"/>
        <v>79.640454545454546</v>
      </c>
      <c r="H25" s="444">
        <f t="shared" si="3"/>
        <v>185.53194444444443</v>
      </c>
      <c r="I25" s="445">
        <f t="shared" si="3"/>
        <v>185.98754818181817</v>
      </c>
    </row>
    <row r="26" spans="1:9" x14ac:dyDescent="0.2">
      <c r="A26" s="438" t="s">
        <v>517</v>
      </c>
      <c r="B26" s="439" t="s">
        <v>503</v>
      </c>
      <c r="C26" s="439" t="s">
        <v>504</v>
      </c>
      <c r="D26" s="439" t="s">
        <v>504</v>
      </c>
      <c r="E26" s="439" t="s">
        <v>504</v>
      </c>
      <c r="F26" s="439" t="s">
        <v>504</v>
      </c>
      <c r="G26" s="439" t="s">
        <v>504</v>
      </c>
      <c r="H26" s="439" t="s">
        <v>504</v>
      </c>
      <c r="I26" s="440" t="s">
        <v>504</v>
      </c>
    </row>
    <row r="27" spans="1:9" ht="15.75" customHeight="1" x14ac:dyDescent="0.2">
      <c r="A27" s="438" t="s">
        <v>518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519</v>
      </c>
      <c r="B28" s="442">
        <v>0.2</v>
      </c>
      <c r="C28" s="449">
        <f>ROUND(($C$19+$C$25)*B28,2)</f>
        <v>371.66</v>
      </c>
      <c r="D28" s="449">
        <f t="shared" ref="D28:I35" si="4">ROUND((D$19+D$25)*$B28,2)</f>
        <v>318.57</v>
      </c>
      <c r="E28" s="449">
        <f t="shared" si="4"/>
        <v>278.75</v>
      </c>
      <c r="F28" s="449">
        <f t="shared" si="4"/>
        <v>238.93</v>
      </c>
      <c r="G28" s="449">
        <f t="shared" si="4"/>
        <v>159.28</v>
      </c>
      <c r="H28" s="449">
        <f t="shared" si="4"/>
        <v>371.06</v>
      </c>
      <c r="I28" s="450">
        <f t="shared" si="4"/>
        <v>371.98</v>
      </c>
    </row>
    <row r="29" spans="1:9" ht="15.75" customHeight="1" x14ac:dyDescent="0.2">
      <c r="A29" s="441" t="s">
        <v>520</v>
      </c>
      <c r="B29" s="442">
        <v>2.5000000000000001E-2</v>
      </c>
      <c r="C29" s="449">
        <f t="shared" ref="C29:C35" si="5">ROUND((C$19+C$25)*$B29,2)</f>
        <v>46.46</v>
      </c>
      <c r="D29" s="449">
        <f t="shared" si="4"/>
        <v>39.82</v>
      </c>
      <c r="E29" s="449">
        <f t="shared" si="4"/>
        <v>34.840000000000003</v>
      </c>
      <c r="F29" s="449">
        <f t="shared" si="4"/>
        <v>29.87</v>
      </c>
      <c r="G29" s="449">
        <f t="shared" si="4"/>
        <v>19.91</v>
      </c>
      <c r="H29" s="449">
        <f t="shared" si="4"/>
        <v>46.38</v>
      </c>
      <c r="I29" s="450">
        <f t="shared" si="4"/>
        <v>46.5</v>
      </c>
    </row>
    <row r="30" spans="1:9" ht="15.75" customHeight="1" x14ac:dyDescent="0.2">
      <c r="A30" s="441" t="s">
        <v>521</v>
      </c>
      <c r="B30" s="442">
        <v>0.03</v>
      </c>
      <c r="C30" s="449">
        <f t="shared" si="5"/>
        <v>55.75</v>
      </c>
      <c r="D30" s="449">
        <f t="shared" si="4"/>
        <v>47.79</v>
      </c>
      <c r="E30" s="449">
        <f t="shared" si="4"/>
        <v>41.81</v>
      </c>
      <c r="F30" s="449">
        <f t="shared" si="4"/>
        <v>35.840000000000003</v>
      </c>
      <c r="G30" s="449">
        <f t="shared" si="4"/>
        <v>23.89</v>
      </c>
      <c r="H30" s="449">
        <f t="shared" si="4"/>
        <v>55.66</v>
      </c>
      <c r="I30" s="450">
        <f t="shared" si="4"/>
        <v>55.8</v>
      </c>
    </row>
    <row r="31" spans="1:9" ht="15.75" customHeight="1" x14ac:dyDescent="0.2">
      <c r="A31" s="441" t="s">
        <v>522</v>
      </c>
      <c r="B31" s="442">
        <v>1.4999999999999999E-2</v>
      </c>
      <c r="C31" s="449">
        <f t="shared" si="5"/>
        <v>27.87</v>
      </c>
      <c r="D31" s="449">
        <f t="shared" si="4"/>
        <v>23.89</v>
      </c>
      <c r="E31" s="449">
        <f t="shared" si="4"/>
        <v>20.91</v>
      </c>
      <c r="F31" s="449">
        <f t="shared" si="4"/>
        <v>17.920000000000002</v>
      </c>
      <c r="G31" s="449">
        <f t="shared" si="4"/>
        <v>11.95</v>
      </c>
      <c r="H31" s="449">
        <f t="shared" si="4"/>
        <v>27.83</v>
      </c>
      <c r="I31" s="450">
        <f t="shared" si="4"/>
        <v>27.9</v>
      </c>
    </row>
    <row r="32" spans="1:9" ht="15.75" customHeight="1" x14ac:dyDescent="0.2">
      <c r="A32" s="441" t="s">
        <v>523</v>
      </c>
      <c r="B32" s="442">
        <v>0.01</v>
      </c>
      <c r="C32" s="449">
        <f t="shared" si="5"/>
        <v>18.579999999999998</v>
      </c>
      <c r="D32" s="449">
        <f t="shared" si="4"/>
        <v>15.93</v>
      </c>
      <c r="E32" s="449">
        <f t="shared" si="4"/>
        <v>13.94</v>
      </c>
      <c r="F32" s="449">
        <f t="shared" si="4"/>
        <v>11.95</v>
      </c>
      <c r="G32" s="449">
        <f t="shared" si="4"/>
        <v>7.96</v>
      </c>
      <c r="H32" s="449">
        <f t="shared" si="4"/>
        <v>18.55</v>
      </c>
      <c r="I32" s="450">
        <f t="shared" si="4"/>
        <v>18.600000000000001</v>
      </c>
    </row>
    <row r="33" spans="1:9" ht="15.75" customHeight="1" x14ac:dyDescent="0.2">
      <c r="A33" s="441" t="s">
        <v>524</v>
      </c>
      <c r="B33" s="442">
        <v>6.0000000000000001E-3</v>
      </c>
      <c r="C33" s="449">
        <f t="shared" si="5"/>
        <v>11.15</v>
      </c>
      <c r="D33" s="449">
        <f t="shared" si="4"/>
        <v>9.56</v>
      </c>
      <c r="E33" s="449">
        <f t="shared" si="4"/>
        <v>8.36</v>
      </c>
      <c r="F33" s="449">
        <f t="shared" si="4"/>
        <v>7.17</v>
      </c>
      <c r="G33" s="449">
        <f t="shared" si="4"/>
        <v>4.78</v>
      </c>
      <c r="H33" s="449">
        <f t="shared" si="4"/>
        <v>11.13</v>
      </c>
      <c r="I33" s="450">
        <f t="shared" si="4"/>
        <v>11.16</v>
      </c>
    </row>
    <row r="34" spans="1:9" ht="15.75" customHeight="1" x14ac:dyDescent="0.2">
      <c r="A34" s="441" t="s">
        <v>525</v>
      </c>
      <c r="B34" s="442">
        <v>2E-3</v>
      </c>
      <c r="C34" s="449">
        <f t="shared" si="5"/>
        <v>3.72</v>
      </c>
      <c r="D34" s="449">
        <f t="shared" si="4"/>
        <v>3.19</v>
      </c>
      <c r="E34" s="449">
        <f t="shared" si="4"/>
        <v>2.79</v>
      </c>
      <c r="F34" s="449">
        <f t="shared" si="4"/>
        <v>2.39</v>
      </c>
      <c r="G34" s="449">
        <f t="shared" si="4"/>
        <v>1.59</v>
      </c>
      <c r="H34" s="449">
        <f t="shared" si="4"/>
        <v>3.71</v>
      </c>
      <c r="I34" s="450">
        <f t="shared" si="4"/>
        <v>3.72</v>
      </c>
    </row>
    <row r="35" spans="1:9" ht="15.75" customHeight="1" x14ac:dyDescent="0.2">
      <c r="A35" s="441" t="s">
        <v>526</v>
      </c>
      <c r="B35" s="442">
        <v>0.08</v>
      </c>
      <c r="C35" s="449">
        <f t="shared" si="5"/>
        <v>148.66</v>
      </c>
      <c r="D35" s="449">
        <f t="shared" si="4"/>
        <v>127.43</v>
      </c>
      <c r="E35" s="449">
        <f t="shared" si="4"/>
        <v>111.5</v>
      </c>
      <c r="F35" s="449">
        <f t="shared" si="4"/>
        <v>95.57</v>
      </c>
      <c r="G35" s="449">
        <f t="shared" si="4"/>
        <v>63.71</v>
      </c>
      <c r="H35" s="449">
        <f t="shared" si="4"/>
        <v>148.41999999999999</v>
      </c>
      <c r="I35" s="450">
        <f t="shared" si="4"/>
        <v>148.79</v>
      </c>
    </row>
    <row r="36" spans="1:9" ht="15.75" customHeight="1" x14ac:dyDescent="0.2">
      <c r="A36" s="429" t="s">
        <v>512</v>
      </c>
      <c r="B36" s="443">
        <f t="shared" ref="B36:I36" si="6">SUM(B28:B35)</f>
        <v>0.36800000000000005</v>
      </c>
      <c r="C36" s="444">
        <f t="shared" si="6"/>
        <v>683.85</v>
      </c>
      <c r="D36" s="444">
        <f t="shared" si="6"/>
        <v>586.18000000000006</v>
      </c>
      <c r="E36" s="444">
        <f t="shared" si="6"/>
        <v>512.90000000000009</v>
      </c>
      <c r="F36" s="444">
        <f t="shared" si="6"/>
        <v>439.64</v>
      </c>
      <c r="G36" s="444">
        <f t="shared" si="6"/>
        <v>293.07</v>
      </c>
      <c r="H36" s="444">
        <f t="shared" si="6"/>
        <v>682.74</v>
      </c>
      <c r="I36" s="445">
        <f t="shared" si="6"/>
        <v>684.44999999999993</v>
      </c>
    </row>
    <row r="37" spans="1:9" ht="15.75" customHeight="1" x14ac:dyDescent="0.2">
      <c r="A37" s="438" t="s">
        <v>527</v>
      </c>
      <c r="B37" s="439" t="s">
        <v>528</v>
      </c>
      <c r="C37" s="439" t="s">
        <v>504</v>
      </c>
      <c r="D37" s="439" t="s">
        <v>504</v>
      </c>
      <c r="E37" s="439" t="s">
        <v>504</v>
      </c>
      <c r="F37" s="439" t="s">
        <v>504</v>
      </c>
      <c r="G37" s="439" t="s">
        <v>504</v>
      </c>
      <c r="H37" s="439" t="s">
        <v>504</v>
      </c>
      <c r="I37" s="440" t="s">
        <v>504</v>
      </c>
    </row>
    <row r="38" spans="1:9" ht="15.75" customHeight="1" x14ac:dyDescent="0.2">
      <c r="A38" s="441" t="s">
        <v>529</v>
      </c>
      <c r="B38" s="451">
        <f>MC!D84</f>
        <v>4.1692592592592588</v>
      </c>
      <c r="C38" s="420">
        <f t="shared" ref="C38:I38" si="7">ROUND(((2*22*$B$38)-0.06*C$13),2)</f>
        <v>111.77</v>
      </c>
      <c r="D38" s="420">
        <f t="shared" si="7"/>
        <v>111.77</v>
      </c>
      <c r="E38" s="420">
        <f t="shared" si="7"/>
        <v>129.69</v>
      </c>
      <c r="F38" s="420">
        <f t="shared" si="7"/>
        <v>129.69</v>
      </c>
      <c r="G38" s="420">
        <f t="shared" si="7"/>
        <v>147.61000000000001</v>
      </c>
      <c r="H38" s="420">
        <f t="shared" si="7"/>
        <v>83.26</v>
      </c>
      <c r="I38" s="422">
        <f t="shared" si="7"/>
        <v>83.01</v>
      </c>
    </row>
    <row r="39" spans="1:9" ht="15.75" customHeight="1" x14ac:dyDescent="0.2">
      <c r="A39" s="441" t="s">
        <v>530</v>
      </c>
      <c r="B39" s="452"/>
      <c r="C39" s="449">
        <f>MC!$E$19</f>
        <v>359.61</v>
      </c>
      <c r="D39" s="449">
        <f>MC!$E$19</f>
        <v>359.61</v>
      </c>
      <c r="E39" s="449">
        <f>MC!$E$20</f>
        <v>179.8</v>
      </c>
      <c r="F39" s="449">
        <f>MC!$E$20</f>
        <v>179.8</v>
      </c>
      <c r="G39" s="449">
        <f>MC!$E$20</f>
        <v>179.8</v>
      </c>
      <c r="H39" s="449">
        <f>MC!$E$19</f>
        <v>359.61</v>
      </c>
      <c r="I39" s="450">
        <f>MC!$E$19</f>
        <v>359.61</v>
      </c>
    </row>
    <row r="40" spans="1:9" ht="15.75" customHeight="1" x14ac:dyDescent="0.2">
      <c r="A40" s="441" t="s">
        <v>531</v>
      </c>
      <c r="B40" s="442"/>
      <c r="C40" s="453" t="s">
        <v>88</v>
      </c>
      <c r="D40" s="453" t="s">
        <v>88</v>
      </c>
      <c r="E40" s="453" t="s">
        <v>88</v>
      </c>
      <c r="F40" s="453" t="s">
        <v>88</v>
      </c>
      <c r="G40" s="453" t="s">
        <v>88</v>
      </c>
      <c r="H40" s="453" t="s">
        <v>88</v>
      </c>
      <c r="I40" s="454" t="s">
        <v>88</v>
      </c>
    </row>
    <row r="41" spans="1:9" ht="15.75" customHeight="1" x14ac:dyDescent="0.2">
      <c r="A41" s="441" t="s">
        <v>532</v>
      </c>
      <c r="B41" s="455"/>
      <c r="C41" s="453" t="s">
        <v>88</v>
      </c>
      <c r="D41" s="453" t="s">
        <v>88</v>
      </c>
      <c r="E41" s="453" t="s">
        <v>88</v>
      </c>
      <c r="F41" s="453" t="s">
        <v>88</v>
      </c>
      <c r="G41" s="453" t="s">
        <v>88</v>
      </c>
      <c r="H41" s="456" t="s">
        <v>88</v>
      </c>
      <c r="I41" s="454" t="s">
        <v>88</v>
      </c>
    </row>
    <row r="42" spans="1:9" ht="15.75" customHeight="1" x14ac:dyDescent="0.2">
      <c r="A42" s="441" t="s">
        <v>533</v>
      </c>
      <c r="B42" s="457">
        <f>MC!E27</f>
        <v>17.32</v>
      </c>
      <c r="C42" s="449">
        <f t="shared" ref="C42:I42" si="8">$B42</f>
        <v>17.32</v>
      </c>
      <c r="D42" s="449">
        <f t="shared" si="8"/>
        <v>17.32</v>
      </c>
      <c r="E42" s="449">
        <f t="shared" si="8"/>
        <v>17.32</v>
      </c>
      <c r="F42" s="449">
        <f t="shared" si="8"/>
        <v>17.32</v>
      </c>
      <c r="G42" s="449">
        <f t="shared" si="8"/>
        <v>17.32</v>
      </c>
      <c r="H42" s="449">
        <f t="shared" si="8"/>
        <v>17.32</v>
      </c>
      <c r="I42" s="450">
        <f t="shared" si="8"/>
        <v>17.32</v>
      </c>
    </row>
    <row r="43" spans="1:9" ht="15.75" customHeight="1" x14ac:dyDescent="0.2">
      <c r="A43" s="441" t="s">
        <v>534</v>
      </c>
      <c r="B43" s="442"/>
      <c r="C43" s="453" t="s">
        <v>88</v>
      </c>
      <c r="D43" s="453" t="s">
        <v>88</v>
      </c>
      <c r="E43" s="453" t="s">
        <v>88</v>
      </c>
      <c r="F43" s="453" t="s">
        <v>88</v>
      </c>
      <c r="G43" s="453" t="s">
        <v>88</v>
      </c>
      <c r="H43" s="456" t="s">
        <v>88</v>
      </c>
      <c r="I43" s="454" t="s">
        <v>88</v>
      </c>
    </row>
    <row r="44" spans="1:9" ht="15.75" customHeight="1" x14ac:dyDescent="0.2">
      <c r="A44" s="429" t="s">
        <v>512</v>
      </c>
      <c r="B44" s="430"/>
      <c r="C44" s="444">
        <f t="shared" ref="C44:I44" si="9">SUM(C38:C43)</f>
        <v>488.7</v>
      </c>
      <c r="D44" s="444">
        <f t="shared" si="9"/>
        <v>488.7</v>
      </c>
      <c r="E44" s="444">
        <f t="shared" si="9"/>
        <v>326.81</v>
      </c>
      <c r="F44" s="444">
        <f t="shared" si="9"/>
        <v>326.81</v>
      </c>
      <c r="G44" s="444">
        <f t="shared" si="9"/>
        <v>344.73</v>
      </c>
      <c r="H44" s="444">
        <f t="shared" si="9"/>
        <v>460.19</v>
      </c>
      <c r="I44" s="445">
        <f t="shared" si="9"/>
        <v>459.94</v>
      </c>
    </row>
    <row r="45" spans="1:9" x14ac:dyDescent="0.2">
      <c r="A45" s="415" t="s">
        <v>535</v>
      </c>
      <c r="B45" s="416" t="s">
        <v>503</v>
      </c>
      <c r="C45" s="416" t="s">
        <v>504</v>
      </c>
      <c r="D45" s="416" t="s">
        <v>504</v>
      </c>
      <c r="E45" s="416" t="s">
        <v>504</v>
      </c>
      <c r="F45" s="416" t="s">
        <v>504</v>
      </c>
      <c r="G45" s="416" t="s">
        <v>504</v>
      </c>
      <c r="H45" s="416" t="s">
        <v>504</v>
      </c>
      <c r="I45" s="417" t="s">
        <v>504</v>
      </c>
    </row>
    <row r="46" spans="1:9" ht="15.75" customHeight="1" x14ac:dyDescent="0.2">
      <c r="A46" s="441" t="s">
        <v>514</v>
      </c>
      <c r="B46" s="458">
        <f t="shared" ref="B46:I46" si="10">B25</f>
        <v>0.1111111111111111</v>
      </c>
      <c r="C46" s="459">
        <f t="shared" si="10"/>
        <v>185.82772727272726</v>
      </c>
      <c r="D46" s="459">
        <f t="shared" si="10"/>
        <v>159.28090909090909</v>
      </c>
      <c r="E46" s="459">
        <f t="shared" si="10"/>
        <v>139.37329545454546</v>
      </c>
      <c r="F46" s="459">
        <f t="shared" si="10"/>
        <v>119.46568181818181</v>
      </c>
      <c r="G46" s="459">
        <f t="shared" si="10"/>
        <v>79.640454545454546</v>
      </c>
      <c r="H46" s="459">
        <f t="shared" si="10"/>
        <v>185.53194444444443</v>
      </c>
      <c r="I46" s="460">
        <f t="shared" si="10"/>
        <v>185.98754818181817</v>
      </c>
    </row>
    <row r="47" spans="1:9" ht="15.75" customHeight="1" x14ac:dyDescent="0.2">
      <c r="A47" s="441" t="s">
        <v>536</v>
      </c>
      <c r="B47" s="458">
        <f t="shared" ref="B47:I47" si="11">B36</f>
        <v>0.36800000000000005</v>
      </c>
      <c r="C47" s="459">
        <f t="shared" si="11"/>
        <v>683.85</v>
      </c>
      <c r="D47" s="459">
        <f t="shared" si="11"/>
        <v>586.18000000000006</v>
      </c>
      <c r="E47" s="459">
        <f t="shared" si="11"/>
        <v>512.90000000000009</v>
      </c>
      <c r="F47" s="459">
        <f t="shared" si="11"/>
        <v>439.64</v>
      </c>
      <c r="G47" s="459">
        <f t="shared" si="11"/>
        <v>293.07</v>
      </c>
      <c r="H47" s="459">
        <f t="shared" si="11"/>
        <v>682.74</v>
      </c>
      <c r="I47" s="460">
        <f t="shared" si="11"/>
        <v>684.44999999999993</v>
      </c>
    </row>
    <row r="48" spans="1:9" ht="15.75" customHeight="1" x14ac:dyDescent="0.2">
      <c r="A48" s="441" t="s">
        <v>527</v>
      </c>
      <c r="B48" s="458"/>
      <c r="C48" s="459">
        <f t="shared" ref="C48:I48" si="12">C44</f>
        <v>488.7</v>
      </c>
      <c r="D48" s="459">
        <f t="shared" si="12"/>
        <v>488.7</v>
      </c>
      <c r="E48" s="459">
        <f t="shared" si="12"/>
        <v>326.81</v>
      </c>
      <c r="F48" s="459">
        <f t="shared" si="12"/>
        <v>326.81</v>
      </c>
      <c r="G48" s="459">
        <f t="shared" si="12"/>
        <v>344.73</v>
      </c>
      <c r="H48" s="459">
        <f t="shared" si="12"/>
        <v>460.19</v>
      </c>
      <c r="I48" s="460">
        <f t="shared" si="12"/>
        <v>459.94</v>
      </c>
    </row>
    <row r="49" spans="1:9" ht="15.75" customHeight="1" x14ac:dyDescent="0.2">
      <c r="A49" s="429" t="s">
        <v>512</v>
      </c>
      <c r="B49" s="430"/>
      <c r="C49" s="444">
        <f t="shared" ref="C49:I49" si="13">SUM(C46:C48)</f>
        <v>1358.3777272727273</v>
      </c>
      <c r="D49" s="431">
        <f t="shared" si="13"/>
        <v>1234.1609090909092</v>
      </c>
      <c r="E49" s="444">
        <f t="shared" si="13"/>
        <v>979.08329545454558</v>
      </c>
      <c r="F49" s="444">
        <f t="shared" si="13"/>
        <v>885.91568181818184</v>
      </c>
      <c r="G49" s="444">
        <f t="shared" si="13"/>
        <v>717.44045454545449</v>
      </c>
      <c r="H49" s="444">
        <f t="shared" si="13"/>
        <v>1328.4619444444445</v>
      </c>
      <c r="I49" s="445">
        <f t="shared" si="13"/>
        <v>1330.3775481818182</v>
      </c>
    </row>
    <row r="50" spans="1:9" ht="14.25" customHeight="1" x14ac:dyDescent="0.2">
      <c r="A50" s="754"/>
      <c r="B50" s="754"/>
      <c r="C50" s="754"/>
      <c r="D50" s="754"/>
      <c r="E50" s="754"/>
      <c r="F50" s="754"/>
      <c r="G50" s="754"/>
      <c r="H50" s="754"/>
      <c r="I50" s="754"/>
    </row>
    <row r="51" spans="1:9" s="461" customFormat="1" ht="12.75" customHeight="1" x14ac:dyDescent="0.2">
      <c r="A51" s="753" t="s">
        <v>537</v>
      </c>
      <c r="B51" s="753"/>
      <c r="C51" s="753"/>
      <c r="D51" s="753"/>
      <c r="E51" s="753"/>
      <c r="F51" s="753"/>
      <c r="G51" s="753"/>
      <c r="H51" s="753"/>
      <c r="I51" s="753"/>
    </row>
    <row r="52" spans="1:9" ht="15.75" customHeight="1" x14ac:dyDescent="0.2">
      <c r="A52" s="415" t="s">
        <v>538</v>
      </c>
      <c r="B52" s="416" t="s">
        <v>503</v>
      </c>
      <c r="C52" s="416" t="s">
        <v>504</v>
      </c>
      <c r="D52" s="416" t="s">
        <v>504</v>
      </c>
      <c r="E52" s="416" t="s">
        <v>504</v>
      </c>
      <c r="F52" s="416" t="s">
        <v>504</v>
      </c>
      <c r="G52" s="416" t="s">
        <v>504</v>
      </c>
      <c r="H52" s="416" t="s">
        <v>504</v>
      </c>
      <c r="I52" s="417" t="s">
        <v>504</v>
      </c>
    </row>
    <row r="53" spans="1:9" ht="15.75" customHeight="1" x14ac:dyDescent="0.2">
      <c r="A53" s="438" t="s">
        <v>539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540</v>
      </c>
      <c r="B54" s="458">
        <f>1/12*0.05</f>
        <v>4.1666666666666666E-3</v>
      </c>
      <c r="C54" s="465">
        <f t="shared" ref="C54:I54" si="14">C19*$B54</f>
        <v>6.9686590909090897</v>
      </c>
      <c r="D54" s="465">
        <f t="shared" si="14"/>
        <v>5.973136363636363</v>
      </c>
      <c r="E54" s="465">
        <f t="shared" si="14"/>
        <v>5.2264943181818184</v>
      </c>
      <c r="F54" s="465">
        <f t="shared" si="14"/>
        <v>4.479852272727272</v>
      </c>
      <c r="G54" s="465">
        <f t="shared" si="14"/>
        <v>2.9865681818181815</v>
      </c>
      <c r="H54" s="465">
        <f t="shared" si="14"/>
        <v>6.9572916666666664</v>
      </c>
      <c r="I54" s="466">
        <f t="shared" si="14"/>
        <v>6.9746322272727266</v>
      </c>
    </row>
    <row r="55" spans="1:9" x14ac:dyDescent="0.2">
      <c r="A55" s="441" t="s">
        <v>541</v>
      </c>
      <c r="B55" s="458">
        <f>B35*B54</f>
        <v>3.3333333333333332E-4</v>
      </c>
      <c r="C55" s="465">
        <f t="shared" ref="C55:I55" si="15">$B$55*C19</f>
        <v>0.55749272727272714</v>
      </c>
      <c r="D55" s="465">
        <f t="shared" si="15"/>
        <v>0.47785090909090905</v>
      </c>
      <c r="E55" s="465">
        <f t="shared" si="15"/>
        <v>0.41811954545454544</v>
      </c>
      <c r="F55" s="465">
        <f t="shared" si="15"/>
        <v>0.35838818181818177</v>
      </c>
      <c r="G55" s="465">
        <f t="shared" si="15"/>
        <v>0.23892545454545452</v>
      </c>
      <c r="H55" s="465">
        <f t="shared" si="15"/>
        <v>0.55658333333333332</v>
      </c>
      <c r="I55" s="466">
        <f t="shared" si="15"/>
        <v>0.55797057818181817</v>
      </c>
    </row>
    <row r="56" spans="1:9" x14ac:dyDescent="0.2">
      <c r="A56" s="441" t="s">
        <v>542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543</v>
      </c>
      <c r="B57" s="458">
        <f>1/12*1/30*7</f>
        <v>1.9444444444444441E-2</v>
      </c>
      <c r="C57" s="459">
        <f t="shared" ref="C57:I57" si="17">C19*$B57</f>
        <v>32.520409090909084</v>
      </c>
      <c r="D57" s="459">
        <f t="shared" si="17"/>
        <v>27.874636363636359</v>
      </c>
      <c r="E57" s="459">
        <f t="shared" si="17"/>
        <v>24.390306818181813</v>
      </c>
      <c r="F57" s="459">
        <f t="shared" si="17"/>
        <v>20.905977272727267</v>
      </c>
      <c r="G57" s="459">
        <f t="shared" si="17"/>
        <v>13.937318181818179</v>
      </c>
      <c r="H57" s="459">
        <f t="shared" si="17"/>
        <v>32.467361111111103</v>
      </c>
      <c r="I57" s="460">
        <f t="shared" si="17"/>
        <v>32.548283727272718</v>
      </c>
    </row>
    <row r="58" spans="1:9" x14ac:dyDescent="0.2">
      <c r="A58" s="441" t="s">
        <v>544</v>
      </c>
      <c r="B58" s="458">
        <f>B36*B57</f>
        <v>7.1555555555555556E-3</v>
      </c>
      <c r="C58" s="459">
        <f t="shared" ref="C58:I58" si="18">$B58*C19</f>
        <v>11.967510545454545</v>
      </c>
      <c r="D58" s="459">
        <f t="shared" si="18"/>
        <v>10.257866181818182</v>
      </c>
      <c r="E58" s="459">
        <f t="shared" si="18"/>
        <v>8.9756329090909102</v>
      </c>
      <c r="F58" s="459">
        <f t="shared" si="18"/>
        <v>7.693399636363635</v>
      </c>
      <c r="G58" s="459">
        <f t="shared" si="18"/>
        <v>5.1289330909090909</v>
      </c>
      <c r="H58" s="459">
        <f t="shared" si="18"/>
        <v>11.947988888888888</v>
      </c>
      <c r="I58" s="460">
        <f t="shared" si="18"/>
        <v>11.977768411636363</v>
      </c>
    </row>
    <row r="59" spans="1:9" x14ac:dyDescent="0.2">
      <c r="A59" s="441" t="s">
        <v>545</v>
      </c>
      <c r="B59" s="458">
        <f>B35*40/100*90/100*(1+1/12+1/12+1/3*1/12)</f>
        <v>3.4399999999999993E-2</v>
      </c>
      <c r="C59" s="459">
        <f t="shared" ref="C59:I59" si="19">C19*$B59</f>
        <v>57.533249454545434</v>
      </c>
      <c r="D59" s="459">
        <f t="shared" si="19"/>
        <v>49.314213818181805</v>
      </c>
      <c r="E59" s="459">
        <f t="shared" si="19"/>
        <v>43.149937090909084</v>
      </c>
      <c r="F59" s="459">
        <f t="shared" si="19"/>
        <v>36.985660363636349</v>
      </c>
      <c r="G59" s="459">
        <f t="shared" si="19"/>
        <v>24.657106909090903</v>
      </c>
      <c r="H59" s="459">
        <f t="shared" si="19"/>
        <v>57.439399999999985</v>
      </c>
      <c r="I59" s="460">
        <f t="shared" si="19"/>
        <v>57.582563668363619</v>
      </c>
    </row>
    <row r="60" spans="1:9" ht="14.25" customHeight="1" x14ac:dyDescent="0.2">
      <c r="A60" s="429" t="s">
        <v>512</v>
      </c>
      <c r="B60" s="443">
        <f t="shared" ref="B60:I60" si="20">SUM(B54:B59)</f>
        <v>6.5499999999999989E-2</v>
      </c>
      <c r="C60" s="431">
        <f t="shared" si="20"/>
        <v>109.54732090909087</v>
      </c>
      <c r="D60" s="431">
        <f t="shared" si="20"/>
        <v>93.897703636363616</v>
      </c>
      <c r="E60" s="431">
        <f t="shared" si="20"/>
        <v>82.160490681818175</v>
      </c>
      <c r="F60" s="431">
        <f t="shared" si="20"/>
        <v>70.423277727272705</v>
      </c>
      <c r="G60" s="431">
        <f t="shared" si="20"/>
        <v>46.948851818181808</v>
      </c>
      <c r="H60" s="432">
        <f t="shared" si="20"/>
        <v>109.36862499999998</v>
      </c>
      <c r="I60" s="433">
        <f t="shared" si="20"/>
        <v>109.64121861272724</v>
      </c>
    </row>
    <row r="61" spans="1:9" ht="14.25" customHeight="1" x14ac:dyDescent="0.2">
      <c r="A61" s="755"/>
      <c r="B61" s="755"/>
      <c r="C61" s="755"/>
      <c r="D61" s="755"/>
      <c r="E61" s="755"/>
      <c r="F61" s="755"/>
      <c r="G61" s="755"/>
      <c r="H61" s="755"/>
      <c r="I61" s="755"/>
    </row>
    <row r="62" spans="1:9" ht="15.75" customHeight="1" x14ac:dyDescent="0.2">
      <c r="A62" s="753" t="s">
        <v>546</v>
      </c>
      <c r="B62" s="753"/>
      <c r="C62" s="753"/>
      <c r="D62" s="753"/>
      <c r="E62" s="753"/>
      <c r="F62" s="753"/>
      <c r="G62" s="753"/>
      <c r="H62" s="753"/>
      <c r="I62" s="753"/>
    </row>
    <row r="63" spans="1:9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39" t="s">
        <v>504</v>
      </c>
      <c r="F63" s="439" t="s">
        <v>504</v>
      </c>
      <c r="G63" s="439" t="s">
        <v>504</v>
      </c>
      <c r="H63" s="439" t="s">
        <v>504</v>
      </c>
      <c r="I63" s="439" t="s">
        <v>504</v>
      </c>
    </row>
    <row r="64" spans="1:9" ht="14.25" customHeight="1" x14ac:dyDescent="0.2">
      <c r="A64" s="441" t="s">
        <v>46</v>
      </c>
      <c r="B64" s="442">
        <f>1/12</f>
        <v>8.3333333333333329E-2</v>
      </c>
      <c r="C64" s="449">
        <f t="shared" ref="C64:I67" si="21">$B64*(C$19+C$49+C$60)</f>
        <v>261.70026916666666</v>
      </c>
      <c r="D64" s="449">
        <f t="shared" si="21"/>
        <v>230.13427833333333</v>
      </c>
      <c r="E64" s="449">
        <f t="shared" si="21"/>
        <v>192.96686854166666</v>
      </c>
      <c r="F64" s="449">
        <f t="shared" si="21"/>
        <v>169.29195874999999</v>
      </c>
      <c r="G64" s="449">
        <f t="shared" si="21"/>
        <v>123.43047249999998</v>
      </c>
      <c r="H64" s="449">
        <f t="shared" si="21"/>
        <v>258.96504745370368</v>
      </c>
      <c r="I64" s="450">
        <f t="shared" si="21"/>
        <v>259.49420844499997</v>
      </c>
    </row>
    <row r="65" spans="1:9" x14ac:dyDescent="0.2">
      <c r="A65" s="441" t="s">
        <v>547</v>
      </c>
      <c r="B65" s="442">
        <f>MC!E54/30/12</f>
        <v>1.3538888888888885E-2</v>
      </c>
      <c r="C65" s="449">
        <f t="shared" si="21"/>
        <v>42.517570397277765</v>
      </c>
      <c r="D65" s="449">
        <f t="shared" si="21"/>
        <v>37.389149086555541</v>
      </c>
      <c r="E65" s="449">
        <f t="shared" si="21"/>
        <v>31.350683909069438</v>
      </c>
      <c r="F65" s="449">
        <f t="shared" si="21"/>
        <v>27.504300231583326</v>
      </c>
      <c r="G65" s="449">
        <f t="shared" si="21"/>
        <v>20.053337432166661</v>
      </c>
      <c r="H65" s="449">
        <f t="shared" si="21"/>
        <v>42.07318804297838</v>
      </c>
      <c r="I65" s="450">
        <f t="shared" si="21"/>
        <v>42.159159065364321</v>
      </c>
    </row>
    <row r="66" spans="1:9" x14ac:dyDescent="0.2">
      <c r="A66" s="441" t="s">
        <v>548</v>
      </c>
      <c r="B66" s="467">
        <f>(5/30)/12*MC!F56*MC!C57</f>
        <v>1.0764583333333333E-4</v>
      </c>
      <c r="C66" s="449">
        <f t="shared" si="21"/>
        <v>0.33805132269604166</v>
      </c>
      <c r="D66" s="449">
        <f t="shared" si="21"/>
        <v>0.29727595403708335</v>
      </c>
      <c r="E66" s="449">
        <f t="shared" si="21"/>
        <v>0.24926495243869792</v>
      </c>
      <c r="F66" s="449">
        <f t="shared" si="21"/>
        <v>0.2186828877153125</v>
      </c>
      <c r="G66" s="449">
        <f t="shared" si="21"/>
        <v>0.15944131285187499</v>
      </c>
      <c r="H66" s="449">
        <f t="shared" si="21"/>
        <v>0.33451810004832172</v>
      </c>
      <c r="I66" s="450">
        <f t="shared" si="21"/>
        <v>0.33520164375882872</v>
      </c>
    </row>
    <row r="67" spans="1:9" ht="14.25" customHeight="1" x14ac:dyDescent="0.2">
      <c r="A67" s="441" t="s">
        <v>549</v>
      </c>
      <c r="B67" s="467">
        <f>MC!C59/30/12</f>
        <v>2.6830555555555553E-3</v>
      </c>
      <c r="C67" s="449">
        <f t="shared" si="21"/>
        <v>8.4258763329361095</v>
      </c>
      <c r="D67" s="449">
        <f t="shared" si="21"/>
        <v>7.409556648072221</v>
      </c>
      <c r="E67" s="449">
        <f t="shared" si="21"/>
        <v>6.2128899441465277</v>
      </c>
      <c r="F67" s="449">
        <f t="shared" si="21"/>
        <v>5.4506367652208327</v>
      </c>
      <c r="G67" s="449">
        <f t="shared" si="21"/>
        <v>3.9740497795916658</v>
      </c>
      <c r="H67" s="449">
        <f t="shared" si="21"/>
        <v>8.3378113111844119</v>
      </c>
      <c r="I67" s="450">
        <f t="shared" si="21"/>
        <v>8.3548485312341825</v>
      </c>
    </row>
    <row r="68" spans="1:9" ht="14.25" customHeight="1" x14ac:dyDescent="0.2">
      <c r="A68" s="441" t="s">
        <v>511</v>
      </c>
      <c r="B68" s="442"/>
      <c r="C68" s="453" t="s">
        <v>88</v>
      </c>
      <c r="D68" s="453" t="s">
        <v>88</v>
      </c>
      <c r="E68" s="453" t="s">
        <v>88</v>
      </c>
      <c r="F68" s="453" t="s">
        <v>88</v>
      </c>
      <c r="G68" s="453" t="s">
        <v>88</v>
      </c>
      <c r="H68" s="456" t="s">
        <v>88</v>
      </c>
      <c r="I68" s="454" t="s">
        <v>88</v>
      </c>
    </row>
    <row r="69" spans="1:9" ht="14.25" customHeight="1" x14ac:dyDescent="0.2">
      <c r="A69" s="468" t="s">
        <v>550</v>
      </c>
      <c r="B69" s="469">
        <f t="shared" ref="B69:I69" si="22">SUM(B64:B68)</f>
        <v>9.9662923611111107E-2</v>
      </c>
      <c r="C69" s="470">
        <f t="shared" si="22"/>
        <v>312.98176721957662</v>
      </c>
      <c r="D69" s="470">
        <f t="shared" si="22"/>
        <v>275.23026002199822</v>
      </c>
      <c r="E69" s="470">
        <f t="shared" si="22"/>
        <v>230.77970734732131</v>
      </c>
      <c r="F69" s="470">
        <f t="shared" si="22"/>
        <v>202.46557863451946</v>
      </c>
      <c r="G69" s="470">
        <f t="shared" si="22"/>
        <v>147.61730102461019</v>
      </c>
      <c r="H69" s="470">
        <f t="shared" si="22"/>
        <v>309.71056490791477</v>
      </c>
      <c r="I69" s="471">
        <f t="shared" si="22"/>
        <v>310.34341768535728</v>
      </c>
    </row>
    <row r="70" spans="1:9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39" t="s">
        <v>504</v>
      </c>
      <c r="F70" s="439" t="s">
        <v>504</v>
      </c>
      <c r="G70" s="439" t="s">
        <v>504</v>
      </c>
      <c r="H70" s="439" t="s">
        <v>504</v>
      </c>
      <c r="I70" s="440" t="s">
        <v>504</v>
      </c>
    </row>
    <row r="71" spans="1:9" ht="14.25" customHeight="1" x14ac:dyDescent="0.2">
      <c r="A71" s="441" t="s">
        <v>552</v>
      </c>
      <c r="B71" s="442"/>
      <c r="C71" s="453" t="s">
        <v>88</v>
      </c>
      <c r="D71" s="453" t="s">
        <v>88</v>
      </c>
      <c r="E71" s="453" t="s">
        <v>88</v>
      </c>
      <c r="F71" s="453" t="s">
        <v>88</v>
      </c>
      <c r="G71" s="453" t="s">
        <v>88</v>
      </c>
      <c r="H71" s="456" t="s">
        <v>88</v>
      </c>
      <c r="I71" s="454" t="s">
        <v>88</v>
      </c>
    </row>
    <row r="72" spans="1:9" ht="14.25" customHeight="1" x14ac:dyDescent="0.2">
      <c r="A72" s="468" t="s">
        <v>550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39" t="s">
        <v>504</v>
      </c>
      <c r="F73" s="439" t="s">
        <v>504</v>
      </c>
      <c r="G73" s="439" t="s">
        <v>504</v>
      </c>
      <c r="H73" s="439" t="s">
        <v>504</v>
      </c>
      <c r="I73" s="440" t="s">
        <v>504</v>
      </c>
    </row>
    <row r="74" spans="1:9" ht="14.25" customHeight="1" x14ac:dyDescent="0.2">
      <c r="A74" s="441" t="s">
        <v>68</v>
      </c>
      <c r="B74" s="442">
        <f>120/30*MC!C62*MC!C63</f>
        <v>6.18624E-3</v>
      </c>
      <c r="C74" s="449">
        <f t="shared" ref="C74:I74" si="24">(((C19*2)+ (C19*1/3))+(C36)+(C44-C38-C39))*$B$74</f>
        <v>28.47909256494545</v>
      </c>
      <c r="D74" s="449">
        <f t="shared" si="24"/>
        <v>24.426098694981821</v>
      </c>
      <c r="E74" s="449">
        <f t="shared" si="24"/>
        <v>21.386183170909092</v>
      </c>
      <c r="F74" s="449">
        <f t="shared" si="24"/>
        <v>18.346391371636361</v>
      </c>
      <c r="G74" s="449">
        <f t="shared" si="24"/>
        <v>12.266498461090908</v>
      </c>
      <c r="H74" s="449">
        <f t="shared" si="24"/>
        <v>28.432845734400001</v>
      </c>
      <c r="I74" s="450">
        <f t="shared" si="24"/>
        <v>28.50349701180043</v>
      </c>
    </row>
    <row r="75" spans="1:9" ht="15.75" customHeight="1" x14ac:dyDescent="0.2">
      <c r="A75" s="468" t="s">
        <v>512</v>
      </c>
      <c r="B75" s="469"/>
      <c r="C75" s="472">
        <f t="shared" ref="C75:I75" si="25">C74</f>
        <v>28.47909256494545</v>
      </c>
      <c r="D75" s="472">
        <f t="shared" si="25"/>
        <v>24.426098694981821</v>
      </c>
      <c r="E75" s="472">
        <f t="shared" si="25"/>
        <v>21.386183170909092</v>
      </c>
      <c r="F75" s="472">
        <f t="shared" si="25"/>
        <v>18.346391371636361</v>
      </c>
      <c r="G75" s="472">
        <f t="shared" si="25"/>
        <v>12.266498461090908</v>
      </c>
      <c r="H75" s="472">
        <f t="shared" si="25"/>
        <v>28.432845734400001</v>
      </c>
      <c r="I75" s="473">
        <f t="shared" si="25"/>
        <v>28.50349701180043</v>
      </c>
    </row>
    <row r="76" spans="1:9" x14ac:dyDescent="0.2">
      <c r="A76" s="415" t="s">
        <v>553</v>
      </c>
      <c r="B76" s="416" t="s">
        <v>503</v>
      </c>
      <c r="C76" s="416" t="s">
        <v>504</v>
      </c>
      <c r="D76" s="416" t="s">
        <v>504</v>
      </c>
      <c r="E76" s="416" t="s">
        <v>504</v>
      </c>
      <c r="F76" s="416" t="s">
        <v>504</v>
      </c>
      <c r="G76" s="416" t="s">
        <v>504</v>
      </c>
      <c r="H76" s="416" t="s">
        <v>504</v>
      </c>
      <c r="I76" s="417" t="s">
        <v>504</v>
      </c>
    </row>
    <row r="77" spans="1:9" x14ac:dyDescent="0.2">
      <c r="A77" s="441" t="s">
        <v>45</v>
      </c>
      <c r="B77" s="458">
        <f t="shared" ref="B77:I77" si="26">B69</f>
        <v>9.9662923611111107E-2</v>
      </c>
      <c r="C77" s="459">
        <f t="shared" si="26"/>
        <v>312.98176721957662</v>
      </c>
      <c r="D77" s="459">
        <f t="shared" si="26"/>
        <v>275.23026002199822</v>
      </c>
      <c r="E77" s="459">
        <f t="shared" si="26"/>
        <v>230.77970734732131</v>
      </c>
      <c r="F77" s="459">
        <f t="shared" si="26"/>
        <v>202.46557863451946</v>
      </c>
      <c r="G77" s="459">
        <f t="shared" si="26"/>
        <v>147.61730102461019</v>
      </c>
      <c r="H77" s="459">
        <f t="shared" si="26"/>
        <v>309.71056490791477</v>
      </c>
      <c r="I77" s="460">
        <f t="shared" si="26"/>
        <v>310.34341768535728</v>
      </c>
    </row>
    <row r="78" spans="1:9" ht="15.75" customHeight="1" x14ac:dyDescent="0.2">
      <c r="A78" s="441" t="s">
        <v>551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67</v>
      </c>
      <c r="B79" s="458">
        <f t="shared" ref="B79:I79" si="28">B74</f>
        <v>6.18624E-3</v>
      </c>
      <c r="C79" s="459">
        <f t="shared" si="28"/>
        <v>28.47909256494545</v>
      </c>
      <c r="D79" s="459">
        <f t="shared" si="28"/>
        <v>24.426098694981821</v>
      </c>
      <c r="E79" s="459">
        <f t="shared" si="28"/>
        <v>21.386183170909092</v>
      </c>
      <c r="F79" s="459">
        <f t="shared" si="28"/>
        <v>18.346391371636361</v>
      </c>
      <c r="G79" s="459">
        <f t="shared" si="28"/>
        <v>12.266498461090908</v>
      </c>
      <c r="H79" s="459">
        <f t="shared" si="28"/>
        <v>28.432845734400001</v>
      </c>
      <c r="I79" s="460">
        <f t="shared" si="28"/>
        <v>28.50349701180043</v>
      </c>
    </row>
    <row r="80" spans="1:9" ht="15.75" customHeight="1" x14ac:dyDescent="0.2">
      <c r="A80" s="429" t="s">
        <v>512</v>
      </c>
      <c r="B80" s="430"/>
      <c r="C80" s="444">
        <f t="shared" ref="C80:I80" si="29">SUM(C77:C79)</f>
        <v>341.46085978452209</v>
      </c>
      <c r="D80" s="444">
        <f t="shared" si="29"/>
        <v>299.65635871698004</v>
      </c>
      <c r="E80" s="444">
        <f t="shared" si="29"/>
        <v>252.16589051823041</v>
      </c>
      <c r="F80" s="444">
        <f t="shared" si="29"/>
        <v>220.81197000615583</v>
      </c>
      <c r="G80" s="444">
        <f t="shared" si="29"/>
        <v>159.8837994857011</v>
      </c>
      <c r="H80" s="444">
        <f t="shared" si="29"/>
        <v>338.14341064231479</v>
      </c>
      <c r="I80" s="445">
        <f t="shared" si="29"/>
        <v>338.84691469715773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554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555</v>
      </c>
      <c r="B83" s="416" t="s">
        <v>556</v>
      </c>
      <c r="C83" s="416" t="s">
        <v>504</v>
      </c>
      <c r="D83" s="416" t="s">
        <v>504</v>
      </c>
      <c r="E83" s="416" t="s">
        <v>504</v>
      </c>
      <c r="F83" s="416" t="s">
        <v>504</v>
      </c>
      <c r="G83" s="416" t="s">
        <v>504</v>
      </c>
      <c r="H83" s="416" t="s">
        <v>504</v>
      </c>
      <c r="I83" s="417" t="s">
        <v>504</v>
      </c>
    </row>
    <row r="84" spans="1:9" ht="15.75" customHeight="1" x14ac:dyDescent="0.2">
      <c r="A84" s="441" t="s">
        <v>557</v>
      </c>
      <c r="B84" s="477"/>
      <c r="C84" s="420">
        <f>Insumos!$I126</f>
        <v>37.949999999999996</v>
      </c>
      <c r="D84" s="420">
        <f>Insumos!$I126</f>
        <v>37.949999999999996</v>
      </c>
      <c r="E84" s="420">
        <f>Insumos!$I126</f>
        <v>37.949999999999996</v>
      </c>
      <c r="F84" s="420">
        <f>Insumos!$I126</f>
        <v>37.949999999999996</v>
      </c>
      <c r="G84" s="420">
        <f>Insumos!$I118</f>
        <v>27.875416666666666</v>
      </c>
      <c r="H84" s="420">
        <f>Insumos!$I118</f>
        <v>27.875416666666666</v>
      </c>
      <c r="I84" s="422">
        <f>Insumos!I119</f>
        <v>34.030416666666667</v>
      </c>
    </row>
    <row r="85" spans="1:9" x14ac:dyDescent="0.2">
      <c r="A85" s="478" t="s">
        <v>558</v>
      </c>
      <c r="B85" s="477"/>
      <c r="C85" s="420">
        <f>Insumos!$G60</f>
        <v>461.23111666666665</v>
      </c>
      <c r="D85" s="420">
        <f>Insumos!$G60</f>
        <v>461.23111666666665</v>
      </c>
      <c r="E85" s="420">
        <f>Insumos!$G60</f>
        <v>461.23111666666665</v>
      </c>
      <c r="F85" s="420">
        <f>Insumos!$G60</f>
        <v>461.23111666666665</v>
      </c>
      <c r="G85" s="420">
        <f>Insumos!$G60</f>
        <v>461.23111666666665</v>
      </c>
      <c r="H85" s="424" t="s">
        <v>88</v>
      </c>
      <c r="I85" s="425" t="s">
        <v>88</v>
      </c>
    </row>
    <row r="86" spans="1:9" x14ac:dyDescent="0.2">
      <c r="A86" s="478" t="s">
        <v>559</v>
      </c>
      <c r="B86" s="479"/>
      <c r="C86" s="420">
        <f>Insumos!$I100</f>
        <v>26.40378333333333</v>
      </c>
      <c r="D86" s="420">
        <f>Insumos!$I100</f>
        <v>26.40378333333333</v>
      </c>
      <c r="E86" s="420">
        <f>Insumos!$I100</f>
        <v>26.40378333333333</v>
      </c>
      <c r="F86" s="420">
        <f>Insumos!$I100</f>
        <v>26.40378333333333</v>
      </c>
      <c r="G86" s="420">
        <f>Insumos!$I100</f>
        <v>26.40378333333333</v>
      </c>
      <c r="H86" s="424" t="s">
        <v>88</v>
      </c>
      <c r="I86" s="425" t="s">
        <v>88</v>
      </c>
    </row>
    <row r="87" spans="1:9" ht="15.75" customHeight="1" x14ac:dyDescent="0.2">
      <c r="A87" s="478" t="s">
        <v>560</v>
      </c>
      <c r="B87" s="477"/>
      <c r="C87" s="420">
        <f>Insumos!$I130</f>
        <v>36.666666666666671</v>
      </c>
      <c r="D87" s="420">
        <f>Insumos!$I130</f>
        <v>36.666666666666671</v>
      </c>
      <c r="E87" s="420">
        <f>Insumos!$H130</f>
        <v>25.446666666666665</v>
      </c>
      <c r="F87" s="420">
        <f>Insumos!$H130</f>
        <v>25.446666666666665</v>
      </c>
      <c r="G87" s="420">
        <f>Insumos!$H130</f>
        <v>25.446666666666665</v>
      </c>
      <c r="H87" s="424" t="s">
        <v>88</v>
      </c>
      <c r="I87" s="425" t="s">
        <v>88</v>
      </c>
    </row>
    <row r="88" spans="1:9" ht="15.75" customHeight="1" x14ac:dyDescent="0.2">
      <c r="A88" s="478" t="s">
        <v>561</v>
      </c>
      <c r="B88" s="442">
        <v>0.12</v>
      </c>
      <c r="C88" s="424" t="s">
        <v>88</v>
      </c>
      <c r="D88" s="424" t="s">
        <v>88</v>
      </c>
      <c r="E88" s="424" t="s">
        <v>88</v>
      </c>
      <c r="F88" s="424" t="s">
        <v>88</v>
      </c>
      <c r="G88" s="424" t="s">
        <v>88</v>
      </c>
      <c r="H88" s="421">
        <f>B88*(H123+H124+H84)</f>
        <v>363.1304833333333</v>
      </c>
      <c r="I88" s="425" t="s">
        <v>88</v>
      </c>
    </row>
    <row r="89" spans="1:9" ht="15.75" customHeight="1" x14ac:dyDescent="0.2">
      <c r="A89" s="480" t="s">
        <v>562</v>
      </c>
      <c r="B89" s="481"/>
      <c r="C89" s="482"/>
      <c r="D89" s="482"/>
      <c r="E89" s="482"/>
      <c r="F89" s="482"/>
      <c r="G89" s="482"/>
      <c r="H89" s="483"/>
      <c r="I89" s="484">
        <f>Insumos!H146</f>
        <v>50.323333333333331</v>
      </c>
    </row>
    <row r="90" spans="1:9" ht="15.75" customHeight="1" x14ac:dyDescent="0.2">
      <c r="A90" s="478" t="s">
        <v>563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512</v>
      </c>
      <c r="B91" s="485"/>
      <c r="C91" s="470">
        <f t="shared" ref="C91:I91" si="30">SUM(C84:C90)</f>
        <v>562.25156666666658</v>
      </c>
      <c r="D91" s="470">
        <f t="shared" si="30"/>
        <v>562.25156666666658</v>
      </c>
      <c r="E91" s="470">
        <f t="shared" si="30"/>
        <v>551.03156666666666</v>
      </c>
      <c r="F91" s="470">
        <f t="shared" si="30"/>
        <v>551.03156666666666</v>
      </c>
      <c r="G91" s="470">
        <f t="shared" si="30"/>
        <v>540.95698333333337</v>
      </c>
      <c r="H91" s="470">
        <f t="shared" si="30"/>
        <v>391.0059</v>
      </c>
      <c r="I91" s="471">
        <f t="shared" si="30"/>
        <v>84.353749999999991</v>
      </c>
    </row>
    <row r="92" spans="1:9" ht="15.75" customHeight="1" x14ac:dyDescent="0.2">
      <c r="A92" s="754"/>
      <c r="B92" s="754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564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565</v>
      </c>
      <c r="B94" s="416" t="s">
        <v>503</v>
      </c>
      <c r="C94" s="416" t="s">
        <v>504</v>
      </c>
      <c r="D94" s="416" t="s">
        <v>504</v>
      </c>
      <c r="E94" s="416" t="s">
        <v>504</v>
      </c>
      <c r="F94" s="416" t="s">
        <v>504</v>
      </c>
      <c r="G94" s="416" t="s">
        <v>504</v>
      </c>
      <c r="H94" s="416" t="s">
        <v>504</v>
      </c>
      <c r="I94" s="417" t="s">
        <v>504</v>
      </c>
    </row>
    <row r="95" spans="1:9" ht="15.75" customHeight="1" x14ac:dyDescent="0.2">
      <c r="A95" s="418" t="s">
        <v>73</v>
      </c>
      <c r="B95" s="442">
        <f>MC!C66</f>
        <v>0.03</v>
      </c>
      <c r="C95" s="449">
        <f t="shared" ref="C95:I95" si="31">(C$19+C$49+C$60+C$80+C$91)*$B$95</f>
        <v>121.32346969353564</v>
      </c>
      <c r="D95" s="449">
        <f t="shared" si="31"/>
        <v>108.70557796150939</v>
      </c>
      <c r="E95" s="449">
        <f t="shared" si="31"/>
        <v>93.563996390546905</v>
      </c>
      <c r="F95" s="449">
        <f t="shared" si="31"/>
        <v>84.100411250184663</v>
      </c>
      <c r="G95" s="449">
        <f t="shared" si="31"/>
        <v>65.460193584571016</v>
      </c>
      <c r="H95" s="449">
        <f t="shared" si="31"/>
        <v>115.10189640260278</v>
      </c>
      <c r="I95" s="450">
        <f t="shared" si="31"/>
        <v>106.11393498111472</v>
      </c>
    </row>
    <row r="96" spans="1:9" x14ac:dyDescent="0.2">
      <c r="A96" s="418" t="s">
        <v>74</v>
      </c>
      <c r="B96" s="442">
        <f>MC!C67</f>
        <v>6.7900000000000002E-2</v>
      </c>
      <c r="C96" s="449">
        <f t="shared" ref="C96:I96" si="32">(C$19+C$49+C$60+C$80+C$91+C95)*$B$96</f>
        <v>282.83331666522679</v>
      </c>
      <c r="D96" s="449">
        <f t="shared" si="32"/>
        <v>253.41806686313609</v>
      </c>
      <c r="E96" s="449">
        <f t="shared" si="32"/>
        <v>218.11950718552265</v>
      </c>
      <c r="F96" s="449">
        <f t="shared" si="32"/>
        <v>196.05768205347218</v>
      </c>
      <c r="G96" s="449">
        <f t="shared" si="32"/>
        <v>152.60298529080481</v>
      </c>
      <c r="H96" s="449">
        <f t="shared" si="32"/>
        <v>268.32937762362769</v>
      </c>
      <c r="I96" s="450">
        <f t="shared" si="32"/>
        <v>247.37634235914069</v>
      </c>
    </row>
    <row r="97" spans="1:10" x14ac:dyDescent="0.2">
      <c r="A97" s="489" t="s">
        <v>566</v>
      </c>
      <c r="B97" s="490">
        <f>B98+B99</f>
        <v>0.1125</v>
      </c>
      <c r="C97" s="491">
        <f t="shared" ref="C97:I97" si="33">((C19+C49+C60+C80+C91+C95+C96)/(1-($B$97)))*$B$97</f>
        <v>563.86552091957128</v>
      </c>
      <c r="D97" s="491">
        <f t="shared" si="33"/>
        <v>505.22234073062867</v>
      </c>
      <c r="E97" s="491">
        <f t="shared" si="33"/>
        <v>434.85000632885493</v>
      </c>
      <c r="F97" s="491">
        <f t="shared" si="33"/>
        <v>390.86684809561007</v>
      </c>
      <c r="G97" s="491">
        <f t="shared" si="33"/>
        <v>304.23417866548868</v>
      </c>
      <c r="H97" s="491">
        <f t="shared" si="33"/>
        <v>534.9500054509424</v>
      </c>
      <c r="I97" s="492">
        <f t="shared" si="33"/>
        <v>493.17736606192562</v>
      </c>
    </row>
    <row r="98" spans="1:10" x14ac:dyDescent="0.2">
      <c r="A98" s="418" t="s">
        <v>567</v>
      </c>
      <c r="B98" s="442">
        <f>0.0165+0.076</f>
        <v>9.2499999999999999E-2</v>
      </c>
      <c r="C98" s="493">
        <f t="shared" ref="C98:I98" si="34">((C$19+C$49+C$60+C$80+C$91+C$95+C$96)/(1-($B$97)))*$B$98</f>
        <v>463.62276164498081</v>
      </c>
      <c r="D98" s="493">
        <f t="shared" si="34"/>
        <v>415.40503571185019</v>
      </c>
      <c r="E98" s="493">
        <f t="shared" si="34"/>
        <v>357.5433385370585</v>
      </c>
      <c r="F98" s="493">
        <f t="shared" si="34"/>
        <v>321.37940843416823</v>
      </c>
      <c r="G98" s="493">
        <f t="shared" si="34"/>
        <v>250.14810245829068</v>
      </c>
      <c r="H98" s="493">
        <f t="shared" si="34"/>
        <v>439.84778225966375</v>
      </c>
      <c r="I98" s="494">
        <f t="shared" si="34"/>
        <v>405.50138987313881</v>
      </c>
    </row>
    <row r="99" spans="1:10" x14ac:dyDescent="0.2">
      <c r="A99" s="418" t="s">
        <v>568</v>
      </c>
      <c r="B99" s="442">
        <v>0.02</v>
      </c>
      <c r="C99" s="495">
        <f t="shared" ref="C99:I99" si="35">((C$19+C$49+C$60+C$80+C$91+C$95+C$96)/(1-($B$97)))*$B$99</f>
        <v>100.24275927459044</v>
      </c>
      <c r="D99" s="495">
        <f t="shared" si="35"/>
        <v>89.817305018778427</v>
      </c>
      <c r="E99" s="495">
        <f t="shared" si="35"/>
        <v>77.306667791796443</v>
      </c>
      <c r="F99" s="495">
        <f t="shared" si="35"/>
        <v>69.487439661441783</v>
      </c>
      <c r="G99" s="495">
        <f t="shared" si="35"/>
        <v>54.086076207197983</v>
      </c>
      <c r="H99" s="495">
        <f t="shared" si="35"/>
        <v>95.10222319127864</v>
      </c>
      <c r="I99" s="496">
        <f t="shared" si="35"/>
        <v>87.675976188786777</v>
      </c>
    </row>
    <row r="100" spans="1:10" x14ac:dyDescent="0.2">
      <c r="A100" s="489" t="s">
        <v>569</v>
      </c>
      <c r="B100" s="490">
        <f>B101+B102</f>
        <v>0.11749999999999999</v>
      </c>
      <c r="C100" s="491">
        <f t="shared" ref="C100:I100" si="36">((C19+C49+C60+C80+C91+C95+C96)/(1-($B$100)))*$B$100</f>
        <v>592.26290315033327</v>
      </c>
      <c r="D100" s="491">
        <f t="shared" si="36"/>
        <v>530.66633648665641</v>
      </c>
      <c r="E100" s="491">
        <f t="shared" si="36"/>
        <v>456.74991221888217</v>
      </c>
      <c r="F100" s="491">
        <f t="shared" si="36"/>
        <v>410.55167519516851</v>
      </c>
      <c r="G100" s="491">
        <f t="shared" si="36"/>
        <v>319.55601328509147</v>
      </c>
      <c r="H100" s="491">
        <f t="shared" si="36"/>
        <v>561.89114516518555</v>
      </c>
      <c r="I100" s="492">
        <f t="shared" si="36"/>
        <v>518.01475308424472</v>
      </c>
    </row>
    <row r="101" spans="1:10" x14ac:dyDescent="0.2">
      <c r="A101" s="418" t="s">
        <v>567</v>
      </c>
      <c r="B101" s="442">
        <f>0.0165+0.076</f>
        <v>9.2499999999999999E-2</v>
      </c>
      <c r="C101" s="493">
        <f t="shared" ref="C101:I101" si="37">((C19+C49+C60+C80+C91+C95+C96)/(1-($B$100)))*$B$101</f>
        <v>466.24951950132623</v>
      </c>
      <c r="D101" s="493">
        <f t="shared" si="37"/>
        <v>417.75860531928271</v>
      </c>
      <c r="E101" s="493">
        <f t="shared" si="37"/>
        <v>359.56907983188597</v>
      </c>
      <c r="F101" s="493">
        <f t="shared" si="37"/>
        <v>323.20025494087736</v>
      </c>
      <c r="G101" s="493">
        <f t="shared" si="37"/>
        <v>251.56537216060391</v>
      </c>
      <c r="H101" s="493">
        <f t="shared" si="37"/>
        <v>442.33983768323122</v>
      </c>
      <c r="I101" s="494">
        <f t="shared" si="37"/>
        <v>407.79884817270329</v>
      </c>
    </row>
    <row r="102" spans="1:10" x14ac:dyDescent="0.2">
      <c r="A102" s="418" t="s">
        <v>568</v>
      </c>
      <c r="B102" s="442">
        <v>2.5000000000000001E-2</v>
      </c>
      <c r="C102" s="495">
        <f t="shared" ref="C102:I102" si="38">((C$19+C$49+C$60+C$80+C$91+C$95+C$96)/(1-($B$100)))*$B$102</f>
        <v>126.0133836490071</v>
      </c>
      <c r="D102" s="495">
        <f t="shared" si="38"/>
        <v>112.90773116737371</v>
      </c>
      <c r="E102" s="495">
        <f t="shared" si="38"/>
        <v>97.180832386996215</v>
      </c>
      <c r="F102" s="495">
        <f t="shared" si="38"/>
        <v>87.351420254291185</v>
      </c>
      <c r="G102" s="495">
        <f t="shared" si="38"/>
        <v>67.990641124487553</v>
      </c>
      <c r="H102" s="495">
        <f t="shared" si="38"/>
        <v>119.55130748195438</v>
      </c>
      <c r="I102" s="496">
        <f t="shared" si="38"/>
        <v>110.21590491154143</v>
      </c>
    </row>
    <row r="103" spans="1:10" x14ac:dyDescent="0.2">
      <c r="A103" s="489" t="s">
        <v>570</v>
      </c>
      <c r="B103" s="490">
        <f>B104+B105</f>
        <v>0.1225</v>
      </c>
      <c r="C103" s="491">
        <f t="shared" ref="C103:I103" si="39">((C19+C49+C60+C80+C91+C95+C96)/(1-($B$103)))*$B$103</f>
        <v>620.98390227261427</v>
      </c>
      <c r="D103" s="491">
        <f t="shared" si="39"/>
        <v>556.4002923082802</v>
      </c>
      <c r="E103" s="491">
        <f t="shared" si="39"/>
        <v>478.89938968600393</v>
      </c>
      <c r="F103" s="491">
        <f t="shared" si="39"/>
        <v>430.46083080868232</v>
      </c>
      <c r="G103" s="491">
        <f t="shared" si="39"/>
        <v>335.05245570662714</v>
      </c>
      <c r="H103" s="491">
        <f t="shared" si="39"/>
        <v>589.13930641463389</v>
      </c>
      <c r="I103" s="492">
        <f t="shared" si="39"/>
        <v>543.13518725211759</v>
      </c>
    </row>
    <row r="104" spans="1:10" x14ac:dyDescent="0.2">
      <c r="A104" s="418" t="s">
        <v>567</v>
      </c>
      <c r="B104" s="442">
        <f>0.0165+0.076</f>
        <v>9.2499999999999999E-2</v>
      </c>
      <c r="C104" s="493">
        <f t="shared" ref="C104:I104" si="40">((C19+C49+C60+C80+C91+C95+C96)/(1-($B$103)))*$B$104</f>
        <v>468.90621192013731</v>
      </c>
      <c r="D104" s="493">
        <f t="shared" si="40"/>
        <v>420.13899623278297</v>
      </c>
      <c r="E104" s="493">
        <f t="shared" si="40"/>
        <v>361.61790649759479</v>
      </c>
      <c r="F104" s="493">
        <f t="shared" si="40"/>
        <v>325.04185183512743</v>
      </c>
      <c r="G104" s="493">
        <f t="shared" si="40"/>
        <v>252.998793084596</v>
      </c>
      <c r="H104" s="493">
        <f t="shared" si="40"/>
        <v>444.86029259880519</v>
      </c>
      <c r="I104" s="494">
        <f t="shared" si="40"/>
        <v>410.12248833323162</v>
      </c>
    </row>
    <row r="105" spans="1:10" x14ac:dyDescent="0.2">
      <c r="A105" s="418" t="s">
        <v>568</v>
      </c>
      <c r="B105" s="442">
        <v>0.03</v>
      </c>
      <c r="C105" s="495">
        <f t="shared" ref="C105:I105" si="41">((C19+C49+C60+C80+C91+C95+C96)/(1-($B$103)))*$B$105</f>
        <v>152.07769035247696</v>
      </c>
      <c r="D105" s="495">
        <f t="shared" si="41"/>
        <v>136.26129607549717</v>
      </c>
      <c r="E105" s="495">
        <f t="shared" si="41"/>
        <v>117.28148318840913</v>
      </c>
      <c r="F105" s="495">
        <f t="shared" si="41"/>
        <v>105.41897897355484</v>
      </c>
      <c r="G105" s="495">
        <f t="shared" si="41"/>
        <v>82.053662622031126</v>
      </c>
      <c r="H105" s="495">
        <f t="shared" si="41"/>
        <v>144.2790138158287</v>
      </c>
      <c r="I105" s="496">
        <f t="shared" si="41"/>
        <v>133.01269891888592</v>
      </c>
      <c r="J105" s="497"/>
    </row>
    <row r="106" spans="1:10" x14ac:dyDescent="0.2">
      <c r="A106" s="489" t="s">
        <v>571</v>
      </c>
      <c r="B106" s="490">
        <f>B107+B108</f>
        <v>0.13250000000000001</v>
      </c>
      <c r="C106" s="491">
        <f t="shared" ref="C106:I106" si="42">((C19+C49+C60+C80+C91+C95+C96)/(1-($B$106)))*$B$106</f>
        <v>679.41913391621745</v>
      </c>
      <c r="D106" s="491">
        <f t="shared" si="42"/>
        <v>608.75813902316861</v>
      </c>
      <c r="E106" s="491">
        <f t="shared" si="42"/>
        <v>523.96432078625719</v>
      </c>
      <c r="F106" s="491">
        <f t="shared" si="42"/>
        <v>470.96764309439021</v>
      </c>
      <c r="G106" s="491">
        <f t="shared" si="42"/>
        <v>366.58124057580335</v>
      </c>
      <c r="H106" s="491">
        <f t="shared" si="42"/>
        <v>644.57792843800723</v>
      </c>
      <c r="I106" s="492">
        <f t="shared" si="42"/>
        <v>594.24477377234268</v>
      </c>
    </row>
    <row r="107" spans="1:10" x14ac:dyDescent="0.2">
      <c r="A107" s="418" t="s">
        <v>567</v>
      </c>
      <c r="B107" s="442">
        <f>0.0165+0.076</f>
        <v>9.2499999999999999E-2</v>
      </c>
      <c r="C107" s="493">
        <f t="shared" ref="C107:I107" si="43">((C19+C49+C60+C80+C91+C95+C96)/(1-($B$106)))*$B$107</f>
        <v>474.3114708471706</v>
      </c>
      <c r="D107" s="493">
        <f t="shared" si="43"/>
        <v>424.98209705391014</v>
      </c>
      <c r="E107" s="493">
        <f t="shared" si="43"/>
        <v>365.78641262436821</v>
      </c>
      <c r="F107" s="493">
        <f t="shared" si="43"/>
        <v>328.78873197155542</v>
      </c>
      <c r="G107" s="493">
        <f t="shared" si="43"/>
        <v>255.91520568499476</v>
      </c>
      <c r="H107" s="493">
        <f t="shared" si="43"/>
        <v>449.98836513596723</v>
      </c>
      <c r="I107" s="494">
        <f t="shared" si="43"/>
        <v>414.85012508635248</v>
      </c>
    </row>
    <row r="108" spans="1:10" x14ac:dyDescent="0.2">
      <c r="A108" s="418" t="s">
        <v>568</v>
      </c>
      <c r="B108" s="442">
        <v>0.04</v>
      </c>
      <c r="C108" s="495">
        <f t="shared" ref="C108:I108" si="44">((C19+C49+C60+C80+C91+C95+C96)/(1-($B$106)))*$B$108</f>
        <v>205.10766306904677</v>
      </c>
      <c r="D108" s="495">
        <f t="shared" si="44"/>
        <v>183.77604196925844</v>
      </c>
      <c r="E108" s="495">
        <f t="shared" si="44"/>
        <v>158.17790816188895</v>
      </c>
      <c r="F108" s="495">
        <f t="shared" si="44"/>
        <v>142.17891112283479</v>
      </c>
      <c r="G108" s="495">
        <f t="shared" si="44"/>
        <v>110.66603489080855</v>
      </c>
      <c r="H108" s="495">
        <f t="shared" si="44"/>
        <v>194.58956330203989</v>
      </c>
      <c r="I108" s="496">
        <f t="shared" si="44"/>
        <v>179.39464868599026</v>
      </c>
    </row>
    <row r="109" spans="1:10" x14ac:dyDescent="0.2">
      <c r="A109" s="489" t="s">
        <v>572</v>
      </c>
      <c r="B109" s="490">
        <f>B110+B111</f>
        <v>0.14250000000000002</v>
      </c>
      <c r="C109" s="491">
        <f t="shared" ref="C109:I109" si="45">((C19+C49+C60+C80+C91+C95+C96)/(1-($B$109)))*$B$109</f>
        <v>739.2172864144818</v>
      </c>
      <c r="D109" s="491">
        <f t="shared" si="45"/>
        <v>662.33716000545974</v>
      </c>
      <c r="E109" s="491">
        <f t="shared" si="45"/>
        <v>570.08032899672048</v>
      </c>
      <c r="F109" s="491">
        <f t="shared" si="45"/>
        <v>512.41922068122255</v>
      </c>
      <c r="G109" s="491">
        <f t="shared" si="45"/>
        <v>398.84539068974175</v>
      </c>
      <c r="H109" s="491">
        <f t="shared" si="45"/>
        <v>701.30957954647363</v>
      </c>
      <c r="I109" s="492">
        <f t="shared" si="45"/>
        <v>646.5464206195702</v>
      </c>
    </row>
    <row r="110" spans="1:10" x14ac:dyDescent="0.2">
      <c r="A110" s="418" t="s">
        <v>567</v>
      </c>
      <c r="B110" s="442">
        <f>0.0165+0.076</f>
        <v>9.2499999999999999E-2</v>
      </c>
      <c r="C110" s="498">
        <f t="shared" ref="C110:I110" si="46">((C19+C49+C60+C80+C91+C95+C96)/(1-($B$109)))*$B$110</f>
        <v>479.84279995326006</v>
      </c>
      <c r="D110" s="498">
        <f t="shared" si="46"/>
        <v>429.93815649477204</v>
      </c>
      <c r="E110" s="498">
        <f t="shared" si="46"/>
        <v>370.05214338383604</v>
      </c>
      <c r="F110" s="498">
        <f t="shared" si="46"/>
        <v>332.6230028983374</v>
      </c>
      <c r="G110" s="498">
        <f t="shared" si="46"/>
        <v>258.89963957053408</v>
      </c>
      <c r="H110" s="498">
        <f t="shared" si="46"/>
        <v>455.23604286350042</v>
      </c>
      <c r="I110" s="499">
        <f t="shared" si="46"/>
        <v>419.68802741972092</v>
      </c>
    </row>
    <row r="111" spans="1:10" x14ac:dyDescent="0.2">
      <c r="A111" s="418" t="s">
        <v>568</v>
      </c>
      <c r="B111" s="500">
        <v>0.05</v>
      </c>
      <c r="C111" s="501">
        <f t="shared" ref="C111:I111" si="47">((C19+C49+C60+C80+C91+C95+C96)/(1-($B$109)))*$B$111</f>
        <v>259.37448646122169</v>
      </c>
      <c r="D111" s="501">
        <f t="shared" si="47"/>
        <v>232.39900351068761</v>
      </c>
      <c r="E111" s="501">
        <f t="shared" si="47"/>
        <v>200.02818561288439</v>
      </c>
      <c r="F111" s="501">
        <f t="shared" si="47"/>
        <v>179.79621778288509</v>
      </c>
      <c r="G111" s="501">
        <f t="shared" si="47"/>
        <v>139.94575111920764</v>
      </c>
      <c r="H111" s="501">
        <f t="shared" si="47"/>
        <v>246.07353668297321</v>
      </c>
      <c r="I111" s="502">
        <f t="shared" si="47"/>
        <v>226.85839319984916</v>
      </c>
    </row>
    <row r="112" spans="1:10" x14ac:dyDescent="0.2">
      <c r="A112" s="756" t="s">
        <v>573</v>
      </c>
      <c r="B112" s="503">
        <v>0.02</v>
      </c>
      <c r="C112" s="504">
        <f t="shared" ref="C112:I112" si="48">C95+C96+C97</f>
        <v>968.02230727833376</v>
      </c>
      <c r="D112" s="504">
        <f t="shared" si="48"/>
        <v>867.34598555527418</v>
      </c>
      <c r="E112" s="504">
        <f t="shared" si="48"/>
        <v>746.53350990492447</v>
      </c>
      <c r="F112" s="504">
        <f t="shared" si="48"/>
        <v>671.02494139926694</v>
      </c>
      <c r="G112" s="504">
        <f t="shared" si="48"/>
        <v>522.29735754086448</v>
      </c>
      <c r="H112" s="504">
        <f t="shared" si="48"/>
        <v>918.38127947717294</v>
      </c>
      <c r="I112" s="505">
        <f t="shared" si="48"/>
        <v>846.66764340218106</v>
      </c>
    </row>
    <row r="113" spans="1:10" x14ac:dyDescent="0.2">
      <c r="A113" s="756"/>
      <c r="B113" s="506">
        <v>2.5000000000000001E-2</v>
      </c>
      <c r="C113" s="507">
        <f t="shared" ref="C113:I113" si="49">C95+C96+C100</f>
        <v>996.41968950909563</v>
      </c>
      <c r="D113" s="507">
        <f t="shared" si="49"/>
        <v>892.78998131130186</v>
      </c>
      <c r="E113" s="507">
        <f t="shared" si="49"/>
        <v>768.43341579495177</v>
      </c>
      <c r="F113" s="507">
        <f t="shared" si="49"/>
        <v>690.70976849882538</v>
      </c>
      <c r="G113" s="507">
        <f t="shared" si="49"/>
        <v>537.61919216046726</v>
      </c>
      <c r="H113" s="507">
        <f t="shared" si="49"/>
        <v>945.32241919141597</v>
      </c>
      <c r="I113" s="508">
        <f t="shared" si="49"/>
        <v>871.50503042450009</v>
      </c>
    </row>
    <row r="114" spans="1:10" ht="15.75" customHeight="1" x14ac:dyDescent="0.2">
      <c r="A114" s="756"/>
      <c r="B114" s="506">
        <v>0.03</v>
      </c>
      <c r="C114" s="507">
        <f t="shared" ref="C114:I114" si="50">C95+C96+C103</f>
        <v>1025.1406886313766</v>
      </c>
      <c r="D114" s="507">
        <f t="shared" si="50"/>
        <v>918.52393713292565</v>
      </c>
      <c r="E114" s="507">
        <f t="shared" si="50"/>
        <v>790.58289326207341</v>
      </c>
      <c r="F114" s="507">
        <f t="shared" si="50"/>
        <v>710.61892411233919</v>
      </c>
      <c r="G114" s="507">
        <f t="shared" si="50"/>
        <v>553.11563458200294</v>
      </c>
      <c r="H114" s="507">
        <f t="shared" si="50"/>
        <v>972.57058044086443</v>
      </c>
      <c r="I114" s="508">
        <f t="shared" si="50"/>
        <v>896.62546459237296</v>
      </c>
      <c r="J114" s="497"/>
    </row>
    <row r="115" spans="1:10" ht="15.75" customHeight="1" x14ac:dyDescent="0.2">
      <c r="A115" s="756"/>
      <c r="B115" s="506">
        <v>0.04</v>
      </c>
      <c r="C115" s="507">
        <f t="shared" ref="C115:I115" si="51">C95+C96+C106</f>
        <v>1083.5759202749798</v>
      </c>
      <c r="D115" s="507">
        <f t="shared" si="51"/>
        <v>970.88178384781406</v>
      </c>
      <c r="E115" s="507">
        <f t="shared" si="51"/>
        <v>835.64782436232667</v>
      </c>
      <c r="F115" s="507">
        <f t="shared" si="51"/>
        <v>751.12573639804714</v>
      </c>
      <c r="G115" s="507">
        <f t="shared" si="51"/>
        <v>584.64441945117915</v>
      </c>
      <c r="H115" s="507">
        <f t="shared" si="51"/>
        <v>1028.0092024642377</v>
      </c>
      <c r="I115" s="508">
        <f t="shared" si="51"/>
        <v>947.73505111259806</v>
      </c>
    </row>
    <row r="116" spans="1:10" ht="15.75" customHeight="1" x14ac:dyDescent="0.2">
      <c r="A116" s="756"/>
      <c r="B116" s="509">
        <v>0.05</v>
      </c>
      <c r="C116" s="510">
        <f t="shared" ref="C116:I116" si="52">C95+C96+C109</f>
        <v>1143.3740727732443</v>
      </c>
      <c r="D116" s="510">
        <f t="shared" si="52"/>
        <v>1024.4608048301052</v>
      </c>
      <c r="E116" s="510">
        <f t="shared" si="52"/>
        <v>881.76383257279008</v>
      </c>
      <c r="F116" s="510">
        <f t="shared" si="52"/>
        <v>792.57731398487942</v>
      </c>
      <c r="G116" s="510">
        <f t="shared" si="52"/>
        <v>616.90856956511755</v>
      </c>
      <c r="H116" s="510">
        <f t="shared" si="52"/>
        <v>1084.7408535727041</v>
      </c>
      <c r="I116" s="511">
        <f t="shared" si="52"/>
        <v>1000.0366979598257</v>
      </c>
    </row>
    <row r="117" spans="1:10" ht="15.75" customHeight="1" x14ac:dyDescent="0.2">
      <c r="A117" s="418" t="s">
        <v>574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57"/>
      <c r="B119" s="757"/>
      <c r="C119" s="757"/>
      <c r="D119" s="757"/>
      <c r="E119" s="757"/>
      <c r="F119" s="757"/>
      <c r="G119" s="757"/>
      <c r="H119" s="757"/>
      <c r="I119" s="757"/>
    </row>
    <row r="120" spans="1:10" ht="15.75" customHeight="1" x14ac:dyDescent="0.2">
      <c r="A120" s="758"/>
      <c r="B120" s="758"/>
      <c r="C120" s="758"/>
      <c r="D120" s="758"/>
      <c r="E120" s="758"/>
      <c r="F120" s="758"/>
      <c r="G120" s="758"/>
      <c r="H120" s="758"/>
      <c r="I120" s="758"/>
    </row>
    <row r="121" spans="1:10" ht="54.75" customHeight="1" x14ac:dyDescent="0.2">
      <c r="A121" s="759" t="s">
        <v>575</v>
      </c>
      <c r="B121" s="759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60" t="s">
        <v>576</v>
      </c>
      <c r="B122" s="760"/>
      <c r="C122" s="524" t="s">
        <v>504</v>
      </c>
      <c r="D122" s="524" t="s">
        <v>504</v>
      </c>
      <c r="E122" s="524" t="s">
        <v>504</v>
      </c>
      <c r="F122" s="524" t="s">
        <v>504</v>
      </c>
      <c r="G122" s="524" t="s">
        <v>504</v>
      </c>
      <c r="H122" s="524" t="s">
        <v>504</v>
      </c>
      <c r="I122" s="525" t="s">
        <v>504</v>
      </c>
    </row>
    <row r="123" spans="1:10" ht="14.25" customHeight="1" x14ac:dyDescent="0.2">
      <c r="A123" s="761" t="s">
        <v>577</v>
      </c>
      <c r="B123" s="761"/>
      <c r="C123" s="526">
        <f t="shared" ref="C123:I123" si="54">C19</f>
        <v>1672.4781818181816</v>
      </c>
      <c r="D123" s="526">
        <f t="shared" si="54"/>
        <v>1433.5527272727272</v>
      </c>
      <c r="E123" s="526">
        <f t="shared" si="54"/>
        <v>1254.3586363636364</v>
      </c>
      <c r="F123" s="526">
        <f t="shared" si="54"/>
        <v>1075.1645454545453</v>
      </c>
      <c r="G123" s="526">
        <f t="shared" si="54"/>
        <v>716.77636363636361</v>
      </c>
      <c r="H123" s="526">
        <f t="shared" si="54"/>
        <v>1669.75</v>
      </c>
      <c r="I123" s="527">
        <f t="shared" si="54"/>
        <v>1673.9117345454545</v>
      </c>
    </row>
    <row r="124" spans="1:10" ht="14.25" customHeight="1" x14ac:dyDescent="0.2">
      <c r="A124" s="762" t="s">
        <v>578</v>
      </c>
      <c r="B124" s="762"/>
      <c r="C124" s="528">
        <f t="shared" ref="C124:I124" si="55">C49</f>
        <v>1358.3777272727273</v>
      </c>
      <c r="D124" s="528">
        <f t="shared" si="55"/>
        <v>1234.1609090909092</v>
      </c>
      <c r="E124" s="528">
        <f t="shared" si="55"/>
        <v>979.08329545454558</v>
      </c>
      <c r="F124" s="528">
        <f t="shared" si="55"/>
        <v>885.91568181818184</v>
      </c>
      <c r="G124" s="528">
        <f t="shared" si="55"/>
        <v>717.44045454545449</v>
      </c>
      <c r="H124" s="528">
        <f t="shared" si="55"/>
        <v>1328.4619444444445</v>
      </c>
      <c r="I124" s="529">
        <f t="shared" si="55"/>
        <v>1330.3775481818182</v>
      </c>
    </row>
    <row r="125" spans="1:10" ht="14.25" customHeight="1" x14ac:dyDescent="0.2">
      <c r="A125" s="762" t="s">
        <v>579</v>
      </c>
      <c r="B125" s="762"/>
      <c r="C125" s="528">
        <f t="shared" ref="C125:I125" si="56">C60</f>
        <v>109.54732090909087</v>
      </c>
      <c r="D125" s="528">
        <f t="shared" si="56"/>
        <v>93.897703636363616</v>
      </c>
      <c r="E125" s="528">
        <f t="shared" si="56"/>
        <v>82.160490681818175</v>
      </c>
      <c r="F125" s="528">
        <f t="shared" si="56"/>
        <v>70.423277727272705</v>
      </c>
      <c r="G125" s="528">
        <f t="shared" si="56"/>
        <v>46.948851818181808</v>
      </c>
      <c r="H125" s="528">
        <f t="shared" si="56"/>
        <v>109.36862499999998</v>
      </c>
      <c r="I125" s="529">
        <f t="shared" si="56"/>
        <v>109.64121861272724</v>
      </c>
    </row>
    <row r="126" spans="1:10" ht="14.25" customHeight="1" x14ac:dyDescent="0.2">
      <c r="A126" s="762" t="s">
        <v>580</v>
      </c>
      <c r="B126" s="762"/>
      <c r="C126" s="528">
        <f t="shared" ref="C126:H126" si="57">C80</f>
        <v>341.46085978452209</v>
      </c>
      <c r="D126" s="528">
        <f t="shared" si="57"/>
        <v>299.65635871698004</v>
      </c>
      <c r="E126" s="528">
        <f t="shared" si="57"/>
        <v>252.16589051823041</v>
      </c>
      <c r="F126" s="528">
        <f t="shared" si="57"/>
        <v>220.81197000615583</v>
      </c>
      <c r="G126" s="528">
        <f t="shared" si="57"/>
        <v>159.8837994857011</v>
      </c>
      <c r="H126" s="528">
        <f t="shared" si="57"/>
        <v>338.14341064231479</v>
      </c>
      <c r="I126" s="529">
        <f>I69</f>
        <v>310.34341768535728</v>
      </c>
    </row>
    <row r="127" spans="1:10" ht="15.75" customHeight="1" x14ac:dyDescent="0.2">
      <c r="A127" s="762" t="s">
        <v>581</v>
      </c>
      <c r="B127" s="762"/>
      <c r="C127" s="528">
        <f t="shared" ref="C127:I127" si="58">C91</f>
        <v>562.25156666666658</v>
      </c>
      <c r="D127" s="528">
        <f t="shared" si="58"/>
        <v>562.25156666666658</v>
      </c>
      <c r="E127" s="528">
        <f t="shared" si="58"/>
        <v>551.03156666666666</v>
      </c>
      <c r="F127" s="528">
        <f t="shared" si="58"/>
        <v>551.03156666666666</v>
      </c>
      <c r="G127" s="528">
        <f t="shared" si="58"/>
        <v>540.95698333333337</v>
      </c>
      <c r="H127" s="528">
        <f t="shared" si="58"/>
        <v>391.0059</v>
      </c>
      <c r="I127" s="529">
        <f t="shared" si="58"/>
        <v>84.353749999999991</v>
      </c>
    </row>
    <row r="128" spans="1:10" ht="15.75" customHeight="1" x14ac:dyDescent="0.2">
      <c r="A128" s="763" t="s">
        <v>582</v>
      </c>
      <c r="B128" s="763"/>
      <c r="C128" s="530">
        <f t="shared" ref="C128:I128" si="59">SUM(C123:C127)</f>
        <v>4044.1156564511884</v>
      </c>
      <c r="D128" s="530">
        <f t="shared" si="59"/>
        <v>3623.5192653836466</v>
      </c>
      <c r="E128" s="530">
        <f t="shared" si="59"/>
        <v>3118.799879684897</v>
      </c>
      <c r="F128" s="530">
        <f t="shared" si="59"/>
        <v>2803.3470416728223</v>
      </c>
      <c r="G128" s="530">
        <f t="shared" si="59"/>
        <v>2182.0064528190342</v>
      </c>
      <c r="H128" s="531">
        <f t="shared" si="59"/>
        <v>3836.7298800867593</v>
      </c>
      <c r="I128" s="532">
        <f t="shared" si="59"/>
        <v>3508.6276690253571</v>
      </c>
    </row>
    <row r="129" spans="1:9" ht="15.75" customHeight="1" x14ac:dyDescent="0.2">
      <c r="A129" s="764" t="s">
        <v>583</v>
      </c>
      <c r="B129" s="764"/>
      <c r="C129" s="533">
        <f t="shared" ref="C129:I133" si="60">C112</f>
        <v>968.02230727833376</v>
      </c>
      <c r="D129" s="533">
        <f t="shared" si="60"/>
        <v>867.34598555527418</v>
      </c>
      <c r="E129" s="533">
        <f t="shared" si="60"/>
        <v>746.53350990492447</v>
      </c>
      <c r="F129" s="533">
        <f t="shared" si="60"/>
        <v>671.02494139926694</v>
      </c>
      <c r="G129" s="533">
        <f t="shared" si="60"/>
        <v>522.29735754086448</v>
      </c>
      <c r="H129" s="533">
        <f t="shared" si="60"/>
        <v>918.38127947717294</v>
      </c>
      <c r="I129" s="534">
        <f t="shared" si="60"/>
        <v>846.66764340218106</v>
      </c>
    </row>
    <row r="130" spans="1:9" ht="15.75" customHeight="1" x14ac:dyDescent="0.2">
      <c r="A130" s="762" t="s">
        <v>584</v>
      </c>
      <c r="B130" s="762"/>
      <c r="C130" s="535">
        <f t="shared" si="60"/>
        <v>996.41968950909563</v>
      </c>
      <c r="D130" s="535">
        <f t="shared" si="60"/>
        <v>892.78998131130186</v>
      </c>
      <c r="E130" s="535">
        <f t="shared" si="60"/>
        <v>768.43341579495177</v>
      </c>
      <c r="F130" s="535">
        <f t="shared" si="60"/>
        <v>690.70976849882538</v>
      </c>
      <c r="G130" s="535">
        <f t="shared" si="60"/>
        <v>537.61919216046726</v>
      </c>
      <c r="H130" s="535">
        <f t="shared" si="60"/>
        <v>945.32241919141597</v>
      </c>
      <c r="I130" s="536">
        <f t="shared" si="60"/>
        <v>871.50503042450009</v>
      </c>
    </row>
    <row r="131" spans="1:9" ht="15.75" customHeight="1" x14ac:dyDescent="0.2">
      <c r="A131" s="762" t="s">
        <v>585</v>
      </c>
      <c r="B131" s="762"/>
      <c r="C131" s="535">
        <f t="shared" si="60"/>
        <v>1025.1406886313766</v>
      </c>
      <c r="D131" s="535">
        <f t="shared" si="60"/>
        <v>918.52393713292565</v>
      </c>
      <c r="E131" s="535">
        <f t="shared" si="60"/>
        <v>790.58289326207341</v>
      </c>
      <c r="F131" s="535">
        <f t="shared" si="60"/>
        <v>710.61892411233919</v>
      </c>
      <c r="G131" s="535">
        <f t="shared" si="60"/>
        <v>553.11563458200294</v>
      </c>
      <c r="H131" s="535">
        <f t="shared" si="60"/>
        <v>972.57058044086443</v>
      </c>
      <c r="I131" s="536">
        <f t="shared" si="60"/>
        <v>896.62546459237296</v>
      </c>
    </row>
    <row r="132" spans="1:9" ht="15.75" customHeight="1" x14ac:dyDescent="0.2">
      <c r="A132" s="762" t="s">
        <v>586</v>
      </c>
      <c r="B132" s="762"/>
      <c r="C132" s="535">
        <f t="shared" si="60"/>
        <v>1083.5759202749798</v>
      </c>
      <c r="D132" s="535">
        <f t="shared" si="60"/>
        <v>970.88178384781406</v>
      </c>
      <c r="E132" s="535">
        <f t="shared" si="60"/>
        <v>835.64782436232667</v>
      </c>
      <c r="F132" s="535">
        <f t="shared" si="60"/>
        <v>751.12573639804714</v>
      </c>
      <c r="G132" s="535">
        <f t="shared" si="60"/>
        <v>584.64441945117915</v>
      </c>
      <c r="H132" s="535">
        <f t="shared" si="60"/>
        <v>1028.0092024642377</v>
      </c>
      <c r="I132" s="536">
        <f t="shared" si="60"/>
        <v>947.73505111259806</v>
      </c>
    </row>
    <row r="133" spans="1:9" ht="15.75" customHeight="1" x14ac:dyDescent="0.2">
      <c r="A133" s="764" t="s">
        <v>587</v>
      </c>
      <c r="B133" s="764"/>
      <c r="C133" s="535">
        <f t="shared" si="60"/>
        <v>1143.3740727732443</v>
      </c>
      <c r="D133" s="535">
        <f t="shared" si="60"/>
        <v>1024.4608048301052</v>
      </c>
      <c r="E133" s="535">
        <f t="shared" si="60"/>
        <v>881.76383257279008</v>
      </c>
      <c r="F133" s="535">
        <f t="shared" si="60"/>
        <v>792.57731398487942</v>
      </c>
      <c r="G133" s="535">
        <f t="shared" si="60"/>
        <v>616.90856956511755</v>
      </c>
      <c r="H133" s="535">
        <f t="shared" si="60"/>
        <v>1084.7408535727041</v>
      </c>
      <c r="I133" s="536">
        <f t="shared" si="60"/>
        <v>1000.0366979598257</v>
      </c>
    </row>
    <row r="134" spans="1:9" ht="15.75" customHeight="1" x14ac:dyDescent="0.2">
      <c r="A134" s="537" t="s">
        <v>588</v>
      </c>
      <c r="B134" s="538"/>
      <c r="C134" s="539">
        <f t="shared" ref="C134:I134" si="61">C128+C129</f>
        <v>5012.1379637295222</v>
      </c>
      <c r="D134" s="539">
        <f t="shared" si="61"/>
        <v>4490.8652509389212</v>
      </c>
      <c r="E134" s="539">
        <f t="shared" si="61"/>
        <v>3865.3333895898213</v>
      </c>
      <c r="F134" s="539">
        <f t="shared" si="61"/>
        <v>3474.3719830720893</v>
      </c>
      <c r="G134" s="539">
        <f t="shared" si="61"/>
        <v>2704.3038103598988</v>
      </c>
      <c r="H134" s="539">
        <f t="shared" si="61"/>
        <v>4755.1111595639322</v>
      </c>
      <c r="I134" s="540">
        <f t="shared" si="61"/>
        <v>4355.2953124275382</v>
      </c>
    </row>
    <row r="135" spans="1:9" ht="15.75" customHeight="1" x14ac:dyDescent="0.2">
      <c r="A135" s="541" t="s">
        <v>589</v>
      </c>
      <c r="B135" s="542"/>
      <c r="C135" s="543">
        <f t="shared" ref="C135:I135" si="62">C128+C130</f>
        <v>5040.5353459602838</v>
      </c>
      <c r="D135" s="543">
        <f t="shared" si="62"/>
        <v>4516.3092466949483</v>
      </c>
      <c r="E135" s="543">
        <f t="shared" si="62"/>
        <v>3887.2332954798485</v>
      </c>
      <c r="F135" s="543">
        <f t="shared" si="62"/>
        <v>3494.0568101716476</v>
      </c>
      <c r="G135" s="543">
        <f t="shared" si="62"/>
        <v>2719.6256449795014</v>
      </c>
      <c r="H135" s="543">
        <f t="shared" si="62"/>
        <v>4782.0522992781753</v>
      </c>
      <c r="I135" s="544">
        <f t="shared" si="62"/>
        <v>4380.1326994498577</v>
      </c>
    </row>
    <row r="136" spans="1:9" ht="15.75" customHeight="1" x14ac:dyDescent="0.2">
      <c r="A136" s="541" t="s">
        <v>590</v>
      </c>
      <c r="B136" s="542"/>
      <c r="C136" s="543">
        <f t="shared" ref="C136:I136" si="63">C128+C131</f>
        <v>5069.2563450825655</v>
      </c>
      <c r="D136" s="543">
        <f t="shared" si="63"/>
        <v>4542.0432025165719</v>
      </c>
      <c r="E136" s="543">
        <f t="shared" si="63"/>
        <v>3909.3827729469704</v>
      </c>
      <c r="F136" s="543">
        <f t="shared" si="63"/>
        <v>3513.9659657851616</v>
      </c>
      <c r="G136" s="543">
        <f t="shared" si="63"/>
        <v>2735.1220874010369</v>
      </c>
      <c r="H136" s="543">
        <f t="shared" si="63"/>
        <v>4809.3004605276237</v>
      </c>
      <c r="I136" s="544">
        <f t="shared" si="63"/>
        <v>4405.2531336177299</v>
      </c>
    </row>
    <row r="137" spans="1:9" ht="15.75" customHeight="1" x14ac:dyDescent="0.2">
      <c r="A137" s="541" t="s">
        <v>591</v>
      </c>
      <c r="B137" s="542"/>
      <c r="C137" s="543">
        <f t="shared" ref="C137:I137" si="64">C128+C132</f>
        <v>5127.691576726168</v>
      </c>
      <c r="D137" s="543">
        <f t="shared" si="64"/>
        <v>4594.401049231461</v>
      </c>
      <c r="E137" s="543">
        <f t="shared" si="64"/>
        <v>3954.4477040472239</v>
      </c>
      <c r="F137" s="543">
        <f t="shared" si="64"/>
        <v>3554.4727780708695</v>
      </c>
      <c r="G137" s="543">
        <f t="shared" si="64"/>
        <v>2766.6508722702133</v>
      </c>
      <c r="H137" s="543">
        <f t="shared" si="64"/>
        <v>4864.7390825509974</v>
      </c>
      <c r="I137" s="544">
        <f t="shared" si="64"/>
        <v>4456.362720137955</v>
      </c>
    </row>
    <row r="138" spans="1:9" ht="15.75" customHeight="1" x14ac:dyDescent="0.2">
      <c r="A138" s="541" t="s">
        <v>592</v>
      </c>
      <c r="B138" s="542"/>
      <c r="C138" s="543">
        <f t="shared" ref="C138:I138" si="65">C128+C133</f>
        <v>5187.4897292244332</v>
      </c>
      <c r="D138" s="543">
        <f t="shared" si="65"/>
        <v>4647.9800702137518</v>
      </c>
      <c r="E138" s="543">
        <f t="shared" si="65"/>
        <v>4000.5637122576873</v>
      </c>
      <c r="F138" s="543">
        <f t="shared" si="65"/>
        <v>3595.9243556577017</v>
      </c>
      <c r="G138" s="543">
        <f t="shared" si="65"/>
        <v>2798.9150223841516</v>
      </c>
      <c r="H138" s="543">
        <f t="shared" si="65"/>
        <v>4921.4707336594638</v>
      </c>
      <c r="I138" s="544">
        <f t="shared" si="65"/>
        <v>4508.6643669851828</v>
      </c>
    </row>
    <row r="139" spans="1:9" ht="15.75" customHeight="1" x14ac:dyDescent="0.2">
      <c r="A139" s="545" t="s">
        <v>593</v>
      </c>
      <c r="B139" s="546"/>
      <c r="C139" s="547">
        <f>C134/200</f>
        <v>25.06068981864761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594</v>
      </c>
      <c r="B140" s="551"/>
      <c r="C140" s="552">
        <f>C135/200</f>
        <v>25.202676729801418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595</v>
      </c>
      <c r="B141" s="551"/>
      <c r="C141" s="552">
        <f>C136/200</f>
        <v>25.346281725412826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596</v>
      </c>
      <c r="B142" s="551"/>
      <c r="C142" s="552">
        <f>C137/200</f>
        <v>25.638457883630839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597</v>
      </c>
      <c r="B143" s="556"/>
      <c r="C143" s="557">
        <f>C138/200</f>
        <v>25.937448646122167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65" t="s">
        <v>598</v>
      </c>
      <c r="B145" s="765"/>
      <c r="C145" s="765" t="s">
        <v>599</v>
      </c>
      <c r="D145" s="765"/>
      <c r="E145" s="766" t="s">
        <v>600</v>
      </c>
      <c r="F145" s="766"/>
      <c r="G145" s="765" t="s">
        <v>601</v>
      </c>
      <c r="H145" s="765"/>
      <c r="I145" s="765" t="s">
        <v>602</v>
      </c>
      <c r="J145" s="765"/>
      <c r="K145" s="765" t="s">
        <v>603</v>
      </c>
      <c r="L145" s="765"/>
    </row>
    <row r="146" spans="1:15" ht="25.5" x14ac:dyDescent="0.2">
      <c r="A146" s="561" t="s">
        <v>604</v>
      </c>
      <c r="B146" s="562" t="s">
        <v>605</v>
      </c>
      <c r="C146" s="562" t="s">
        <v>606</v>
      </c>
      <c r="D146" s="562" t="s">
        <v>607</v>
      </c>
      <c r="E146" s="562" t="s">
        <v>606</v>
      </c>
      <c r="F146" s="562" t="s">
        <v>607</v>
      </c>
      <c r="G146" s="562" t="s">
        <v>606</v>
      </c>
      <c r="H146" s="562" t="s">
        <v>607</v>
      </c>
      <c r="I146" s="562" t="s">
        <v>606</v>
      </c>
      <c r="J146" s="562" t="s">
        <v>607</v>
      </c>
      <c r="K146" s="562" t="s">
        <v>606</v>
      </c>
      <c r="L146" s="562" t="s">
        <v>607</v>
      </c>
    </row>
    <row r="147" spans="1:15" x14ac:dyDescent="0.2">
      <c r="A147" s="563" t="s">
        <v>608</v>
      </c>
      <c r="B147" s="564">
        <f>1/'Prod. GEXCAX'!D17</f>
        <v>1.25E-3</v>
      </c>
      <c r="C147" s="565">
        <f>D134</f>
        <v>4490.8652509389212</v>
      </c>
      <c r="D147" s="565">
        <f>B147*C147</f>
        <v>5.6135815636736517</v>
      </c>
      <c r="E147" s="565">
        <f>D135</f>
        <v>4516.3092466949483</v>
      </c>
      <c r="F147" s="565">
        <f>B147*E147</f>
        <v>5.6453865583686857</v>
      </c>
      <c r="G147" s="565">
        <f>D136</f>
        <v>4542.0432025165719</v>
      </c>
      <c r="H147" s="565">
        <f>B147*G147</f>
        <v>5.6775540031457146</v>
      </c>
      <c r="I147" s="565">
        <f>D137</f>
        <v>4594.401049231461</v>
      </c>
      <c r="J147" s="565">
        <f>B147*I147</f>
        <v>5.7430013115393264</v>
      </c>
      <c r="K147" s="565">
        <f>D138</f>
        <v>4647.9800702137518</v>
      </c>
      <c r="L147" s="565">
        <f>B147*K147</f>
        <v>5.8099750877671896</v>
      </c>
    </row>
    <row r="148" spans="1:15" x14ac:dyDescent="0.2">
      <c r="A148" s="566" t="s">
        <v>609</v>
      </c>
      <c r="B148" s="564">
        <f>B147/'Prod. GEXCAX'!Q17</f>
        <v>8.3333333333333331E-5</v>
      </c>
      <c r="C148" s="565">
        <f>I137</f>
        <v>4456.362720137955</v>
      </c>
      <c r="D148" s="565">
        <f>C148*B148</f>
        <v>0.37136356001149623</v>
      </c>
      <c r="E148" s="565">
        <f>C148</f>
        <v>4456.362720137955</v>
      </c>
      <c r="F148" s="565">
        <f>B148*E148</f>
        <v>0.37136356001149623</v>
      </c>
      <c r="G148" s="565">
        <f>C148</f>
        <v>4456.362720137955</v>
      </c>
      <c r="H148" s="565">
        <f>B148*G148</f>
        <v>0.37136356001149623</v>
      </c>
      <c r="I148" s="565">
        <f>C148</f>
        <v>4456.362720137955</v>
      </c>
      <c r="J148" s="565">
        <f>B148*I148</f>
        <v>0.37136356001149623</v>
      </c>
      <c r="K148" s="565">
        <f>B148</f>
        <v>8.3333333333333331E-5</v>
      </c>
      <c r="L148" s="565">
        <f>B148*K148</f>
        <v>6.9444444444444443E-9</v>
      </c>
      <c r="M148" s="767" t="s">
        <v>610</v>
      </c>
      <c r="N148" s="767"/>
      <c r="O148" s="567" t="s">
        <v>611</v>
      </c>
    </row>
    <row r="149" spans="1:15" x14ac:dyDescent="0.2">
      <c r="A149" s="568" t="s">
        <v>612</v>
      </c>
      <c r="B149" s="569"/>
      <c r="C149" s="570"/>
      <c r="D149" s="570">
        <f>SUM(D147:D148)</f>
        <v>5.9849451236851481</v>
      </c>
      <c r="E149" s="570"/>
      <c r="F149" s="570">
        <f>SUM(F147:F148)</f>
        <v>6.0167501183801821</v>
      </c>
      <c r="G149" s="570"/>
      <c r="H149" s="570">
        <f>SUM(H147:H148)</f>
        <v>6.048917563157211</v>
      </c>
      <c r="I149" s="570"/>
      <c r="J149" s="570">
        <f>SUM(J147:J148)</f>
        <v>6.1143648715508228</v>
      </c>
      <c r="K149" s="570"/>
      <c r="L149" s="570">
        <f>SUM(L147:L148)</f>
        <v>5.8099750947116338</v>
      </c>
      <c r="M149" s="571">
        <v>3.08</v>
      </c>
      <c r="N149" s="572">
        <v>5.56</v>
      </c>
    </row>
    <row r="150" spans="1:15" x14ac:dyDescent="0.2">
      <c r="A150" s="560"/>
    </row>
    <row r="151" spans="1:15" ht="14.25" customHeight="1" x14ac:dyDescent="0.2">
      <c r="A151" s="765" t="s">
        <v>613</v>
      </c>
      <c r="B151" s="765"/>
      <c r="C151" s="765" t="s">
        <v>599</v>
      </c>
      <c r="D151" s="765"/>
      <c r="E151" s="766" t="s">
        <v>600</v>
      </c>
      <c r="F151" s="766"/>
      <c r="G151" s="765" t="s">
        <v>601</v>
      </c>
      <c r="H151" s="765"/>
      <c r="I151" s="765" t="s">
        <v>602</v>
      </c>
      <c r="J151" s="765"/>
      <c r="K151" s="765" t="s">
        <v>603</v>
      </c>
      <c r="L151" s="765"/>
    </row>
    <row r="152" spans="1:15" ht="25.5" x14ac:dyDescent="0.2">
      <c r="A152" s="561" t="s">
        <v>604</v>
      </c>
      <c r="B152" s="562" t="s">
        <v>605</v>
      </c>
      <c r="C152" s="562" t="s">
        <v>606</v>
      </c>
      <c r="D152" s="562" t="s">
        <v>607</v>
      </c>
      <c r="E152" s="562" t="s">
        <v>606</v>
      </c>
      <c r="F152" s="562" t="s">
        <v>607</v>
      </c>
      <c r="G152" s="562" t="s">
        <v>606</v>
      </c>
      <c r="H152" s="562" t="s">
        <v>607</v>
      </c>
      <c r="I152" s="562" t="s">
        <v>606</v>
      </c>
      <c r="J152" s="562" t="s">
        <v>607</v>
      </c>
      <c r="K152" s="562" t="s">
        <v>606</v>
      </c>
      <c r="L152" s="562" t="s">
        <v>607</v>
      </c>
    </row>
    <row r="153" spans="1:15" x14ac:dyDescent="0.2">
      <c r="A153" s="563" t="s">
        <v>608</v>
      </c>
      <c r="B153" s="564">
        <f>1/'Prod. GEXCAX'!E17</f>
        <v>1.25E-3</v>
      </c>
      <c r="C153" s="573">
        <f>C134</f>
        <v>5012.1379637295222</v>
      </c>
      <c r="D153" s="565">
        <f>B153*C153</f>
        <v>6.2651724546619025</v>
      </c>
      <c r="E153" s="573">
        <f>C135</f>
        <v>5040.5353459602838</v>
      </c>
      <c r="F153" s="565">
        <f>B153*E153</f>
        <v>6.3006691824503553</v>
      </c>
      <c r="G153" s="573">
        <f>C136</f>
        <v>5069.2563450825655</v>
      </c>
      <c r="H153" s="565">
        <f>B153*G153</f>
        <v>6.3365704313532074</v>
      </c>
      <c r="I153" s="573">
        <f>C137</f>
        <v>5127.691576726168</v>
      </c>
      <c r="J153" s="565">
        <f>B153*I153</f>
        <v>6.4096144709077105</v>
      </c>
      <c r="K153" s="573">
        <f>C138</f>
        <v>5187.4897292244332</v>
      </c>
      <c r="L153" s="565">
        <f>B153*K153</f>
        <v>6.4843621615305418</v>
      </c>
    </row>
    <row r="154" spans="1:15" x14ac:dyDescent="0.2">
      <c r="A154" s="566" t="s">
        <v>609</v>
      </c>
      <c r="B154" s="564">
        <f>B153/'Prod. GEXCAX'!Q17</f>
        <v>8.3333333333333331E-5</v>
      </c>
      <c r="C154" s="565">
        <f>I137</f>
        <v>4456.362720137955</v>
      </c>
      <c r="D154" s="565">
        <f>C154*B154</f>
        <v>0.37136356001149623</v>
      </c>
      <c r="E154" s="565">
        <f>C154</f>
        <v>4456.362720137955</v>
      </c>
      <c r="F154" s="565">
        <f>B154*E154</f>
        <v>0.37136356001149623</v>
      </c>
      <c r="G154" s="565">
        <f>C154</f>
        <v>4456.362720137955</v>
      </c>
      <c r="H154" s="565">
        <f>B154*G154</f>
        <v>0.37136356001149623</v>
      </c>
      <c r="I154" s="565">
        <f>C154</f>
        <v>4456.362720137955</v>
      </c>
      <c r="J154" s="565">
        <f>B154*I154</f>
        <v>0.37136356001149623</v>
      </c>
      <c r="K154" s="565">
        <f>C154</f>
        <v>4456.362720137955</v>
      </c>
      <c r="L154" s="565">
        <f>B154*K154</f>
        <v>0.37136356001149623</v>
      </c>
      <c r="M154" s="767"/>
      <c r="N154" s="767"/>
      <c r="O154" s="567"/>
    </row>
    <row r="155" spans="1:15" x14ac:dyDescent="0.2">
      <c r="A155" s="568" t="s">
        <v>612</v>
      </c>
      <c r="B155" s="569"/>
      <c r="C155" s="570"/>
      <c r="D155" s="570">
        <f>SUM(D153:D154)</f>
        <v>6.6365360146733989</v>
      </c>
      <c r="E155" s="570"/>
      <c r="F155" s="570">
        <f>SUM(F153:F154)</f>
        <v>6.6720327424618517</v>
      </c>
      <c r="G155" s="570"/>
      <c r="H155" s="570">
        <f>SUM(H153:H154)</f>
        <v>6.7079339913647038</v>
      </c>
      <c r="I155" s="570"/>
      <c r="J155" s="570">
        <f>SUM(J153:J154)</f>
        <v>6.7809780309192069</v>
      </c>
      <c r="K155" s="570"/>
      <c r="L155" s="570">
        <f>SUM(L153:L154)</f>
        <v>6.8557257215420382</v>
      </c>
      <c r="M155" s="571"/>
      <c r="N155" s="572"/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66" t="s">
        <v>614</v>
      </c>
      <c r="B157" s="766"/>
      <c r="C157" s="766" t="s">
        <v>599</v>
      </c>
      <c r="D157" s="766"/>
      <c r="E157" s="766" t="s">
        <v>600</v>
      </c>
      <c r="F157" s="766"/>
      <c r="G157" s="766" t="s">
        <v>601</v>
      </c>
      <c r="H157" s="766"/>
      <c r="I157" s="766" t="s">
        <v>602</v>
      </c>
      <c r="J157" s="766"/>
      <c r="K157" s="766" t="s">
        <v>603</v>
      </c>
      <c r="L157" s="766"/>
    </row>
    <row r="158" spans="1:15" ht="25.5" x14ac:dyDescent="0.2">
      <c r="A158" s="561" t="s">
        <v>604</v>
      </c>
      <c r="B158" s="562" t="s">
        <v>615</v>
      </c>
      <c r="C158" s="562" t="s">
        <v>606</v>
      </c>
      <c r="D158" s="562" t="s">
        <v>607</v>
      </c>
      <c r="E158" s="562" t="s">
        <v>606</v>
      </c>
      <c r="F158" s="562" t="s">
        <v>607</v>
      </c>
      <c r="G158" s="562" t="s">
        <v>606</v>
      </c>
      <c r="H158" s="562" t="s">
        <v>607</v>
      </c>
      <c r="I158" s="562" t="s">
        <v>606</v>
      </c>
      <c r="J158" s="562" t="s">
        <v>607</v>
      </c>
      <c r="K158" s="562" t="s">
        <v>606</v>
      </c>
      <c r="L158" s="562" t="s">
        <v>607</v>
      </c>
    </row>
    <row r="159" spans="1:15" x14ac:dyDescent="0.2">
      <c r="A159" s="563" t="s">
        <v>608</v>
      </c>
      <c r="B159" s="577">
        <f>1/'Prod. GEXCAX'!F17</f>
        <v>6.6666666666666664E-4</v>
      </c>
      <c r="C159" s="578">
        <f>D134</f>
        <v>4490.8652509389212</v>
      </c>
      <c r="D159" s="565">
        <f>B159*C159</f>
        <v>2.9939101672926141</v>
      </c>
      <c r="E159" s="565">
        <f>D135</f>
        <v>4516.3092466949483</v>
      </c>
      <c r="F159" s="565">
        <f>B159*E159</f>
        <v>3.0108728311299653</v>
      </c>
      <c r="G159" s="565">
        <f>D136</f>
        <v>4542.0432025165719</v>
      </c>
      <c r="H159" s="565">
        <f>B159*G159</f>
        <v>3.0280288016777144</v>
      </c>
      <c r="I159" s="565">
        <f>D137</f>
        <v>4594.401049231461</v>
      </c>
      <c r="J159" s="565">
        <f>B159*I159</f>
        <v>3.0629340328209738</v>
      </c>
      <c r="K159" s="565">
        <f>D138</f>
        <v>4647.9800702137518</v>
      </c>
      <c r="L159" s="565">
        <f>B159*K159</f>
        <v>3.0986533801425011</v>
      </c>
    </row>
    <row r="160" spans="1:15" x14ac:dyDescent="0.2">
      <c r="A160" s="566" t="s">
        <v>609</v>
      </c>
      <c r="B160" s="564">
        <f>B159/'Prod. GEXCAX'!Q17</f>
        <v>4.444444444444444E-5</v>
      </c>
      <c r="C160" s="565">
        <f>I137</f>
        <v>4456.362720137955</v>
      </c>
      <c r="D160" s="565">
        <f>B160*C160</f>
        <v>0.19806056533946464</v>
      </c>
      <c r="E160" s="565">
        <f>C160</f>
        <v>4456.362720137955</v>
      </c>
      <c r="F160" s="565">
        <f>B160*E160</f>
        <v>0.19806056533946464</v>
      </c>
      <c r="G160" s="565">
        <f>C160</f>
        <v>4456.362720137955</v>
      </c>
      <c r="H160" s="565">
        <f>B160*G160</f>
        <v>0.19806056533946464</v>
      </c>
      <c r="I160" s="565">
        <f>C160</f>
        <v>4456.362720137955</v>
      </c>
      <c r="J160" s="565">
        <f>B160*I160</f>
        <v>0.19806056533946464</v>
      </c>
      <c r="K160" s="565">
        <f>C160</f>
        <v>4456.362720137955</v>
      </c>
      <c r="L160" s="565">
        <f>B160*K160</f>
        <v>0.19806056533946464</v>
      </c>
    </row>
    <row r="161" spans="1:12" x14ac:dyDescent="0.2">
      <c r="A161" s="568" t="s">
        <v>616</v>
      </c>
      <c r="B161" s="569"/>
      <c r="C161" s="570"/>
      <c r="D161" s="570">
        <f>SUM(D159:D160)</f>
        <v>3.1919707326320785</v>
      </c>
      <c r="E161" s="570"/>
      <c r="F161" s="570">
        <f>SUM(F159:F160)</f>
        <v>3.2089333964694298</v>
      </c>
      <c r="G161" s="570"/>
      <c r="H161" s="570">
        <f>SUM(H159:H160)</f>
        <v>3.2260893670171789</v>
      </c>
      <c r="I161" s="570"/>
      <c r="J161" s="570">
        <f>SUM(J159:J160)</f>
        <v>3.2609945981604382</v>
      </c>
      <c r="K161" s="570"/>
      <c r="L161" s="570">
        <f>SUM(L159:L160)</f>
        <v>3.2967139454819656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66" t="s">
        <v>617</v>
      </c>
      <c r="B163" s="766"/>
      <c r="C163" s="766" t="s">
        <v>599</v>
      </c>
      <c r="D163" s="766"/>
      <c r="E163" s="766" t="s">
        <v>600</v>
      </c>
      <c r="F163" s="766"/>
      <c r="G163" s="766" t="s">
        <v>601</v>
      </c>
      <c r="H163" s="766"/>
      <c r="I163" s="766" t="s">
        <v>602</v>
      </c>
      <c r="J163" s="766"/>
      <c r="K163" s="766" t="s">
        <v>603</v>
      </c>
      <c r="L163" s="766"/>
    </row>
    <row r="164" spans="1:12" ht="25.5" x14ac:dyDescent="0.2">
      <c r="A164" s="561" t="s">
        <v>604</v>
      </c>
      <c r="B164" s="562" t="s">
        <v>615</v>
      </c>
      <c r="C164" s="562" t="s">
        <v>606</v>
      </c>
      <c r="D164" s="562" t="s">
        <v>607</v>
      </c>
      <c r="E164" s="562" t="s">
        <v>606</v>
      </c>
      <c r="F164" s="562" t="s">
        <v>607</v>
      </c>
      <c r="G164" s="562" t="s">
        <v>606</v>
      </c>
      <c r="H164" s="562" t="s">
        <v>607</v>
      </c>
      <c r="I164" s="562" t="s">
        <v>606</v>
      </c>
      <c r="J164" s="562" t="s">
        <v>607</v>
      </c>
      <c r="K164" s="562" t="s">
        <v>606</v>
      </c>
      <c r="L164" s="562" t="s">
        <v>607</v>
      </c>
    </row>
    <row r="165" spans="1:12" x14ac:dyDescent="0.2">
      <c r="A165" s="563" t="s">
        <v>608</v>
      </c>
      <c r="B165" s="577">
        <f>1/'Prod. GEXCAX'!G17</f>
        <v>6.6666666666666664E-4</v>
      </c>
      <c r="C165" s="578">
        <f>D134</f>
        <v>4490.8652509389212</v>
      </c>
      <c r="D165" s="565">
        <f>B165*C165</f>
        <v>2.9939101672926141</v>
      </c>
      <c r="E165" s="565">
        <f>D135</f>
        <v>4516.3092466949483</v>
      </c>
      <c r="F165" s="565">
        <f>B165*E165</f>
        <v>3.0108728311299653</v>
      </c>
      <c r="G165" s="565">
        <f>D136</f>
        <v>4542.0432025165719</v>
      </c>
      <c r="H165" s="565">
        <f>B165*G165</f>
        <v>3.0280288016777144</v>
      </c>
      <c r="I165" s="565">
        <f>D137</f>
        <v>4594.401049231461</v>
      </c>
      <c r="J165" s="565">
        <f>B165*I165</f>
        <v>3.0629340328209738</v>
      </c>
      <c r="K165" s="565">
        <f>D138</f>
        <v>4647.9800702137518</v>
      </c>
      <c r="L165" s="565">
        <f>B165*K165</f>
        <v>3.0986533801425011</v>
      </c>
    </row>
    <row r="166" spans="1:12" x14ac:dyDescent="0.2">
      <c r="A166" s="566" t="s">
        <v>609</v>
      </c>
      <c r="B166" s="564">
        <f>B165/'Prod. GEXCAX'!Q17</f>
        <v>4.444444444444444E-5</v>
      </c>
      <c r="C166" s="565">
        <f>I137</f>
        <v>4456.362720137955</v>
      </c>
      <c r="D166" s="565">
        <f>B166*C166</f>
        <v>0.19806056533946464</v>
      </c>
      <c r="E166" s="565">
        <f>I137</f>
        <v>4456.362720137955</v>
      </c>
      <c r="F166" s="565">
        <f>B166*E166</f>
        <v>0.19806056533946464</v>
      </c>
      <c r="G166" s="565">
        <f>E166</f>
        <v>4456.362720137955</v>
      </c>
      <c r="H166" s="565">
        <f>B166*G166</f>
        <v>0.19806056533946464</v>
      </c>
      <c r="I166" s="565">
        <f>E166</f>
        <v>4456.362720137955</v>
      </c>
      <c r="J166" s="565">
        <f>B166*I166</f>
        <v>0.19806056533946464</v>
      </c>
      <c r="K166" s="565">
        <f>E166</f>
        <v>4456.362720137955</v>
      </c>
      <c r="L166" s="565">
        <f>B166*K166</f>
        <v>0.19806056533946464</v>
      </c>
    </row>
    <row r="167" spans="1:12" x14ac:dyDescent="0.2">
      <c r="A167" s="568" t="s">
        <v>616</v>
      </c>
      <c r="B167" s="569"/>
      <c r="C167" s="570"/>
      <c r="D167" s="570">
        <f>SUM(D165:D166)</f>
        <v>3.1919707326320785</v>
      </c>
      <c r="E167" s="570"/>
      <c r="F167" s="570">
        <f>SUM(F165:F166)</f>
        <v>3.2089333964694298</v>
      </c>
      <c r="G167" s="570"/>
      <c r="H167" s="570">
        <f>SUM(H165:H166)</f>
        <v>3.2260893670171789</v>
      </c>
      <c r="I167" s="570"/>
      <c r="J167" s="570">
        <f>SUM(J165:J166)</f>
        <v>3.2609945981604382</v>
      </c>
      <c r="K167" s="570"/>
      <c r="L167" s="570">
        <f>SUM(L165:L166)</f>
        <v>3.2967139454819656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66" t="s">
        <v>618</v>
      </c>
      <c r="B169" s="766"/>
      <c r="C169" s="766" t="s">
        <v>599</v>
      </c>
      <c r="D169" s="766"/>
      <c r="E169" s="766" t="s">
        <v>600</v>
      </c>
      <c r="F169" s="766"/>
      <c r="G169" s="766" t="s">
        <v>601</v>
      </c>
      <c r="H169" s="766"/>
      <c r="I169" s="766" t="s">
        <v>602</v>
      </c>
      <c r="J169" s="766"/>
      <c r="K169" s="766" t="s">
        <v>603</v>
      </c>
      <c r="L169" s="766"/>
    </row>
    <row r="170" spans="1:12" ht="25.5" x14ac:dyDescent="0.2">
      <c r="A170" s="561" t="s">
        <v>604</v>
      </c>
      <c r="B170" s="562" t="s">
        <v>615</v>
      </c>
      <c r="C170" s="562" t="s">
        <v>606</v>
      </c>
      <c r="D170" s="562" t="s">
        <v>607</v>
      </c>
      <c r="E170" s="562" t="s">
        <v>606</v>
      </c>
      <c r="F170" s="562" t="s">
        <v>607</v>
      </c>
      <c r="G170" s="562" t="s">
        <v>606</v>
      </c>
      <c r="H170" s="562" t="s">
        <v>607</v>
      </c>
      <c r="I170" s="562" t="s">
        <v>606</v>
      </c>
      <c r="J170" s="562" t="s">
        <v>607</v>
      </c>
      <c r="K170" s="562" t="s">
        <v>606</v>
      </c>
      <c r="L170" s="562" t="s">
        <v>607</v>
      </c>
    </row>
    <row r="171" spans="1:12" x14ac:dyDescent="0.2">
      <c r="A171" s="563" t="s">
        <v>608</v>
      </c>
      <c r="B171" s="577">
        <f>1/'Prod. GEXCAX'!H17</f>
        <v>4.0000000000000001E-3</v>
      </c>
      <c r="C171" s="573">
        <f>C134</f>
        <v>5012.1379637295222</v>
      </c>
      <c r="D171" s="565">
        <f>B171*C171</f>
        <v>20.048551854918088</v>
      </c>
      <c r="E171" s="573">
        <f>C135</f>
        <v>5040.5353459602838</v>
      </c>
      <c r="F171" s="565">
        <f>B171*E171</f>
        <v>20.162141383841135</v>
      </c>
      <c r="G171" s="573">
        <f>C136</f>
        <v>5069.2563450825655</v>
      </c>
      <c r="H171" s="565">
        <f>B171*G171</f>
        <v>20.277025380330262</v>
      </c>
      <c r="I171" s="573">
        <f>C137</f>
        <v>5127.691576726168</v>
      </c>
      <c r="J171" s="565">
        <f>B171*I171</f>
        <v>20.510766306904671</v>
      </c>
      <c r="K171" s="573">
        <f>C138</f>
        <v>5187.4897292244332</v>
      </c>
      <c r="L171" s="565">
        <f>B171*K171</f>
        <v>20.749958916897732</v>
      </c>
    </row>
    <row r="172" spans="1:12" x14ac:dyDescent="0.2">
      <c r="A172" s="566" t="s">
        <v>609</v>
      </c>
      <c r="B172" s="564">
        <f>B171/'Prod. GEXCAX'!Q17</f>
        <v>2.6666666666666668E-4</v>
      </c>
      <c r="C172" s="565">
        <f>I137</f>
        <v>4456.362720137955</v>
      </c>
      <c r="D172" s="565">
        <f>C172*B172</f>
        <v>1.188363392036788</v>
      </c>
      <c r="E172" s="565">
        <f>I137</f>
        <v>4456.362720137955</v>
      </c>
      <c r="F172" s="565">
        <f>B172*E172</f>
        <v>1.188363392036788</v>
      </c>
      <c r="G172" s="565">
        <f>E172</f>
        <v>4456.362720137955</v>
      </c>
      <c r="H172" s="565">
        <f>B172*G172</f>
        <v>1.188363392036788</v>
      </c>
      <c r="I172" s="565">
        <f>E172</f>
        <v>4456.362720137955</v>
      </c>
      <c r="J172" s="565">
        <f>B172*I172</f>
        <v>1.188363392036788</v>
      </c>
      <c r="K172" s="565">
        <f>E172</f>
        <v>4456.362720137955</v>
      </c>
      <c r="L172" s="565">
        <f>B172*K172</f>
        <v>1.188363392036788</v>
      </c>
    </row>
    <row r="173" spans="1:12" x14ac:dyDescent="0.2">
      <c r="A173" s="568" t="s">
        <v>616</v>
      </c>
      <c r="B173" s="569"/>
      <c r="C173" s="570"/>
      <c r="D173" s="570">
        <f>SUM(D171:D172)</f>
        <v>21.236915246954876</v>
      </c>
      <c r="E173" s="570"/>
      <c r="F173" s="570">
        <f>SUM(F171:F172)</f>
        <v>21.350504775877923</v>
      </c>
      <c r="G173" s="570"/>
      <c r="H173" s="570">
        <f>SUM(H171:H172)</f>
        <v>21.465388772367049</v>
      </c>
      <c r="I173" s="570"/>
      <c r="J173" s="570">
        <f>SUM(J171:J172)</f>
        <v>21.699129698941459</v>
      </c>
      <c r="K173" s="570"/>
      <c r="L173" s="570">
        <f>SUM(L171:L172)</f>
        <v>21.93832230893452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68" t="s">
        <v>619</v>
      </c>
      <c r="B175" s="768"/>
      <c r="C175" s="768" t="s">
        <v>599</v>
      </c>
      <c r="D175" s="768"/>
      <c r="E175" s="768" t="s">
        <v>600</v>
      </c>
      <c r="F175" s="768"/>
      <c r="G175" s="768" t="s">
        <v>601</v>
      </c>
      <c r="H175" s="768"/>
      <c r="I175" s="768" t="s">
        <v>602</v>
      </c>
      <c r="J175" s="768"/>
      <c r="K175" s="768" t="s">
        <v>603</v>
      </c>
      <c r="L175" s="768"/>
    </row>
    <row r="176" spans="1:12" ht="25.5" x14ac:dyDescent="0.2">
      <c r="A176" s="561" t="s">
        <v>604</v>
      </c>
      <c r="B176" s="562" t="s">
        <v>615</v>
      </c>
      <c r="C176" s="562" t="s">
        <v>606</v>
      </c>
      <c r="D176" s="562" t="s">
        <v>607</v>
      </c>
      <c r="E176" s="562" t="s">
        <v>606</v>
      </c>
      <c r="F176" s="562" t="s">
        <v>607</v>
      </c>
      <c r="G176" s="562" t="s">
        <v>606</v>
      </c>
      <c r="H176" s="562" t="s">
        <v>607</v>
      </c>
      <c r="I176" s="562" t="s">
        <v>606</v>
      </c>
      <c r="J176" s="562" t="s">
        <v>607</v>
      </c>
      <c r="K176" s="562" t="s">
        <v>606</v>
      </c>
      <c r="L176" s="562" t="s">
        <v>607</v>
      </c>
    </row>
    <row r="177" spans="1:14" x14ac:dyDescent="0.2">
      <c r="A177" s="563" t="s">
        <v>620</v>
      </c>
      <c r="B177" s="577">
        <f>1/'Prod. GEXCAX'!I17</f>
        <v>4.0000000000000002E-4</v>
      </c>
      <c r="C177" s="565">
        <f>D134</f>
        <v>4490.8652509389212</v>
      </c>
      <c r="D177" s="565">
        <f>B177*C177</f>
        <v>1.7963461003755685</v>
      </c>
      <c r="E177" s="565">
        <f>D135</f>
        <v>4516.3092466949483</v>
      </c>
      <c r="F177" s="565">
        <f>B177*E177</f>
        <v>1.8065236986779794</v>
      </c>
      <c r="G177" s="565">
        <f>D136</f>
        <v>4542.0432025165719</v>
      </c>
      <c r="H177" s="565">
        <f>B177*G177</f>
        <v>1.8168172810066288</v>
      </c>
      <c r="I177" s="565">
        <f>D137</f>
        <v>4594.401049231461</v>
      </c>
      <c r="J177" s="565">
        <f>B177*I177</f>
        <v>1.8377604196925845</v>
      </c>
      <c r="K177" s="565">
        <f>D138</f>
        <v>4647.9800702137518</v>
      </c>
      <c r="L177" s="565">
        <f>B177*K177</f>
        <v>1.8591920280855008</v>
      </c>
    </row>
    <row r="178" spans="1:14" x14ac:dyDescent="0.2">
      <c r="A178" s="566" t="s">
        <v>609</v>
      </c>
      <c r="B178" s="564">
        <f>B177/'Prod. GEXCAX'!Q17</f>
        <v>2.6666666666666667E-5</v>
      </c>
      <c r="C178" s="565">
        <f>I137</f>
        <v>4456.362720137955</v>
      </c>
      <c r="D178" s="565">
        <f>B178*C178</f>
        <v>0.1188363392036788</v>
      </c>
      <c r="E178" s="565">
        <f>I137</f>
        <v>4456.362720137955</v>
      </c>
      <c r="F178" s="565">
        <f>B178*E178</f>
        <v>0.1188363392036788</v>
      </c>
      <c r="G178" s="565">
        <f>E178</f>
        <v>4456.362720137955</v>
      </c>
      <c r="H178" s="565">
        <f>B178*G178</f>
        <v>0.1188363392036788</v>
      </c>
      <c r="I178" s="565">
        <f>E178</f>
        <v>4456.362720137955</v>
      </c>
      <c r="J178" s="565">
        <f>B178*I178</f>
        <v>0.1188363392036788</v>
      </c>
      <c r="K178" s="565">
        <f>E178</f>
        <v>4456.362720137955</v>
      </c>
      <c r="L178" s="565">
        <f>B178*K178</f>
        <v>0.1188363392036788</v>
      </c>
      <c r="M178" s="767" t="s">
        <v>610</v>
      </c>
      <c r="N178" s="767"/>
    </row>
    <row r="179" spans="1:14" x14ac:dyDescent="0.2">
      <c r="A179" s="581" t="s">
        <v>621</v>
      </c>
      <c r="B179" s="582"/>
      <c r="C179" s="583"/>
      <c r="D179" s="584">
        <f>SUM(D177:D178)</f>
        <v>1.9151824395792474</v>
      </c>
      <c r="E179" s="583"/>
      <c r="F179" s="584">
        <f>SUM(F177:F178)</f>
        <v>1.9253600378816582</v>
      </c>
      <c r="G179" s="583"/>
      <c r="H179" s="584">
        <f>SUM(H177:H178)</f>
        <v>1.9356536202103076</v>
      </c>
      <c r="I179" s="583"/>
      <c r="J179" s="584">
        <f>SUM(J177:J178)</f>
        <v>1.9565967588962634</v>
      </c>
      <c r="K179" s="583"/>
      <c r="L179" s="584">
        <f>SUM(L177:L178)</f>
        <v>1.9780283672891796</v>
      </c>
      <c r="M179" s="571">
        <v>1.37</v>
      </c>
      <c r="N179" s="572">
        <v>2.4700000000000002</v>
      </c>
    </row>
    <row r="180" spans="1:14" x14ac:dyDescent="0.2">
      <c r="A180" s="563" t="s">
        <v>622</v>
      </c>
      <c r="B180" s="577">
        <f>1/'Prod. GEXCAX'!J17</f>
        <v>1.0000000000000001E-5</v>
      </c>
      <c r="C180" s="565">
        <f>D134</f>
        <v>4490.8652509389212</v>
      </c>
      <c r="D180" s="565">
        <f>B180*C180</f>
        <v>4.4908652509389219E-2</v>
      </c>
      <c r="E180" s="565">
        <f>D135</f>
        <v>4516.3092466949483</v>
      </c>
      <c r="F180" s="565">
        <f>B180*E180</f>
        <v>4.5163092466949488E-2</v>
      </c>
      <c r="G180" s="565">
        <f>D136</f>
        <v>4542.0432025165719</v>
      </c>
      <c r="H180" s="565">
        <f>B180*G180</f>
        <v>4.542043202516572E-2</v>
      </c>
      <c r="I180" s="565">
        <f>D137</f>
        <v>4594.401049231461</v>
      </c>
      <c r="J180" s="565">
        <f>B180*I180</f>
        <v>4.5944010492314613E-2</v>
      </c>
      <c r="K180" s="565">
        <f>D138</f>
        <v>4647.9800702137518</v>
      </c>
      <c r="L180" s="565">
        <f>B180*K180</f>
        <v>4.6479800702137523E-2</v>
      </c>
    </row>
    <row r="181" spans="1:14" x14ac:dyDescent="0.2">
      <c r="A181" s="566" t="s">
        <v>609</v>
      </c>
      <c r="B181" s="564">
        <f>B180/'Prod. GEXCAX'!Q17</f>
        <v>6.6666666666666671E-7</v>
      </c>
      <c r="C181" s="565">
        <f>I137</f>
        <v>4456.362720137955</v>
      </c>
      <c r="D181" s="565">
        <f>B181*C181</f>
        <v>2.9709084800919701E-3</v>
      </c>
      <c r="E181" s="565">
        <f>C181</f>
        <v>4456.362720137955</v>
      </c>
      <c r="F181" s="565">
        <f>B181*E181</f>
        <v>2.9709084800919701E-3</v>
      </c>
      <c r="G181" s="565">
        <f>C181</f>
        <v>4456.362720137955</v>
      </c>
      <c r="H181" s="565">
        <f>B181*G181</f>
        <v>2.9709084800919701E-3</v>
      </c>
      <c r="I181" s="565">
        <f>C181</f>
        <v>4456.362720137955</v>
      </c>
      <c r="J181" s="565">
        <f>B181*I181</f>
        <v>2.9709084800919701E-3</v>
      </c>
      <c r="K181" s="565">
        <f>C181</f>
        <v>4456.362720137955</v>
      </c>
      <c r="L181" s="565">
        <f>B181*K181</f>
        <v>2.9709084800919701E-3</v>
      </c>
    </row>
    <row r="182" spans="1:14" x14ac:dyDescent="0.2">
      <c r="A182" s="581" t="s">
        <v>623</v>
      </c>
      <c r="B182" s="585"/>
      <c r="C182" s="583"/>
      <c r="D182" s="584">
        <f>SUM(D180:D181)</f>
        <v>4.7879560989481186E-2</v>
      </c>
      <c r="E182" s="583"/>
      <c r="F182" s="584">
        <f>SUM(F180:F181)</f>
        <v>4.8134000947041455E-2</v>
      </c>
      <c r="G182" s="583"/>
      <c r="H182" s="584">
        <f>SUM(H180:H181)</f>
        <v>4.8391340505257688E-2</v>
      </c>
      <c r="I182" s="583"/>
      <c r="J182" s="584">
        <f>SUM(J180:J181)</f>
        <v>4.8914918972406581E-2</v>
      </c>
      <c r="K182" s="583"/>
      <c r="L182" s="584">
        <f>SUM(L180:L181)</f>
        <v>4.9450709182229491E-2</v>
      </c>
    </row>
    <row r="183" spans="1:14" x14ac:dyDescent="0.2">
      <c r="A183" s="563" t="s">
        <v>624</v>
      </c>
      <c r="B183" s="577">
        <f>1/'Prod. GEXCAX'!K17</f>
        <v>1.3333333333333334E-4</v>
      </c>
      <c r="C183" s="565">
        <f>D134</f>
        <v>4490.8652509389212</v>
      </c>
      <c r="D183" s="565">
        <f>B183*C183</f>
        <v>0.59878203345852288</v>
      </c>
      <c r="E183" s="565">
        <f>D135</f>
        <v>4516.3092466949483</v>
      </c>
      <c r="F183" s="565">
        <f>B183*E183</f>
        <v>0.60217456622599319</v>
      </c>
      <c r="G183" s="565">
        <f>D136</f>
        <v>4542.0432025165719</v>
      </c>
      <c r="H183" s="565">
        <f>B183*G183</f>
        <v>0.60560576033554292</v>
      </c>
      <c r="I183" s="565">
        <f>D137</f>
        <v>4594.401049231461</v>
      </c>
      <c r="J183" s="565">
        <f>B183*I183</f>
        <v>0.61258680656419484</v>
      </c>
      <c r="K183" s="565">
        <f>D138</f>
        <v>4647.9800702137518</v>
      </c>
      <c r="L183" s="565">
        <f>B183*K183</f>
        <v>0.61973067602850029</v>
      </c>
    </row>
    <row r="184" spans="1:14" x14ac:dyDescent="0.2">
      <c r="A184" s="566" t="s">
        <v>609</v>
      </c>
      <c r="B184" s="564">
        <f>B183/'Prod. GEXCAX'!Q17</f>
        <v>8.88888888888889E-6</v>
      </c>
      <c r="C184" s="565">
        <f>I137</f>
        <v>4456.362720137955</v>
      </c>
      <c r="D184" s="565">
        <f>B184*C184</f>
        <v>3.9612113067892939E-2</v>
      </c>
      <c r="E184" s="565">
        <f>C184</f>
        <v>4456.362720137955</v>
      </c>
      <c r="F184" s="565">
        <f>B184*E184</f>
        <v>3.9612113067892939E-2</v>
      </c>
      <c r="G184" s="565">
        <f>C184</f>
        <v>4456.362720137955</v>
      </c>
      <c r="H184" s="565">
        <f>B184*G184</f>
        <v>3.9612113067892939E-2</v>
      </c>
      <c r="I184" s="565">
        <f>C184</f>
        <v>4456.362720137955</v>
      </c>
      <c r="J184" s="565">
        <f>B184*I184</f>
        <v>3.9612113067892939E-2</v>
      </c>
      <c r="K184" s="565">
        <f>C184</f>
        <v>4456.362720137955</v>
      </c>
      <c r="L184" s="565">
        <f>B184*K184</f>
        <v>3.9612113067892939E-2</v>
      </c>
    </row>
    <row r="185" spans="1:14" x14ac:dyDescent="0.2">
      <c r="A185" s="581" t="s">
        <v>625</v>
      </c>
      <c r="B185" s="585"/>
      <c r="C185" s="583"/>
      <c r="D185" s="584">
        <f>SUM(D183:D184)</f>
        <v>0.6383941465264158</v>
      </c>
      <c r="E185" s="583"/>
      <c r="F185" s="584">
        <f>SUM(F183:F184)</f>
        <v>0.64178667929388611</v>
      </c>
      <c r="G185" s="583"/>
      <c r="H185" s="584">
        <f>SUM(H183:H184)</f>
        <v>0.64521787340343584</v>
      </c>
      <c r="I185" s="583"/>
      <c r="J185" s="584">
        <f>SUM(J183:J184)</f>
        <v>0.65219891963208776</v>
      </c>
      <c r="K185" s="583"/>
      <c r="L185" s="584">
        <f>SUM(L183:L184)</f>
        <v>0.65934278909639321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69" t="s">
        <v>626</v>
      </c>
      <c r="B187" s="769"/>
      <c r="C187" s="769" t="s">
        <v>599</v>
      </c>
      <c r="D187" s="769"/>
      <c r="E187" s="769" t="s">
        <v>600</v>
      </c>
      <c r="F187" s="769"/>
      <c r="G187" s="769" t="s">
        <v>601</v>
      </c>
      <c r="H187" s="769"/>
      <c r="I187" s="769" t="s">
        <v>602</v>
      </c>
      <c r="J187" s="769"/>
      <c r="K187" s="769" t="s">
        <v>603</v>
      </c>
      <c r="L187" s="769"/>
    </row>
    <row r="188" spans="1:14" ht="25.5" x14ac:dyDescent="0.2">
      <c r="A188" s="561" t="s">
        <v>604</v>
      </c>
      <c r="B188" s="562" t="s">
        <v>615</v>
      </c>
      <c r="C188" s="562" t="s">
        <v>606</v>
      </c>
      <c r="D188" s="562" t="s">
        <v>607</v>
      </c>
      <c r="E188" s="562" t="s">
        <v>606</v>
      </c>
      <c r="F188" s="562" t="s">
        <v>607</v>
      </c>
      <c r="G188" s="562" t="s">
        <v>606</v>
      </c>
      <c r="H188" s="562" t="s">
        <v>607</v>
      </c>
      <c r="I188" s="562" t="s">
        <v>606</v>
      </c>
      <c r="J188" s="562" t="s">
        <v>607</v>
      </c>
      <c r="K188" s="562" t="s">
        <v>606</v>
      </c>
      <c r="L188" s="562" t="s">
        <v>607</v>
      </c>
    </row>
    <row r="189" spans="1:14" x14ac:dyDescent="0.2">
      <c r="A189" s="586" t="s">
        <v>627</v>
      </c>
      <c r="B189" s="577">
        <f>(1/'Prod. GEXCAX'!L17)*(1/(30/7*44*6))*8</f>
        <v>4.4191919191919199E-5</v>
      </c>
      <c r="C189" s="587">
        <f>H134</f>
        <v>4755.1111595639322</v>
      </c>
      <c r="D189" s="565">
        <f>B189*C189</f>
        <v>0.2101374881120425</v>
      </c>
      <c r="E189" s="587">
        <f>H135</f>
        <v>4782.0522992781753</v>
      </c>
      <c r="F189" s="565">
        <f>B189*E189</f>
        <v>0.21132806878123253</v>
      </c>
      <c r="G189" s="587">
        <f>H136</f>
        <v>4809.3004605276237</v>
      </c>
      <c r="H189" s="565">
        <f>B189*G189</f>
        <v>0.21253221732129654</v>
      </c>
      <c r="I189" s="587">
        <f>H137</f>
        <v>4864.7390825509974</v>
      </c>
      <c r="J189" s="565">
        <f>B189*I189</f>
        <v>0.21498215642586482</v>
      </c>
      <c r="K189" s="587">
        <f>H138</f>
        <v>4921.4707336594638</v>
      </c>
      <c r="L189" s="565">
        <f>B189*K189</f>
        <v>0.21748923696727432</v>
      </c>
    </row>
    <row r="190" spans="1:14" x14ac:dyDescent="0.2">
      <c r="A190" s="566" t="s">
        <v>609</v>
      </c>
      <c r="B190" s="577">
        <f>B189/4</f>
        <v>1.10479797979798E-5</v>
      </c>
      <c r="C190" s="565">
        <f>I137</f>
        <v>4456.362720137955</v>
      </c>
      <c r="D190" s="565">
        <f>B190*C190</f>
        <v>4.9233805304554436E-2</v>
      </c>
      <c r="E190" s="565">
        <f>C190</f>
        <v>4456.362720137955</v>
      </c>
      <c r="F190" s="565">
        <f>B190*E190</f>
        <v>4.9233805304554436E-2</v>
      </c>
      <c r="G190" s="565">
        <f>C190</f>
        <v>4456.362720137955</v>
      </c>
      <c r="H190" s="565">
        <f>B190*G190</f>
        <v>4.9233805304554436E-2</v>
      </c>
      <c r="I190" s="565">
        <f>C190</f>
        <v>4456.362720137955</v>
      </c>
      <c r="J190" s="565">
        <f>B190*I190</f>
        <v>4.9233805304554436E-2</v>
      </c>
      <c r="K190" s="565">
        <f>C190</f>
        <v>4456.362720137955</v>
      </c>
      <c r="L190" s="565">
        <f>B190*K190</f>
        <v>4.9233805304554436E-2</v>
      </c>
      <c r="M190" s="767" t="s">
        <v>610</v>
      </c>
      <c r="N190" s="767"/>
    </row>
    <row r="191" spans="1:14" x14ac:dyDescent="0.2">
      <c r="A191" s="588" t="s">
        <v>628</v>
      </c>
      <c r="B191" s="589"/>
      <c r="C191" s="590"/>
      <c r="D191" s="591">
        <f>SUM(D189:D190)</f>
        <v>0.25937129341659693</v>
      </c>
      <c r="E191" s="590"/>
      <c r="F191" s="591">
        <f>SUM(F189:F190)</f>
        <v>0.26056187408578696</v>
      </c>
      <c r="G191" s="590"/>
      <c r="H191" s="591">
        <f>SUM(H189:H190)</f>
        <v>0.26176602262585097</v>
      </c>
      <c r="I191" s="590"/>
      <c r="J191" s="591">
        <f>SUM(J189:J190)</f>
        <v>0.26421596173041928</v>
      </c>
      <c r="K191" s="590"/>
      <c r="L191" s="591">
        <f>SUM(L189:L190)</f>
        <v>0.26672304227182875</v>
      </c>
      <c r="M191" s="571">
        <v>0.2</v>
      </c>
      <c r="N191" s="572">
        <v>0.3</v>
      </c>
    </row>
    <row r="192" spans="1:14" x14ac:dyDescent="0.2">
      <c r="A192" s="586" t="s">
        <v>629</v>
      </c>
      <c r="B192" s="577">
        <f>1/'Prod. GEXCAX'!M17*16*(1/188.76)</f>
        <v>2.2306242401936183E-4</v>
      </c>
      <c r="C192" s="565">
        <f>D134</f>
        <v>4490.8652509389212</v>
      </c>
      <c r="D192" s="565">
        <f>B192*C192</f>
        <v>1.0017432888187554</v>
      </c>
      <c r="E192" s="565">
        <f>D135</f>
        <v>4516.3092466949483</v>
      </c>
      <c r="F192" s="565">
        <f>B192*E192</f>
        <v>1.0074188881888331</v>
      </c>
      <c r="G192" s="565">
        <f>D136</f>
        <v>4542.0432025165719</v>
      </c>
      <c r="H192" s="565">
        <f>B192*G192</f>
        <v>1.0131591667540116</v>
      </c>
      <c r="I192" s="565">
        <f>D137</f>
        <v>4594.401049231461</v>
      </c>
      <c r="J192" s="565">
        <f>B192*I192</f>
        <v>1.0248382349586691</v>
      </c>
      <c r="K192" s="565">
        <f>D138</f>
        <v>4647.9800702137518</v>
      </c>
      <c r="L192" s="565">
        <f>B192*K192</f>
        <v>1.0367897012555631</v>
      </c>
    </row>
    <row r="193" spans="1:14" x14ac:dyDescent="0.2">
      <c r="A193" s="566" t="s">
        <v>609</v>
      </c>
      <c r="B193" s="577">
        <f>1/('Prod. GEXCAX'!Q17*'Prod. GEXCAX'!M17)*16*(1/188.76)</f>
        <v>1.4870828267957455E-5</v>
      </c>
      <c r="C193" s="565">
        <f>I137</f>
        <v>4456.362720137955</v>
      </c>
      <c r="D193" s="565">
        <f>B193*C193</f>
        <v>6.6269804710899272E-2</v>
      </c>
      <c r="E193" s="565">
        <f>C193</f>
        <v>4456.362720137955</v>
      </c>
      <c r="F193" s="565">
        <f>B193*E193</f>
        <v>6.6269804710899272E-2</v>
      </c>
      <c r="G193" s="565">
        <f>C193</f>
        <v>4456.362720137955</v>
      </c>
      <c r="H193" s="565">
        <f>B193*G193</f>
        <v>6.6269804710899272E-2</v>
      </c>
      <c r="I193" s="565">
        <f>C193</f>
        <v>4456.362720137955</v>
      </c>
      <c r="J193" s="565">
        <f>B193*I193</f>
        <v>6.6269804710899272E-2</v>
      </c>
      <c r="K193" s="565">
        <f>C193</f>
        <v>4456.362720137955</v>
      </c>
      <c r="L193" s="565">
        <f>B193*K193</f>
        <v>6.6269804710899272E-2</v>
      </c>
      <c r="M193" s="767"/>
      <c r="N193" s="767"/>
    </row>
    <row r="194" spans="1:14" x14ac:dyDescent="0.2">
      <c r="A194" s="588" t="s">
        <v>630</v>
      </c>
      <c r="B194" s="589"/>
      <c r="C194" s="590"/>
      <c r="D194" s="591">
        <f>SUM(D192:D193)</f>
        <v>1.0680130935296548</v>
      </c>
      <c r="E194" s="590"/>
      <c r="F194" s="591">
        <f>SUM(F192:F193)</f>
        <v>1.0736886928997325</v>
      </c>
      <c r="G194" s="590"/>
      <c r="H194" s="591">
        <f>SUM(H192:H193)</f>
        <v>1.0794289714649108</v>
      </c>
      <c r="I194" s="590"/>
      <c r="J194" s="591">
        <f>SUM(J192:J193)</f>
        <v>1.0911080396695683</v>
      </c>
      <c r="K194" s="590"/>
      <c r="L194" s="591">
        <f>SUM(L192:L193)</f>
        <v>1.1030595059664625</v>
      </c>
      <c r="M194" s="571"/>
      <c r="N194" s="572"/>
    </row>
    <row r="195" spans="1:14" x14ac:dyDescent="0.2">
      <c r="A195" s="563" t="s">
        <v>631</v>
      </c>
      <c r="B195" s="577">
        <f>1/'Prod. GEXCAX'!N17*16*(1/188.76)</f>
        <v>2.2306242401936183E-4</v>
      </c>
      <c r="C195" s="565">
        <f>D134</f>
        <v>4490.8652509389212</v>
      </c>
      <c r="D195" s="565">
        <f>B195*C195</f>
        <v>1.0017432888187554</v>
      </c>
      <c r="E195" s="565">
        <f>D135</f>
        <v>4516.3092466949483</v>
      </c>
      <c r="F195" s="565">
        <f>B195*E195</f>
        <v>1.0074188881888331</v>
      </c>
      <c r="G195" s="565">
        <f>D136</f>
        <v>4542.0432025165719</v>
      </c>
      <c r="H195" s="565">
        <f>B195*G195</f>
        <v>1.0131591667540116</v>
      </c>
      <c r="I195" s="565">
        <f>D137</f>
        <v>4594.401049231461</v>
      </c>
      <c r="J195" s="565">
        <f>B195*I195</f>
        <v>1.0248382349586691</v>
      </c>
      <c r="K195" s="565">
        <f>D138</f>
        <v>4647.9800702137518</v>
      </c>
      <c r="L195" s="565">
        <f>B195*K195</f>
        <v>1.0367897012555631</v>
      </c>
    </row>
    <row r="196" spans="1:14" x14ac:dyDescent="0.2">
      <c r="A196" s="566" t="s">
        <v>609</v>
      </c>
      <c r="B196" s="577">
        <f>1/('Prod. GEXCAX'!Q17*'Prod. GEXCAX'!N17)*16*(1/188.76)</f>
        <v>1.4870828267957455E-5</v>
      </c>
      <c r="C196" s="565">
        <f>I137</f>
        <v>4456.362720137955</v>
      </c>
      <c r="D196" s="565">
        <f>B196*C196</f>
        <v>6.6269804710899272E-2</v>
      </c>
      <c r="E196" s="565">
        <f>C196</f>
        <v>4456.362720137955</v>
      </c>
      <c r="F196" s="565">
        <f>B196*E196</f>
        <v>6.6269804710899272E-2</v>
      </c>
      <c r="G196" s="565">
        <f>C196</f>
        <v>4456.362720137955</v>
      </c>
      <c r="H196" s="565">
        <f>B196*G196</f>
        <v>6.6269804710899272E-2</v>
      </c>
      <c r="I196" s="565">
        <f>C196</f>
        <v>4456.362720137955</v>
      </c>
      <c r="J196" s="565">
        <f>B196*I196</f>
        <v>6.6269804710899272E-2</v>
      </c>
      <c r="K196" s="565">
        <f>C196</f>
        <v>4456.362720137955</v>
      </c>
      <c r="L196" s="565">
        <f>B196*K196</f>
        <v>6.6269804710899272E-2</v>
      </c>
      <c r="M196" s="767" t="s">
        <v>610</v>
      </c>
      <c r="N196" s="767"/>
    </row>
    <row r="197" spans="1:14" x14ac:dyDescent="0.2">
      <c r="A197" s="588" t="s">
        <v>632</v>
      </c>
      <c r="B197" s="589"/>
      <c r="C197" s="590"/>
      <c r="D197" s="591">
        <f>SUM(D195:D196)</f>
        <v>1.0680130935296548</v>
      </c>
      <c r="E197" s="590"/>
      <c r="F197" s="591">
        <f>SUM(F195:F196)</f>
        <v>1.0736886928997325</v>
      </c>
      <c r="G197" s="590"/>
      <c r="H197" s="591">
        <f>SUM(H195:H196)</f>
        <v>1.0794289714649108</v>
      </c>
      <c r="I197" s="590"/>
      <c r="J197" s="591">
        <f>SUM(J195:J196)</f>
        <v>1.0911080396695683</v>
      </c>
      <c r="K197" s="590"/>
      <c r="L197" s="591">
        <f>SUM(L195:L196)</f>
        <v>1.1030595059664625</v>
      </c>
      <c r="M197" s="571">
        <v>0.82</v>
      </c>
      <c r="N197" s="572">
        <v>1.26</v>
      </c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F139"/>
  <sheetViews>
    <sheetView zoomScale="75" zoomScaleNormal="75" workbookViewId="0">
      <pane ySplit="10" topLeftCell="A11" activePane="bottomLeft" state="frozen"/>
      <selection pane="bottomLeft" activeCell="E15" sqref="E15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44" t="s">
        <v>480</v>
      </c>
      <c r="B1" s="744"/>
      <c r="C1" s="744"/>
      <c r="D1" s="744"/>
      <c r="E1" s="744"/>
    </row>
    <row r="2" spans="1:5" ht="15.75" x14ac:dyDescent="0.2">
      <c r="A2" s="745" t="s">
        <v>481</v>
      </c>
      <c r="B2" s="745"/>
      <c r="C2" s="745"/>
      <c r="D2" s="745"/>
      <c r="E2" s="745"/>
    </row>
    <row r="3" spans="1:5" ht="15.75" customHeight="1" x14ac:dyDescent="0.2">
      <c r="A3" s="745" t="s">
        <v>482</v>
      </c>
      <c r="B3" s="745"/>
      <c r="C3" s="745"/>
      <c r="D3" s="745"/>
      <c r="E3" s="745"/>
    </row>
    <row r="4" spans="1:5" ht="15.75" x14ac:dyDescent="0.2">
      <c r="A4" s="394"/>
      <c r="B4" s="395"/>
      <c r="C4" s="396" t="s">
        <v>483</v>
      </c>
      <c r="D4" s="399" t="s">
        <v>484</v>
      </c>
      <c r="E4" s="399" t="s">
        <v>485</v>
      </c>
    </row>
    <row r="5" spans="1:5" x14ac:dyDescent="0.2">
      <c r="A5" s="400"/>
      <c r="B5" s="401" t="s">
        <v>488</v>
      </c>
      <c r="C5" s="402">
        <f>MC!$D11</f>
        <v>1194.6272727272726</v>
      </c>
      <c r="D5" s="402">
        <f>MC!$E11</f>
        <v>895.97045454545446</v>
      </c>
      <c r="E5" s="404">
        <f>MC!$F11</f>
        <v>597.31363636363631</v>
      </c>
    </row>
    <row r="6" spans="1:5" x14ac:dyDescent="0.2">
      <c r="A6" s="400"/>
      <c r="B6" s="401" t="s">
        <v>489</v>
      </c>
      <c r="C6" s="405">
        <f>MC!E8</f>
        <v>44562</v>
      </c>
      <c r="D6" s="407">
        <f>MC!E8</f>
        <v>44562</v>
      </c>
      <c r="E6" s="407">
        <f>MC!E8</f>
        <v>44562</v>
      </c>
    </row>
    <row r="7" spans="1:5" x14ac:dyDescent="0.2">
      <c r="A7" s="400"/>
      <c r="B7" s="401" t="s">
        <v>490</v>
      </c>
      <c r="C7" s="405" t="str">
        <f>MC!C8</f>
        <v>RS005021/2021</v>
      </c>
      <c r="D7" s="407" t="str">
        <f>MC!C8</f>
        <v>RS005021/2021</v>
      </c>
      <c r="E7" s="407" t="str">
        <f>MC!C8</f>
        <v>RS005021/2021</v>
      </c>
    </row>
    <row r="8" spans="1:5" x14ac:dyDescent="0.2">
      <c r="A8" s="400"/>
      <c r="B8" s="401" t="s">
        <v>491</v>
      </c>
      <c r="C8" s="408" t="str">
        <f>MC!F8</f>
        <v>5143-20</v>
      </c>
      <c r="D8" s="410" t="str">
        <f>MC!F8</f>
        <v>5143-20</v>
      </c>
      <c r="E8" s="410" t="str">
        <f>MC!F8</f>
        <v>5143-20</v>
      </c>
    </row>
    <row r="9" spans="1:5" x14ac:dyDescent="0.2">
      <c r="A9" s="752"/>
      <c r="B9" s="752"/>
      <c r="C9" s="752"/>
      <c r="D9" s="752"/>
      <c r="E9" s="752"/>
    </row>
    <row r="10" spans="1:5" ht="66.75" customHeight="1" x14ac:dyDescent="0.2">
      <c r="A10" s="411" t="s">
        <v>492</v>
      </c>
      <c r="B10" s="412" t="s">
        <v>493</v>
      </c>
      <c r="C10" s="412" t="s">
        <v>633</v>
      </c>
      <c r="D10" s="592" t="s">
        <v>634</v>
      </c>
      <c r="E10" s="593" t="s">
        <v>635</v>
      </c>
    </row>
    <row r="11" spans="1:5" ht="14.25" customHeight="1" x14ac:dyDescent="0.2">
      <c r="A11" s="753" t="s">
        <v>501</v>
      </c>
      <c r="B11" s="753"/>
      <c r="C11" s="753"/>
      <c r="D11" s="753"/>
      <c r="E11" s="753"/>
    </row>
    <row r="12" spans="1:5" ht="14.25" customHeight="1" x14ac:dyDescent="0.2">
      <c r="A12" s="415" t="s">
        <v>502</v>
      </c>
      <c r="B12" s="416" t="s">
        <v>503</v>
      </c>
      <c r="C12" s="416" t="s">
        <v>504</v>
      </c>
      <c r="D12" s="594" t="s">
        <v>504</v>
      </c>
      <c r="E12" s="595" t="s">
        <v>504</v>
      </c>
    </row>
    <row r="13" spans="1:5" ht="14.25" customHeight="1" x14ac:dyDescent="0.2">
      <c r="A13" s="418" t="s">
        <v>505</v>
      </c>
      <c r="B13" s="419"/>
      <c r="C13" s="420">
        <f>C5</f>
        <v>1194.6272727272726</v>
      </c>
      <c r="D13" s="420">
        <f>D5</f>
        <v>895.97045454545446</v>
      </c>
      <c r="E13" s="422">
        <f>E5</f>
        <v>597.31363636363631</v>
      </c>
    </row>
    <row r="14" spans="1:5" ht="14.25" customHeight="1" x14ac:dyDescent="0.2">
      <c r="A14" s="418" t="s">
        <v>506</v>
      </c>
      <c r="B14" s="442">
        <v>0.2</v>
      </c>
      <c r="C14" s="420">
        <f>C13*$B$14</f>
        <v>238.92545454545453</v>
      </c>
      <c r="D14" s="596">
        <f>D13*$B$14</f>
        <v>179.1940909090909</v>
      </c>
      <c r="E14" s="597">
        <f>B14*E13</f>
        <v>119.46272727272726</v>
      </c>
    </row>
    <row r="15" spans="1:5" ht="14.25" customHeight="1" x14ac:dyDescent="0.2">
      <c r="A15" s="418" t="s">
        <v>508</v>
      </c>
      <c r="B15" s="426"/>
      <c r="C15" s="420"/>
      <c r="D15" s="596"/>
      <c r="E15" s="597"/>
    </row>
    <row r="16" spans="1:5" ht="14.25" customHeight="1" x14ac:dyDescent="0.2">
      <c r="A16" s="418" t="s">
        <v>509</v>
      </c>
      <c r="B16" s="426"/>
      <c r="C16" s="420"/>
      <c r="D16" s="596"/>
      <c r="E16" s="597"/>
    </row>
    <row r="17" spans="1:5" ht="14.25" customHeight="1" x14ac:dyDescent="0.2">
      <c r="A17" s="418" t="s">
        <v>510</v>
      </c>
      <c r="B17" s="426"/>
      <c r="C17" s="420"/>
      <c r="D17" s="596"/>
      <c r="E17" s="597"/>
    </row>
    <row r="18" spans="1:5" ht="14.25" customHeight="1" x14ac:dyDescent="0.2">
      <c r="A18" s="418" t="s">
        <v>511</v>
      </c>
      <c r="B18" s="428"/>
      <c r="C18" s="420"/>
      <c r="D18" s="596"/>
      <c r="E18" s="597"/>
    </row>
    <row r="19" spans="1:5" ht="14.25" customHeight="1" x14ac:dyDescent="0.2">
      <c r="A19" s="429" t="s">
        <v>512</v>
      </c>
      <c r="B19" s="430"/>
      <c r="C19" s="444">
        <f>SUM(C13:C18)</f>
        <v>1433.5527272727272</v>
      </c>
      <c r="D19" s="598">
        <f>SUM(D13:D18)</f>
        <v>1075.1645454545453</v>
      </c>
      <c r="E19" s="599">
        <f>SUM(E13:E18)</f>
        <v>716.77636363636361</v>
      </c>
    </row>
    <row r="20" spans="1:5" ht="14.25" customHeight="1" x14ac:dyDescent="0.2">
      <c r="A20" s="754"/>
      <c r="B20" s="754"/>
      <c r="C20" s="754"/>
      <c r="D20" s="754"/>
      <c r="E20" s="754"/>
    </row>
    <row r="21" spans="1:5" ht="14.25" customHeight="1" x14ac:dyDescent="0.2">
      <c r="A21" s="770" t="s">
        <v>513</v>
      </c>
      <c r="B21" s="770"/>
      <c r="C21" s="770"/>
      <c r="D21" s="770"/>
      <c r="E21" s="770"/>
    </row>
    <row r="22" spans="1:5" ht="14.25" customHeight="1" x14ac:dyDescent="0.2">
      <c r="A22" s="438" t="s">
        <v>514</v>
      </c>
      <c r="B22" s="439" t="s">
        <v>503</v>
      </c>
      <c r="C22" s="439" t="s">
        <v>504</v>
      </c>
      <c r="D22" s="600" t="s">
        <v>504</v>
      </c>
      <c r="E22" s="601" t="s">
        <v>504</v>
      </c>
    </row>
    <row r="23" spans="1:5" ht="14.25" customHeight="1" x14ac:dyDescent="0.2">
      <c r="A23" s="441" t="s">
        <v>515</v>
      </c>
      <c r="B23" s="442">
        <f>1/12</f>
        <v>8.3333333333333329E-2</v>
      </c>
      <c r="C23" s="420">
        <f>ROUND($B23*C$19,2)</f>
        <v>119.46</v>
      </c>
      <c r="D23" s="596">
        <f>ROUND($B23*D$19,2)</f>
        <v>89.6</v>
      </c>
      <c r="E23" s="597">
        <f>ROUND($B23*E$19,2)</f>
        <v>59.73</v>
      </c>
    </row>
    <row r="24" spans="1:5" ht="14.25" customHeight="1" x14ac:dyDescent="0.2">
      <c r="A24" s="441" t="s">
        <v>516</v>
      </c>
      <c r="B24" s="442">
        <f>1/3*1/12</f>
        <v>2.7777777777777776E-2</v>
      </c>
      <c r="C24" s="420">
        <f>C$19*$B$24</f>
        <v>39.82090909090909</v>
      </c>
      <c r="D24" s="596">
        <f>D$19*$B$24</f>
        <v>29.865681818181812</v>
      </c>
      <c r="E24" s="597">
        <f>E$19*$B$24</f>
        <v>19.910454545454545</v>
      </c>
    </row>
    <row r="25" spans="1:5" ht="14.25" customHeight="1" x14ac:dyDescent="0.2">
      <c r="A25" s="429" t="s">
        <v>512</v>
      </c>
      <c r="B25" s="443">
        <f>SUM(B23:B24)</f>
        <v>0.1111111111111111</v>
      </c>
      <c r="C25" s="444">
        <f>SUM(C23:C24)</f>
        <v>159.28090909090909</v>
      </c>
      <c r="D25" s="598">
        <f>SUM(D23:D24)</f>
        <v>119.46568181818181</v>
      </c>
      <c r="E25" s="599">
        <f>SUM(E23:E24)</f>
        <v>79.640454545454546</v>
      </c>
    </row>
    <row r="26" spans="1:5" ht="14.25" customHeight="1" x14ac:dyDescent="0.2">
      <c r="A26" s="438" t="s">
        <v>517</v>
      </c>
      <c r="B26" s="439" t="s">
        <v>503</v>
      </c>
      <c r="C26" s="439" t="s">
        <v>504</v>
      </c>
      <c r="D26" s="600" t="s">
        <v>504</v>
      </c>
      <c r="E26" s="601" t="s">
        <v>504</v>
      </c>
    </row>
    <row r="27" spans="1:5" ht="14.25" customHeight="1" x14ac:dyDescent="0.2">
      <c r="A27" s="438" t="s">
        <v>518</v>
      </c>
      <c r="B27" s="446"/>
      <c r="C27" s="446"/>
      <c r="D27" s="602"/>
      <c r="E27" s="603"/>
    </row>
    <row r="28" spans="1:5" ht="14.25" customHeight="1" x14ac:dyDescent="0.2">
      <c r="A28" s="441" t="s">
        <v>519</v>
      </c>
      <c r="B28" s="442">
        <v>0.2</v>
      </c>
      <c r="C28" s="604">
        <f t="shared" ref="C28:E35" si="0">ROUND((C$19+C$25)*$B28,2)</f>
        <v>318.57</v>
      </c>
      <c r="D28" s="604">
        <f t="shared" si="0"/>
        <v>238.93</v>
      </c>
      <c r="E28" s="605">
        <f t="shared" si="0"/>
        <v>159.28</v>
      </c>
    </row>
    <row r="29" spans="1:5" ht="14.25" customHeight="1" x14ac:dyDescent="0.2">
      <c r="A29" s="441" t="s">
        <v>520</v>
      </c>
      <c r="B29" s="442">
        <v>2.5000000000000001E-2</v>
      </c>
      <c r="C29" s="604">
        <f t="shared" si="0"/>
        <v>39.82</v>
      </c>
      <c r="D29" s="604">
        <f t="shared" si="0"/>
        <v>29.87</v>
      </c>
      <c r="E29" s="605">
        <f t="shared" si="0"/>
        <v>19.91</v>
      </c>
    </row>
    <row r="30" spans="1:5" ht="14.25" customHeight="1" x14ac:dyDescent="0.2">
      <c r="A30" s="441" t="s">
        <v>521</v>
      </c>
      <c r="B30" s="442">
        <v>0.03</v>
      </c>
      <c r="C30" s="604">
        <f t="shared" si="0"/>
        <v>47.79</v>
      </c>
      <c r="D30" s="604">
        <f t="shared" si="0"/>
        <v>35.840000000000003</v>
      </c>
      <c r="E30" s="605">
        <f t="shared" si="0"/>
        <v>23.89</v>
      </c>
    </row>
    <row r="31" spans="1:5" ht="14.25" customHeight="1" x14ac:dyDescent="0.2">
      <c r="A31" s="441" t="s">
        <v>522</v>
      </c>
      <c r="B31" s="442">
        <v>1.4999999999999999E-2</v>
      </c>
      <c r="C31" s="604">
        <f t="shared" si="0"/>
        <v>23.89</v>
      </c>
      <c r="D31" s="604">
        <f t="shared" si="0"/>
        <v>17.920000000000002</v>
      </c>
      <c r="E31" s="605">
        <f t="shared" si="0"/>
        <v>11.95</v>
      </c>
    </row>
    <row r="32" spans="1:5" ht="14.25" customHeight="1" x14ac:dyDescent="0.2">
      <c r="A32" s="441" t="s">
        <v>523</v>
      </c>
      <c r="B32" s="442">
        <v>0.01</v>
      </c>
      <c r="C32" s="604">
        <f t="shared" si="0"/>
        <v>15.93</v>
      </c>
      <c r="D32" s="604">
        <f t="shared" si="0"/>
        <v>11.95</v>
      </c>
      <c r="E32" s="605">
        <f t="shared" si="0"/>
        <v>7.96</v>
      </c>
    </row>
    <row r="33" spans="1:5" ht="14.25" customHeight="1" x14ac:dyDescent="0.2">
      <c r="A33" s="441" t="s">
        <v>524</v>
      </c>
      <c r="B33" s="442">
        <v>6.0000000000000001E-3</v>
      </c>
      <c r="C33" s="604">
        <f t="shared" si="0"/>
        <v>9.56</v>
      </c>
      <c r="D33" s="604">
        <f t="shared" si="0"/>
        <v>7.17</v>
      </c>
      <c r="E33" s="605">
        <f t="shared" si="0"/>
        <v>4.78</v>
      </c>
    </row>
    <row r="34" spans="1:5" ht="14.25" customHeight="1" x14ac:dyDescent="0.2">
      <c r="A34" s="441" t="s">
        <v>525</v>
      </c>
      <c r="B34" s="442">
        <v>2E-3</v>
      </c>
      <c r="C34" s="604">
        <f t="shared" si="0"/>
        <v>3.19</v>
      </c>
      <c r="D34" s="604">
        <f t="shared" si="0"/>
        <v>2.39</v>
      </c>
      <c r="E34" s="605">
        <f t="shared" si="0"/>
        <v>1.59</v>
      </c>
    </row>
    <row r="35" spans="1:5" ht="14.25" customHeight="1" x14ac:dyDescent="0.2">
      <c r="A35" s="441" t="s">
        <v>526</v>
      </c>
      <c r="B35" s="442">
        <v>0.08</v>
      </c>
      <c r="C35" s="604">
        <f t="shared" si="0"/>
        <v>127.43</v>
      </c>
      <c r="D35" s="604">
        <f t="shared" si="0"/>
        <v>95.57</v>
      </c>
      <c r="E35" s="605">
        <f t="shared" si="0"/>
        <v>63.71</v>
      </c>
    </row>
    <row r="36" spans="1:5" ht="14.25" customHeight="1" x14ac:dyDescent="0.2">
      <c r="A36" s="429" t="s">
        <v>512</v>
      </c>
      <c r="B36" s="443">
        <f>SUM(B28:B35)</f>
        <v>0.36800000000000005</v>
      </c>
      <c r="C36" s="444">
        <f>SUM(C27:C35)</f>
        <v>586.18000000000006</v>
      </c>
      <c r="D36" s="598">
        <f>SUM(D27:D35)</f>
        <v>439.64</v>
      </c>
      <c r="E36" s="599">
        <f>SUM(E27:E35)</f>
        <v>293.07</v>
      </c>
    </row>
    <row r="37" spans="1:5" ht="14.25" customHeight="1" x14ac:dyDescent="0.2">
      <c r="A37" s="438" t="s">
        <v>527</v>
      </c>
      <c r="B37" s="439" t="s">
        <v>528</v>
      </c>
      <c r="C37" s="439" t="s">
        <v>504</v>
      </c>
      <c r="D37" s="600" t="s">
        <v>504</v>
      </c>
      <c r="E37" s="440" t="s">
        <v>504</v>
      </c>
    </row>
    <row r="38" spans="1:5" ht="14.25" customHeight="1" x14ac:dyDescent="0.2">
      <c r="A38" s="441" t="s">
        <v>529</v>
      </c>
      <c r="B38" s="451">
        <f>MC!D84</f>
        <v>4.1692592592592588</v>
      </c>
      <c r="C38" s="420">
        <f>ROUND(((2*22*$B$38)-0.06*C$13),2)</f>
        <v>111.77</v>
      </c>
      <c r="D38" s="596">
        <f>ROUND(((2*22*$B$38)-0.06*D$13),2)</f>
        <v>129.69</v>
      </c>
      <c r="E38" s="597">
        <f>ROUND(((2*22*$B$38)-0.06*E$13),2)</f>
        <v>147.61000000000001</v>
      </c>
    </row>
    <row r="39" spans="1:5" ht="14.25" customHeight="1" x14ac:dyDescent="0.2">
      <c r="A39" s="441" t="s">
        <v>530</v>
      </c>
      <c r="B39" s="452"/>
      <c r="C39" s="449">
        <f>MC!E19</f>
        <v>359.61</v>
      </c>
      <c r="D39" s="604">
        <f>MC!E20</f>
        <v>179.8</v>
      </c>
      <c r="E39" s="605">
        <f>MC!E20</f>
        <v>179.8</v>
      </c>
    </row>
    <row r="40" spans="1:5" ht="14.25" customHeight="1" x14ac:dyDescent="0.2">
      <c r="A40" s="441" t="s">
        <v>531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636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637</v>
      </c>
      <c r="B42" s="455">
        <f>MC!E27</f>
        <v>17.32</v>
      </c>
      <c r="C42" s="449">
        <f>$B42</f>
        <v>17.32</v>
      </c>
      <c r="D42" s="449">
        <f>$B42</f>
        <v>17.32</v>
      </c>
      <c r="E42" s="450">
        <f>$B42</f>
        <v>17.32</v>
      </c>
    </row>
    <row r="43" spans="1:5" ht="14.25" customHeight="1" x14ac:dyDescent="0.2">
      <c r="A43" s="441" t="s">
        <v>534</v>
      </c>
      <c r="B43" s="442"/>
      <c r="C43" s="449"/>
      <c r="D43" s="604"/>
      <c r="E43" s="605"/>
    </row>
    <row r="44" spans="1:5" ht="14.25" customHeight="1" x14ac:dyDescent="0.2">
      <c r="A44" s="429" t="s">
        <v>512</v>
      </c>
      <c r="B44" s="430"/>
      <c r="C44" s="444">
        <f>SUM(C38:C43)</f>
        <v>488.7</v>
      </c>
      <c r="D44" s="598">
        <f>SUM(D38:D43)</f>
        <v>326.81</v>
      </c>
      <c r="E44" s="599">
        <f>SUM(E38:E43)</f>
        <v>344.73</v>
      </c>
    </row>
    <row r="45" spans="1:5" ht="14.25" customHeight="1" x14ac:dyDescent="0.2">
      <c r="A45" s="415" t="s">
        <v>535</v>
      </c>
      <c r="B45" s="416" t="s">
        <v>503</v>
      </c>
      <c r="C45" s="416" t="s">
        <v>504</v>
      </c>
      <c r="D45" s="594" t="s">
        <v>504</v>
      </c>
      <c r="E45" s="595" t="s">
        <v>504</v>
      </c>
    </row>
    <row r="46" spans="1:5" ht="14.25" customHeight="1" x14ac:dyDescent="0.2">
      <c r="A46" s="441" t="s">
        <v>514</v>
      </c>
      <c r="B46" s="458">
        <f>B25</f>
        <v>0.1111111111111111</v>
      </c>
      <c r="C46" s="459">
        <f>C25</f>
        <v>159.28090909090909</v>
      </c>
      <c r="D46" s="606">
        <f>D25</f>
        <v>119.46568181818181</v>
      </c>
      <c r="E46" s="607">
        <f>E25</f>
        <v>79.640454545454546</v>
      </c>
    </row>
    <row r="47" spans="1:5" ht="14.25" customHeight="1" x14ac:dyDescent="0.2">
      <c r="A47" s="441" t="s">
        <v>536</v>
      </c>
      <c r="B47" s="458">
        <f>B36</f>
        <v>0.36800000000000005</v>
      </c>
      <c r="C47" s="459">
        <f>C36</f>
        <v>586.18000000000006</v>
      </c>
      <c r="D47" s="606">
        <f>D36</f>
        <v>439.64</v>
      </c>
      <c r="E47" s="607">
        <f>E36</f>
        <v>293.07</v>
      </c>
    </row>
    <row r="48" spans="1:5" ht="14.25" customHeight="1" x14ac:dyDescent="0.2">
      <c r="A48" s="441" t="s">
        <v>527</v>
      </c>
      <c r="B48" s="458"/>
      <c r="C48" s="459">
        <f>C44</f>
        <v>488.7</v>
      </c>
      <c r="D48" s="606">
        <f>D44</f>
        <v>326.81</v>
      </c>
      <c r="E48" s="607">
        <f>E44</f>
        <v>344.73</v>
      </c>
    </row>
    <row r="49" spans="1:5" ht="14.25" customHeight="1" x14ac:dyDescent="0.2">
      <c r="A49" s="429" t="s">
        <v>512</v>
      </c>
      <c r="B49" s="430"/>
      <c r="C49" s="444">
        <f>SUM(C46:C48)</f>
        <v>1234.1609090909092</v>
      </c>
      <c r="D49" s="598">
        <f>SUM(D46:D48)</f>
        <v>885.91568181818184</v>
      </c>
      <c r="E49" s="599">
        <f>SUM(E46:E48)</f>
        <v>717.44045454545449</v>
      </c>
    </row>
    <row r="50" spans="1:5" ht="14.25" customHeight="1" x14ac:dyDescent="0.2">
      <c r="A50" s="754"/>
      <c r="B50" s="754"/>
      <c r="C50" s="754"/>
      <c r="D50" s="754"/>
      <c r="E50" s="754"/>
    </row>
    <row r="51" spans="1:5" s="461" customFormat="1" ht="14.25" customHeight="1" x14ac:dyDescent="0.2">
      <c r="A51" s="770" t="s">
        <v>537</v>
      </c>
      <c r="B51" s="770"/>
      <c r="C51" s="770"/>
      <c r="D51" s="770"/>
      <c r="E51" s="770"/>
    </row>
    <row r="52" spans="1:5" ht="14.25" customHeight="1" x14ac:dyDescent="0.2">
      <c r="A52" s="415" t="s">
        <v>538</v>
      </c>
      <c r="B52" s="416" t="s">
        <v>503</v>
      </c>
      <c r="C52" s="416" t="s">
        <v>504</v>
      </c>
      <c r="D52" s="594" t="s">
        <v>504</v>
      </c>
      <c r="E52" s="595" t="s">
        <v>504</v>
      </c>
    </row>
    <row r="53" spans="1:5" ht="14.25" customHeight="1" x14ac:dyDescent="0.2">
      <c r="A53" s="438" t="s">
        <v>539</v>
      </c>
      <c r="B53" s="462"/>
      <c r="C53" s="462"/>
      <c r="D53" s="608"/>
      <c r="E53" s="609"/>
    </row>
    <row r="54" spans="1:5" ht="14.25" customHeight="1" x14ac:dyDescent="0.2">
      <c r="A54" s="441" t="s">
        <v>540</v>
      </c>
      <c r="B54" s="458">
        <f>1/12*0.05</f>
        <v>4.1666666666666666E-3</v>
      </c>
      <c r="C54" s="465">
        <f>C19*$B54</f>
        <v>5.973136363636363</v>
      </c>
      <c r="D54" s="610">
        <f>D19*$B54</f>
        <v>4.479852272727272</v>
      </c>
      <c r="E54" s="611">
        <f>E19*$B54</f>
        <v>2.9865681818181815</v>
      </c>
    </row>
    <row r="55" spans="1:5" ht="14.25" customHeight="1" x14ac:dyDescent="0.2">
      <c r="A55" s="441" t="s">
        <v>541</v>
      </c>
      <c r="B55" s="458">
        <f>B35*B54</f>
        <v>3.3333333333333332E-4</v>
      </c>
      <c r="C55" s="465">
        <f>$B$55*C19</f>
        <v>0.47785090909090905</v>
      </c>
      <c r="D55" s="610">
        <f>$B$55*D19</f>
        <v>0.35838818181818177</v>
      </c>
      <c r="E55" s="611">
        <f>$B$55*E19</f>
        <v>0.23892545454545452</v>
      </c>
    </row>
    <row r="56" spans="1:5" ht="14.25" customHeight="1" x14ac:dyDescent="0.2">
      <c r="A56" s="441" t="s">
        <v>542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543</v>
      </c>
      <c r="B57" s="458">
        <f>1/12*1/30*7</f>
        <v>1.9444444444444441E-2</v>
      </c>
      <c r="C57" s="459">
        <f>C19*$B57</f>
        <v>27.874636363636359</v>
      </c>
      <c r="D57" s="606">
        <f>D19*$B57</f>
        <v>20.905977272727267</v>
      </c>
      <c r="E57" s="607">
        <f>E19*$B57</f>
        <v>13.937318181818179</v>
      </c>
    </row>
    <row r="58" spans="1:5" ht="14.25" customHeight="1" x14ac:dyDescent="0.2">
      <c r="A58" s="441" t="s">
        <v>544</v>
      </c>
      <c r="B58" s="458">
        <f>B36*B57</f>
        <v>7.1555555555555556E-3</v>
      </c>
      <c r="C58" s="459">
        <f>$B58*C19</f>
        <v>10.257866181818182</v>
      </c>
      <c r="D58" s="606">
        <f>$B58*D19</f>
        <v>7.693399636363635</v>
      </c>
      <c r="E58" s="607">
        <f>$B58*E19</f>
        <v>5.1289330909090909</v>
      </c>
    </row>
    <row r="59" spans="1:5" ht="14.25" customHeight="1" x14ac:dyDescent="0.2">
      <c r="A59" s="441" t="s">
        <v>545</v>
      </c>
      <c r="B59" s="458">
        <f>B35*40/100*90/100*(1+1/12+1/12+1/3*1/12)</f>
        <v>3.4399999999999993E-2</v>
      </c>
      <c r="C59" s="459">
        <f>C19*$B59</f>
        <v>49.314213818181805</v>
      </c>
      <c r="D59" s="606">
        <f>D19*$B59</f>
        <v>36.985660363636349</v>
      </c>
      <c r="E59" s="607">
        <f>E19*$B59</f>
        <v>24.657106909090903</v>
      </c>
    </row>
    <row r="60" spans="1:5" ht="14.25" customHeight="1" x14ac:dyDescent="0.2">
      <c r="A60" s="429" t="s">
        <v>512</v>
      </c>
      <c r="B60" s="443">
        <f>SUM(B54:B59)</f>
        <v>6.5499999999999989E-2</v>
      </c>
      <c r="C60" s="431">
        <f>SUM(C54:C59)</f>
        <v>93.897703636363616</v>
      </c>
      <c r="D60" s="612">
        <f>SUM(D54:D59)</f>
        <v>70.423277727272705</v>
      </c>
      <c r="E60" s="613">
        <f>SUM(E54:E59)</f>
        <v>46.948851818181808</v>
      </c>
    </row>
    <row r="61" spans="1:5" ht="14.25" customHeight="1" x14ac:dyDescent="0.2">
      <c r="A61" s="754"/>
      <c r="B61" s="754"/>
      <c r="C61" s="754"/>
      <c r="D61" s="754"/>
      <c r="E61" s="754"/>
    </row>
    <row r="62" spans="1:5" ht="14.25" customHeight="1" x14ac:dyDescent="0.2">
      <c r="A62" s="770" t="s">
        <v>546</v>
      </c>
      <c r="B62" s="770"/>
      <c r="C62" s="770"/>
      <c r="D62" s="770"/>
      <c r="E62" s="770"/>
    </row>
    <row r="63" spans="1:5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40" t="s">
        <v>504</v>
      </c>
    </row>
    <row r="64" spans="1:5" ht="14.25" customHeight="1" x14ac:dyDescent="0.2">
      <c r="A64" s="441" t="s">
        <v>46</v>
      </c>
      <c r="B64" s="442">
        <f>1/12</f>
        <v>8.3333333333333329E-2</v>
      </c>
      <c r="C64" s="604">
        <f t="shared" ref="C64:E67" si="1">$B64*(C$19+C$49+C$60)</f>
        <v>230.13427833333333</v>
      </c>
      <c r="D64" s="604">
        <f t="shared" si="1"/>
        <v>169.29195874999999</v>
      </c>
      <c r="E64" s="605">
        <f t="shared" si="1"/>
        <v>123.43047249999998</v>
      </c>
    </row>
    <row r="65" spans="1:5" ht="14.25" customHeight="1" x14ac:dyDescent="0.2">
      <c r="A65" s="441" t="s">
        <v>547</v>
      </c>
      <c r="B65" s="442">
        <f>MC!E54/30/12</f>
        <v>1.3538888888888885E-2</v>
      </c>
      <c r="C65" s="604">
        <f t="shared" si="1"/>
        <v>37.389149086555541</v>
      </c>
      <c r="D65" s="604">
        <f t="shared" si="1"/>
        <v>27.504300231583326</v>
      </c>
      <c r="E65" s="605">
        <f t="shared" si="1"/>
        <v>20.053337432166661</v>
      </c>
    </row>
    <row r="66" spans="1:5" ht="14.25" customHeight="1" x14ac:dyDescent="0.2">
      <c r="A66" s="441" t="s">
        <v>548</v>
      </c>
      <c r="B66" s="467">
        <f>(5/30)/12*MC!F56*MC!C57</f>
        <v>1.0764583333333333E-4</v>
      </c>
      <c r="C66" s="604">
        <f t="shared" si="1"/>
        <v>0.29727595403708335</v>
      </c>
      <c r="D66" s="604">
        <f t="shared" si="1"/>
        <v>0.2186828877153125</v>
      </c>
      <c r="E66" s="605">
        <f t="shared" si="1"/>
        <v>0.15944131285187499</v>
      </c>
    </row>
    <row r="67" spans="1:5" ht="14.25" customHeight="1" x14ac:dyDescent="0.2">
      <c r="A67" s="441" t="s">
        <v>549</v>
      </c>
      <c r="B67" s="467">
        <f>MC!C59/30/12</f>
        <v>2.6830555555555553E-3</v>
      </c>
      <c r="C67" s="604">
        <f t="shared" si="1"/>
        <v>7.409556648072221</v>
      </c>
      <c r="D67" s="604">
        <f t="shared" si="1"/>
        <v>5.4506367652208327</v>
      </c>
      <c r="E67" s="605">
        <f t="shared" si="1"/>
        <v>3.9740497795916658</v>
      </c>
    </row>
    <row r="68" spans="1:5" ht="14.25" customHeight="1" x14ac:dyDescent="0.2">
      <c r="A68" s="441" t="s">
        <v>511</v>
      </c>
      <c r="B68" s="442"/>
      <c r="C68" s="449"/>
      <c r="D68" s="604"/>
      <c r="E68" s="605"/>
    </row>
    <row r="69" spans="1:5" ht="14.25" customHeight="1" x14ac:dyDescent="0.2">
      <c r="A69" s="468" t="s">
        <v>550</v>
      </c>
      <c r="B69" s="469">
        <f>SUM(B64:B68)</f>
        <v>9.9662923611111107E-2</v>
      </c>
      <c r="C69" s="470">
        <f>SUM(C64:C68)</f>
        <v>275.23026002199822</v>
      </c>
      <c r="D69" s="614">
        <f>SUM(D64:D68)</f>
        <v>202.46557863451946</v>
      </c>
      <c r="E69" s="615">
        <f>SUM(E64:E68)</f>
        <v>147.61730102461019</v>
      </c>
    </row>
    <row r="70" spans="1:5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40" t="s">
        <v>504</v>
      </c>
    </row>
    <row r="71" spans="1:5" ht="14.25" customHeight="1" x14ac:dyDescent="0.2">
      <c r="A71" s="441" t="s">
        <v>552</v>
      </c>
      <c r="B71" s="442"/>
      <c r="C71" s="449"/>
      <c r="D71" s="604"/>
      <c r="E71" s="605"/>
    </row>
    <row r="72" spans="1:5" ht="14.25" customHeight="1" x14ac:dyDescent="0.2">
      <c r="A72" s="468" t="s">
        <v>550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40" t="s">
        <v>504</v>
      </c>
    </row>
    <row r="74" spans="1:5" ht="14.25" customHeight="1" x14ac:dyDescent="0.2">
      <c r="A74" s="441" t="s">
        <v>68</v>
      </c>
      <c r="B74" s="442">
        <f>120/30*MC!C62*MC!C63</f>
        <v>6.18624E-3</v>
      </c>
      <c r="C74" s="449">
        <f>(((C19*2)+ (C19*1/3))+(C36)+(C44-C38-C39))*$B$74</f>
        <v>24.426098694981821</v>
      </c>
      <c r="D74" s="604">
        <f>(((D19*2)+ (D19*1/3))+(D36)+(D44-D38-D39))*$B$74</f>
        <v>18.346391371636361</v>
      </c>
      <c r="E74" s="605">
        <f>(((E19*2)+ (E19*1/3))+(E36)+(E44-E38-E39))*$B$74</f>
        <v>12.266498461090908</v>
      </c>
    </row>
    <row r="75" spans="1:5" ht="14.25" customHeight="1" x14ac:dyDescent="0.2">
      <c r="A75" s="468" t="s">
        <v>512</v>
      </c>
      <c r="B75" s="469"/>
      <c r="C75" s="470"/>
      <c r="D75" s="614"/>
      <c r="E75" s="615"/>
    </row>
    <row r="76" spans="1:5" ht="14.25" customHeight="1" x14ac:dyDescent="0.2">
      <c r="A76" s="415" t="s">
        <v>553</v>
      </c>
      <c r="B76" s="416" t="s">
        <v>503</v>
      </c>
      <c r="C76" s="416" t="s">
        <v>504</v>
      </c>
      <c r="D76" s="594" t="s">
        <v>504</v>
      </c>
      <c r="E76" s="595" t="s">
        <v>504</v>
      </c>
    </row>
    <row r="77" spans="1:5" ht="14.25" customHeight="1" x14ac:dyDescent="0.2">
      <c r="A77" s="441" t="s">
        <v>45</v>
      </c>
      <c r="B77" s="458">
        <f>B69</f>
        <v>9.9662923611111107E-2</v>
      </c>
      <c r="C77" s="459">
        <f>C69</f>
        <v>275.23026002199822</v>
      </c>
      <c r="D77" s="606">
        <f>D69</f>
        <v>202.46557863451946</v>
      </c>
      <c r="E77" s="607">
        <f>E69</f>
        <v>147.61730102461019</v>
      </c>
    </row>
    <row r="78" spans="1:5" ht="14.25" customHeight="1" x14ac:dyDescent="0.2">
      <c r="A78" s="441" t="s">
        <v>551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67</v>
      </c>
      <c r="B79" s="458">
        <f>B74</f>
        <v>6.18624E-3</v>
      </c>
      <c r="C79" s="459">
        <f>C74</f>
        <v>24.426098694981821</v>
      </c>
      <c r="D79" s="606">
        <f>D74</f>
        <v>18.346391371636361</v>
      </c>
      <c r="E79" s="607">
        <f>E74</f>
        <v>12.266498461090908</v>
      </c>
    </row>
    <row r="80" spans="1:5" ht="14.25" customHeight="1" x14ac:dyDescent="0.2">
      <c r="A80" s="429" t="s">
        <v>512</v>
      </c>
      <c r="B80" s="430"/>
      <c r="C80" s="444">
        <f>SUM(C77:C79)</f>
        <v>299.65635871698004</v>
      </c>
      <c r="D80" s="598">
        <f>SUM(D77:D79)</f>
        <v>220.81197000615583</v>
      </c>
      <c r="E80" s="599">
        <f>SUM(E77:E79)</f>
        <v>159.8837994857011</v>
      </c>
    </row>
    <row r="81" spans="1:5" ht="14.25" customHeight="1" x14ac:dyDescent="0.2">
      <c r="A81" s="754"/>
      <c r="B81" s="754"/>
      <c r="C81" s="754"/>
      <c r="D81" s="754"/>
      <c r="E81" s="754"/>
    </row>
    <row r="82" spans="1:5" ht="14.25" customHeight="1" x14ac:dyDescent="0.2">
      <c r="A82" s="771" t="s">
        <v>554</v>
      </c>
      <c r="B82" s="771"/>
      <c r="C82" s="771"/>
      <c r="D82" s="771"/>
      <c r="E82" s="771"/>
    </row>
    <row r="83" spans="1:5" ht="14.25" customHeight="1" x14ac:dyDescent="0.2">
      <c r="A83" s="415" t="s">
        <v>555</v>
      </c>
      <c r="B83" s="416" t="s">
        <v>528</v>
      </c>
      <c r="C83" s="416" t="s">
        <v>504</v>
      </c>
      <c r="D83" s="594" t="s">
        <v>504</v>
      </c>
      <c r="E83" s="595" t="s">
        <v>504</v>
      </c>
    </row>
    <row r="84" spans="1:5" ht="14.25" customHeight="1" x14ac:dyDescent="0.2">
      <c r="A84" s="441" t="s">
        <v>557</v>
      </c>
      <c r="B84" s="616"/>
      <c r="C84" s="596">
        <f>Insumos!$I118</f>
        <v>27.875416666666666</v>
      </c>
      <c r="D84" s="596">
        <f>Insumos!$I118</f>
        <v>27.875416666666666</v>
      </c>
      <c r="E84" s="596">
        <f>Insumos!$I118</f>
        <v>27.875416666666666</v>
      </c>
    </row>
    <row r="85" spans="1:5" ht="14.25" customHeight="1" x14ac:dyDescent="0.2">
      <c r="A85" s="478" t="s">
        <v>558</v>
      </c>
      <c r="B85" s="616"/>
      <c r="C85" s="596">
        <f>Insumos!$G70</f>
        <v>247.1166666666667</v>
      </c>
      <c r="D85" s="596">
        <f>Insumos!$G70</f>
        <v>247.1166666666667</v>
      </c>
      <c r="E85" s="596">
        <f>Insumos!$G70</f>
        <v>247.1166666666667</v>
      </c>
    </row>
    <row r="86" spans="1:5" ht="14.25" customHeight="1" x14ac:dyDescent="0.2">
      <c r="A86" s="478" t="s">
        <v>559</v>
      </c>
      <c r="B86" s="617"/>
      <c r="C86" s="618" t="s">
        <v>88</v>
      </c>
      <c r="D86" s="618" t="s">
        <v>88</v>
      </c>
      <c r="E86" s="618" t="s">
        <v>88</v>
      </c>
    </row>
    <row r="87" spans="1:5" ht="14.25" customHeight="1" x14ac:dyDescent="0.2">
      <c r="A87" s="478" t="s">
        <v>560</v>
      </c>
      <c r="B87" s="619"/>
      <c r="C87" s="596">
        <f>Insumos!$I123</f>
        <v>142.21333333333334</v>
      </c>
      <c r="D87" s="596">
        <f>Insumos!$H123</f>
        <v>122.52333333333333</v>
      </c>
      <c r="E87" s="596">
        <f>Insumos!$H123</f>
        <v>122.52333333333333</v>
      </c>
    </row>
    <row r="88" spans="1:5" ht="14.25" customHeight="1" x14ac:dyDescent="0.2">
      <c r="A88" s="468" t="s">
        <v>512</v>
      </c>
      <c r="B88" s="485"/>
      <c r="C88" s="470">
        <f>SUM(C84:C87)</f>
        <v>417.20541666666668</v>
      </c>
      <c r="D88" s="614">
        <f>SUM(D84:D87)</f>
        <v>397.51541666666668</v>
      </c>
      <c r="E88" s="615">
        <f>SUM(E84:E87)</f>
        <v>397.51541666666668</v>
      </c>
    </row>
    <row r="89" spans="1:5" ht="14.25" customHeight="1" x14ac:dyDescent="0.2">
      <c r="A89" s="754"/>
      <c r="B89" s="754"/>
      <c r="C89" s="754"/>
      <c r="D89" s="754"/>
      <c r="E89" s="754"/>
    </row>
    <row r="90" spans="1:5" ht="14.25" customHeight="1" x14ac:dyDescent="0.2">
      <c r="A90" s="771" t="s">
        <v>564</v>
      </c>
      <c r="B90" s="771"/>
      <c r="C90" s="771"/>
      <c r="D90" s="771"/>
      <c r="E90" s="771"/>
    </row>
    <row r="91" spans="1:5" ht="14.25" customHeight="1" x14ac:dyDescent="0.2">
      <c r="A91" s="415" t="s">
        <v>565</v>
      </c>
      <c r="B91" s="416" t="s">
        <v>503</v>
      </c>
      <c r="C91" s="416" t="s">
        <v>504</v>
      </c>
      <c r="D91" s="594" t="s">
        <v>504</v>
      </c>
      <c r="E91" s="595" t="s">
        <v>504</v>
      </c>
    </row>
    <row r="92" spans="1:5" ht="14.25" customHeight="1" x14ac:dyDescent="0.2">
      <c r="A92" s="418" t="s">
        <v>73</v>
      </c>
      <c r="B92" s="442">
        <v>0.03</v>
      </c>
      <c r="C92" s="449">
        <f>($C$19+$C$49+$C$60+$C$80+$C$88)*$B$92</f>
        <v>104.3541934615094</v>
      </c>
      <c r="D92" s="604">
        <f>(D$19+D$49+D$60+D$80+D$88)*$B$92</f>
        <v>79.494926750184675</v>
      </c>
      <c r="E92" s="605">
        <f>(E$19+E$49+E$60+E$80+E$88)*$B$92</f>
        <v>61.156946584571024</v>
      </c>
    </row>
    <row r="93" spans="1:5" ht="14.25" customHeight="1" x14ac:dyDescent="0.2">
      <c r="A93" s="418" t="s">
        <v>74</v>
      </c>
      <c r="B93" s="442">
        <v>6.7900000000000002E-2</v>
      </c>
      <c r="C93" s="449">
        <f>($C$19+$C$49+$C$60+$C$80+$C$88+C92)*B93</f>
        <v>243.27397427058611</v>
      </c>
      <c r="D93" s="604">
        <f>(D$19+D$49+D$60+D$80+D$88+D$92)*$B$93</f>
        <v>185.3212230709222</v>
      </c>
      <c r="E93" s="605">
        <f>(E$19+E$49+E$60+E$80+E$88+E$92)*$B$93</f>
        <v>142.57111244283814</v>
      </c>
    </row>
    <row r="94" spans="1:5" ht="14.25" customHeight="1" x14ac:dyDescent="0.2">
      <c r="A94" s="489" t="s">
        <v>566</v>
      </c>
      <c r="B94" s="490">
        <f>B95+B96</f>
        <v>0.1125</v>
      </c>
      <c r="C94" s="491">
        <f>((C19+C49+C60+C80+C88+C92+C93)/(1-($B$94)))*$B$94</f>
        <v>484.99875419777021</v>
      </c>
      <c r="D94" s="620">
        <f>((D19+D49+D60+D80+D88+D92+D93)/(1-($B$94)))*$B$94</f>
        <v>369.46230103444179</v>
      </c>
      <c r="E94" s="621">
        <f>((E19+E49+E60+E80+E88+E92+E93)/(1-($B$94)))*$B$94</f>
        <v>284.23431699461963</v>
      </c>
    </row>
    <row r="95" spans="1:5" ht="14.25" customHeight="1" x14ac:dyDescent="0.2">
      <c r="A95" s="418" t="s">
        <v>567</v>
      </c>
      <c r="B95" s="442">
        <f>0.0165+0.076</f>
        <v>9.2499999999999999E-2</v>
      </c>
      <c r="C95" s="498">
        <f>((C$19+C$49+C$60+C$80+C$88+C$92+C$93)/(1-($B$94)))*$B$95</f>
        <v>398.77675345149993</v>
      </c>
      <c r="D95" s="622">
        <f>((D$19+D$49+D$60+D$80+D$88+D$92+D$93)/(1-($B$94)))*$B$95</f>
        <v>303.78011418387439</v>
      </c>
      <c r="E95" s="623">
        <f>((E$19+E$49+E$60+E$80+E$88+E$92+E$93)/(1-($B$94)))*$B$95</f>
        <v>233.70377175113168</v>
      </c>
    </row>
    <row r="96" spans="1:5" ht="14.25" customHeight="1" x14ac:dyDescent="0.2">
      <c r="A96" s="418" t="s">
        <v>568</v>
      </c>
      <c r="B96" s="442">
        <v>0.02</v>
      </c>
      <c r="C96" s="501">
        <f>((C$19+C$49+C$60+C$80+C$88+C$92+C$93)/(1-($B$94)))*$B$96</f>
        <v>86.222000746270268</v>
      </c>
      <c r="D96" s="622">
        <f>((D$19+D$49+D$60+D$80+D$88+D$92+D$93)/(1-($B$94)))*$B$96</f>
        <v>65.682186850567433</v>
      </c>
      <c r="E96" s="623">
        <f>((E$19+E$49+E$60+E$80+E$88+E$92+E$93)/(1-($B$94)))*$B$96</f>
        <v>50.530545243487936</v>
      </c>
    </row>
    <row r="97" spans="1:6" ht="14.25" customHeight="1" x14ac:dyDescent="0.2">
      <c r="A97" s="489" t="s">
        <v>569</v>
      </c>
      <c r="B97" s="490">
        <f>B98+B99</f>
        <v>0.11749999999999999</v>
      </c>
      <c r="C97" s="491">
        <f>((C19+C49+C60+C80+C88+C92+C93)/(1-($B$97)))*$B$97</f>
        <v>509.42425015988636</v>
      </c>
      <c r="D97" s="620">
        <f>((D19+D49+D60+D80+D88+D92+D93)/(1-($B$97)))*$B$97</f>
        <v>388.06915283346933</v>
      </c>
      <c r="E97" s="621">
        <f>((E19+E49+E60+E80+E88+E92+E93)/(1-($B$97)))*$B$97</f>
        <v>298.54891904659917</v>
      </c>
    </row>
    <row r="98" spans="1:6" ht="14.25" customHeight="1" x14ac:dyDescent="0.2">
      <c r="A98" s="418" t="s">
        <v>567</v>
      </c>
      <c r="B98" s="442">
        <f>0.0165+0.076</f>
        <v>9.2499999999999999E-2</v>
      </c>
      <c r="C98" s="493">
        <f>((C19+C49+C60+C80+C88+C92+C93)/(1-($B$97)))*$B$98</f>
        <v>401.03611182799563</v>
      </c>
      <c r="D98" s="624">
        <f>((D19+D49+D60+D80+D88+D92+D93)/(1-($B$97)))*$B$98</f>
        <v>305.50124797528434</v>
      </c>
      <c r="E98" s="625">
        <f>((E19+E49+E60+E80+E88+E92+E93)/(1-($B$97)))*$B$98</f>
        <v>235.02787244093977</v>
      </c>
    </row>
    <row r="99" spans="1:6" ht="14.25" customHeight="1" x14ac:dyDescent="0.2">
      <c r="A99" s="418" t="s">
        <v>568</v>
      </c>
      <c r="B99" s="442">
        <v>2.5000000000000001E-2</v>
      </c>
      <c r="C99" s="495">
        <f>((C$19+C$49+C$60+C$80+C$88+C$92+C$93)/(1-($B$97)))*$B$99</f>
        <v>108.38813833189073</v>
      </c>
      <c r="D99" s="624">
        <f>((D$19+D$49+D$60+D$80+D$88+D$92+D$93)/(1-($B$97)))*$B$99</f>
        <v>82.567904858184974</v>
      </c>
      <c r="E99" s="625">
        <f>((E$19+E$49+E$60+E$80+E$88+E$92+E$93)/(1-($B$97)))*$B$99</f>
        <v>63.5210466056594</v>
      </c>
    </row>
    <row r="100" spans="1:6" ht="14.25" customHeight="1" x14ac:dyDescent="0.2">
      <c r="A100" s="489" t="s">
        <v>570</v>
      </c>
      <c r="B100" s="490">
        <f>B101+B102</f>
        <v>0.1225</v>
      </c>
      <c r="C100" s="491">
        <f>((C19+C49+C60+C80+C88+C92+C93)/(1-($B$100)))*$B$100</f>
        <v>534.12809935234009</v>
      </c>
      <c r="D100" s="620">
        <f>((D19+D49+D60+D80+D88+D92+D93)/(1-($B$100)))*$B$100</f>
        <v>406.88804852764258</v>
      </c>
      <c r="E100" s="621">
        <f>((E19+E49+E60+E80+E88+E92+E93)/(1-($B$100)))*$B$100</f>
        <v>313.0266504666925</v>
      </c>
    </row>
    <row r="101" spans="1:6" ht="14.25" customHeight="1" x14ac:dyDescent="0.2">
      <c r="A101" s="418" t="s">
        <v>567</v>
      </c>
      <c r="B101" s="442">
        <f>0.0165+0.076</f>
        <v>9.2499999999999999E-2</v>
      </c>
      <c r="C101" s="493">
        <f>((C19+C49+C60+C80+C88+C92+C93)/(1-($B$100)))*$B$101</f>
        <v>403.32121787829766</v>
      </c>
      <c r="D101" s="624">
        <f>((D19+D49+D60+D80+D88+D92+D93)/(1-($B$100)))*$B$101</f>
        <v>307.24199582699543</v>
      </c>
      <c r="E101" s="625">
        <f>((E19+E49+E60+E80+E88+E92+E93)/(1-($B$100)))*$B$101</f>
        <v>236.3670625972984</v>
      </c>
    </row>
    <row r="102" spans="1:6" ht="14.25" customHeight="1" x14ac:dyDescent="0.2">
      <c r="A102" s="418" t="s">
        <v>568</v>
      </c>
      <c r="B102" s="442">
        <v>0.03</v>
      </c>
      <c r="C102" s="495">
        <f>((C19+C49+C60+C80+C88+C92+C93)/(1-($B$100)))*$B$102</f>
        <v>130.80688147404248</v>
      </c>
      <c r="D102" s="624">
        <f>((D19+D49+D60+D80+D88+D92+D93)/(1-($B$100)))*$B$102</f>
        <v>99.646052700647161</v>
      </c>
      <c r="E102" s="625">
        <f>((E19+E49+E60+E80+E88+E92+E93)/(1-($B$100)))*$B$102</f>
        <v>76.659587869394073</v>
      </c>
      <c r="F102" s="497"/>
    </row>
    <row r="103" spans="1:6" ht="14.25" customHeight="1" x14ac:dyDescent="0.2">
      <c r="A103" s="489" t="s">
        <v>571</v>
      </c>
      <c r="B103" s="490">
        <f>B104+B105</f>
        <v>0.13250000000000001</v>
      </c>
      <c r="C103" s="491">
        <f>((C19+C49+C60+C80+C88+C92+C93)/(1-($B$103)))*$B$103</f>
        <v>584.39010952488286</v>
      </c>
      <c r="D103" s="620">
        <f>((D19+D49+D60+D80+D88+D92+D93)/(1-($B$103)))*$B$103</f>
        <v>445.17663746160889</v>
      </c>
      <c r="E103" s="621">
        <f>((E19+E49+E60+E80+E88+E92+E93)/(1-($B$103)))*$B$103</f>
        <v>342.48278413408696</v>
      </c>
    </row>
    <row r="104" spans="1:6" ht="14.25" customHeight="1" x14ac:dyDescent="0.2">
      <c r="A104" s="418" t="s">
        <v>567</v>
      </c>
      <c r="B104" s="442">
        <f>0.0165+0.076</f>
        <v>9.2499999999999999E-2</v>
      </c>
      <c r="C104" s="493">
        <f>((C19+C49+C60+C80+C88+C92+C93)/(1-($B$103)))*$B$104</f>
        <v>407.97045381925784</v>
      </c>
      <c r="D104" s="624">
        <f>((D19+D49+D60+D80+D88+D92+D93)/(1-($B$103)))*$B$104</f>
        <v>310.78369030338729</v>
      </c>
      <c r="E104" s="625">
        <f>((E19+E49+E60+E80+E88+E92+E93)/(1-($B$103)))*$B$104</f>
        <v>239.09175496153242</v>
      </c>
    </row>
    <row r="105" spans="1:6" ht="14.25" customHeight="1" x14ac:dyDescent="0.2">
      <c r="A105" s="418" t="s">
        <v>568</v>
      </c>
      <c r="B105" s="442">
        <v>0.04</v>
      </c>
      <c r="C105" s="495">
        <f>((C19+C49+C60+C80+C88+C92+C93)/(1-($B$103)))*$B$105</f>
        <v>176.41965570562502</v>
      </c>
      <c r="D105" s="624">
        <f>((D19+D49+D60+D80+D88+D92+D93)/(1-($B$103)))*$B$105</f>
        <v>134.39294715822155</v>
      </c>
      <c r="E105" s="625">
        <f>((E19+E49+E60+E80+E88+E92+E93)/(1-($B$103)))*$B$105</f>
        <v>103.39102917255455</v>
      </c>
    </row>
    <row r="106" spans="1:6" ht="14.25" customHeight="1" x14ac:dyDescent="0.2">
      <c r="A106" s="489" t="s">
        <v>572</v>
      </c>
      <c r="B106" s="490">
        <f>B107+B108</f>
        <v>0.14250000000000002</v>
      </c>
      <c r="C106" s="491">
        <f>((C19+C49+C60+C80+C88+C92+C93)/(1-($B$106)))*$B$106</f>
        <v>635.82441147987572</v>
      </c>
      <c r="D106" s="620">
        <f>((D19+D49+D60+D80+D88+D92+D93)/(1-($B$106)))*$B$106</f>
        <v>484.35825470890381</v>
      </c>
      <c r="E106" s="621">
        <f>((E19+E49+E60+E80+E88+E92+E93)/(1-($B$106)))*$B$106</f>
        <v>372.62594132725161</v>
      </c>
    </row>
    <row r="107" spans="1:6" ht="14.25" customHeight="1" x14ac:dyDescent="0.2">
      <c r="A107" s="418" t="s">
        <v>567</v>
      </c>
      <c r="B107" s="442">
        <f>0.0165+0.076</f>
        <v>9.2499999999999999E-2</v>
      </c>
      <c r="C107" s="498">
        <f>((C19+C49+C60+C80+C88+C92+C93)/(1-($B$106)))*$B$107</f>
        <v>412.7281267500947</v>
      </c>
      <c r="D107" s="622">
        <f>((D19+D49+D60+D80+D88+D92+D93)/(1-($B$106)))*$B$107</f>
        <v>314.40798989876208</v>
      </c>
      <c r="E107" s="623">
        <f>((E19+E49+E60+E80+E88+E92+E93)/(1-($B$106)))*$B$107</f>
        <v>241.87999700190014</v>
      </c>
    </row>
    <row r="108" spans="1:6" ht="14.25" customHeight="1" x14ac:dyDescent="0.2">
      <c r="A108" s="418" t="s">
        <v>568</v>
      </c>
      <c r="B108" s="500">
        <v>0.05</v>
      </c>
      <c r="C108" s="501">
        <f>((C19+C49+C60+C80+C88+C92+C93)/(1-($B$106)))*$B$108</f>
        <v>223.09628472978093</v>
      </c>
      <c r="D108" s="626">
        <f>((D19+D49+D60+D80+D88+D92+D93)/(1-($B$106)))*$B$108</f>
        <v>169.95026481014168</v>
      </c>
      <c r="E108" s="627">
        <f>((E19+E49+E60+E80+E88+E92+E93)/(1-($B$106)))*$B$108</f>
        <v>130.74594432535145</v>
      </c>
    </row>
    <row r="109" spans="1:6" ht="14.25" customHeight="1" x14ac:dyDescent="0.2">
      <c r="A109" s="756" t="s">
        <v>573</v>
      </c>
      <c r="B109" s="503">
        <v>0.02</v>
      </c>
      <c r="C109" s="504">
        <f>C92+C93+C94</f>
        <v>832.62692192986572</v>
      </c>
      <c r="D109" s="628">
        <f>D92+D93+D94</f>
        <v>634.27845085554873</v>
      </c>
      <c r="E109" s="629">
        <f>E92+E93+E94</f>
        <v>487.96237602202882</v>
      </c>
    </row>
    <row r="110" spans="1:6" ht="14.25" customHeight="1" x14ac:dyDescent="0.2">
      <c r="A110" s="756"/>
      <c r="B110" s="506">
        <v>2.5000000000000001E-2</v>
      </c>
      <c r="C110" s="507">
        <f>C92+C93+C97</f>
        <v>857.0524178919818</v>
      </c>
      <c r="D110" s="630">
        <f>D92+D93+D97</f>
        <v>652.88530265457621</v>
      </c>
      <c r="E110" s="631">
        <f>E92+E93+E97</f>
        <v>502.2769780740083</v>
      </c>
    </row>
    <row r="111" spans="1:6" ht="14.25" customHeight="1" x14ac:dyDescent="0.2">
      <c r="A111" s="756"/>
      <c r="B111" s="506">
        <v>0.03</v>
      </c>
      <c r="C111" s="507">
        <f>C92+C93+C100</f>
        <v>881.75626708443565</v>
      </c>
      <c r="D111" s="630">
        <f>D92+D93+D100</f>
        <v>671.70419834874951</v>
      </c>
      <c r="E111" s="631">
        <f>E92+E93+E100</f>
        <v>516.75470949410169</v>
      </c>
      <c r="F111" s="497"/>
    </row>
    <row r="112" spans="1:6" ht="14.25" customHeight="1" x14ac:dyDescent="0.2">
      <c r="A112" s="756"/>
      <c r="B112" s="506">
        <v>0.04</v>
      </c>
      <c r="C112" s="507">
        <f>C92+C93+C103</f>
        <v>932.01827725697831</v>
      </c>
      <c r="D112" s="630">
        <f>D92+D93+D103</f>
        <v>709.99278728271577</v>
      </c>
      <c r="E112" s="631">
        <f>E92+E93+E103</f>
        <v>546.21084316149609</v>
      </c>
    </row>
    <row r="113" spans="1:5" ht="14.25" customHeight="1" x14ac:dyDescent="0.2">
      <c r="A113" s="756"/>
      <c r="B113" s="509">
        <v>0.05</v>
      </c>
      <c r="C113" s="510">
        <f>C92+C93+C106</f>
        <v>983.45257921197117</v>
      </c>
      <c r="D113" s="632">
        <f>D92+D93+D106</f>
        <v>749.17440453001063</v>
      </c>
      <c r="E113" s="633">
        <f>E92+E93+E106</f>
        <v>576.3540003546608</v>
      </c>
    </row>
    <row r="114" spans="1:5" ht="7.5" customHeight="1" x14ac:dyDescent="0.2">
      <c r="A114" s="757"/>
      <c r="B114" s="757"/>
      <c r="C114" s="757"/>
      <c r="D114" s="757"/>
      <c r="E114" s="757"/>
    </row>
    <row r="115" spans="1:5" ht="7.5" customHeight="1" x14ac:dyDescent="0.2">
      <c r="A115" s="758"/>
      <c r="B115" s="758"/>
      <c r="C115" s="758"/>
      <c r="D115" s="758"/>
      <c r="E115" s="758"/>
    </row>
    <row r="116" spans="1:5" ht="54.75" customHeight="1" x14ac:dyDescent="0.2">
      <c r="A116" s="759" t="s">
        <v>575</v>
      </c>
      <c r="B116" s="759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60" t="s">
        <v>576</v>
      </c>
      <c r="B117" s="760"/>
      <c r="C117" s="524" t="s">
        <v>504</v>
      </c>
      <c r="D117" s="636" t="s">
        <v>504</v>
      </c>
      <c r="E117" s="637" t="s">
        <v>504</v>
      </c>
    </row>
    <row r="118" spans="1:5" ht="14.25" customHeight="1" x14ac:dyDescent="0.2">
      <c r="A118" s="761" t="s">
        <v>577</v>
      </c>
      <c r="B118" s="761"/>
      <c r="C118" s="526">
        <f>C19</f>
        <v>1433.5527272727272</v>
      </c>
      <c r="D118" s="638">
        <f>D19</f>
        <v>1075.1645454545453</v>
      </c>
      <c r="E118" s="639">
        <f>E19</f>
        <v>716.77636363636361</v>
      </c>
    </row>
    <row r="119" spans="1:5" ht="14.25" customHeight="1" x14ac:dyDescent="0.2">
      <c r="A119" s="762" t="s">
        <v>578</v>
      </c>
      <c r="B119" s="762"/>
      <c r="C119" s="528">
        <f>C49</f>
        <v>1234.1609090909092</v>
      </c>
      <c r="D119" s="640">
        <f>D49</f>
        <v>885.91568181818184</v>
      </c>
      <c r="E119" s="641">
        <f>E49</f>
        <v>717.44045454545449</v>
      </c>
    </row>
    <row r="120" spans="1:5" ht="14.25" customHeight="1" x14ac:dyDescent="0.2">
      <c r="A120" s="762" t="s">
        <v>579</v>
      </c>
      <c r="B120" s="762"/>
      <c r="C120" s="528">
        <f>C60</f>
        <v>93.897703636363616</v>
      </c>
      <c r="D120" s="640">
        <f>D60</f>
        <v>70.423277727272705</v>
      </c>
      <c r="E120" s="641">
        <f>E60</f>
        <v>46.948851818181808</v>
      </c>
    </row>
    <row r="121" spans="1:5" ht="14.25" customHeight="1" x14ac:dyDescent="0.2">
      <c r="A121" s="762" t="s">
        <v>580</v>
      </c>
      <c r="B121" s="762"/>
      <c r="C121" s="528">
        <f>C80</f>
        <v>299.65635871698004</v>
      </c>
      <c r="D121" s="640">
        <f>D80</f>
        <v>220.81197000615583</v>
      </c>
      <c r="E121" s="641">
        <f>E80</f>
        <v>159.8837994857011</v>
      </c>
    </row>
    <row r="122" spans="1:5" ht="15.75" customHeight="1" x14ac:dyDescent="0.2">
      <c r="A122" s="762" t="s">
        <v>581</v>
      </c>
      <c r="B122" s="762"/>
      <c r="C122" s="528">
        <f>C88</f>
        <v>417.20541666666668</v>
      </c>
      <c r="D122" s="640">
        <f>D88</f>
        <v>397.51541666666668</v>
      </c>
      <c r="E122" s="641">
        <f>E88</f>
        <v>397.51541666666668</v>
      </c>
    </row>
    <row r="123" spans="1:5" ht="15.75" customHeight="1" x14ac:dyDescent="0.2">
      <c r="A123" s="763" t="s">
        <v>582</v>
      </c>
      <c r="B123" s="763"/>
      <c r="C123" s="530">
        <f>SUM(C118:C122)</f>
        <v>3478.4731153836465</v>
      </c>
      <c r="D123" s="642">
        <f>SUM(D118:D122)</f>
        <v>2649.8308916728224</v>
      </c>
      <c r="E123" s="643">
        <f>SUM(E118:E122)</f>
        <v>2038.5648861523675</v>
      </c>
    </row>
    <row r="124" spans="1:5" ht="15.75" customHeight="1" x14ac:dyDescent="0.2">
      <c r="A124" s="764" t="s">
        <v>583</v>
      </c>
      <c r="B124" s="764"/>
      <c r="C124" s="533">
        <f t="shared" ref="C124:E128" si="2">C109</f>
        <v>832.62692192986572</v>
      </c>
      <c r="D124" s="642">
        <f t="shared" si="2"/>
        <v>634.27845085554873</v>
      </c>
      <c r="E124" s="643">
        <f t="shared" si="2"/>
        <v>487.96237602202882</v>
      </c>
    </row>
    <row r="125" spans="1:5" ht="15.75" customHeight="1" x14ac:dyDescent="0.2">
      <c r="A125" s="762" t="s">
        <v>584</v>
      </c>
      <c r="B125" s="762"/>
      <c r="C125" s="535">
        <f t="shared" si="2"/>
        <v>857.0524178919818</v>
      </c>
      <c r="D125" s="642">
        <f t="shared" si="2"/>
        <v>652.88530265457621</v>
      </c>
      <c r="E125" s="643">
        <f t="shared" si="2"/>
        <v>502.2769780740083</v>
      </c>
    </row>
    <row r="126" spans="1:5" ht="15.75" customHeight="1" x14ac:dyDescent="0.2">
      <c r="A126" s="762" t="s">
        <v>585</v>
      </c>
      <c r="B126" s="762"/>
      <c r="C126" s="535">
        <f t="shared" si="2"/>
        <v>881.75626708443565</v>
      </c>
      <c r="D126" s="642">
        <f t="shared" si="2"/>
        <v>671.70419834874951</v>
      </c>
      <c r="E126" s="643">
        <f t="shared" si="2"/>
        <v>516.75470949410169</v>
      </c>
    </row>
    <row r="127" spans="1:5" ht="15.75" customHeight="1" x14ac:dyDescent="0.2">
      <c r="A127" s="762" t="s">
        <v>586</v>
      </c>
      <c r="B127" s="762"/>
      <c r="C127" s="535">
        <f t="shared" si="2"/>
        <v>932.01827725697831</v>
      </c>
      <c r="D127" s="642">
        <f t="shared" si="2"/>
        <v>709.99278728271577</v>
      </c>
      <c r="E127" s="643">
        <f t="shared" si="2"/>
        <v>546.21084316149609</v>
      </c>
    </row>
    <row r="128" spans="1:5" ht="15.75" customHeight="1" x14ac:dyDescent="0.2">
      <c r="A128" s="764" t="s">
        <v>587</v>
      </c>
      <c r="B128" s="764"/>
      <c r="C128" s="535">
        <f t="shared" si="2"/>
        <v>983.45257921197117</v>
      </c>
      <c r="D128" s="644">
        <f t="shared" si="2"/>
        <v>749.17440453001063</v>
      </c>
      <c r="E128" s="645">
        <f t="shared" si="2"/>
        <v>576.3540003546608</v>
      </c>
    </row>
    <row r="129" spans="1:5" ht="15.75" customHeight="1" x14ac:dyDescent="0.2">
      <c r="A129" s="537" t="s">
        <v>588</v>
      </c>
      <c r="B129" s="538"/>
      <c r="C129" s="539">
        <f>C123+C124</f>
        <v>4311.1000373135121</v>
      </c>
      <c r="D129" s="539">
        <f>D123+D124</f>
        <v>3284.1093425283711</v>
      </c>
      <c r="E129" s="540">
        <f>E123+E124</f>
        <v>2526.5272621743961</v>
      </c>
    </row>
    <row r="130" spans="1:5" ht="15.75" customHeight="1" x14ac:dyDescent="0.2">
      <c r="A130" s="541" t="s">
        <v>589</v>
      </c>
      <c r="B130" s="542"/>
      <c r="C130" s="543">
        <f>C123+C125</f>
        <v>4335.5255332756278</v>
      </c>
      <c r="D130" s="543">
        <f>D123+D125</f>
        <v>3302.7161943273986</v>
      </c>
      <c r="E130" s="544">
        <f>E123+E125</f>
        <v>2540.8418642263759</v>
      </c>
    </row>
    <row r="131" spans="1:5" ht="15.75" customHeight="1" x14ac:dyDescent="0.2">
      <c r="A131" s="541" t="s">
        <v>590</v>
      </c>
      <c r="B131" s="542"/>
      <c r="C131" s="543">
        <f>C123+C126</f>
        <v>4360.2293824680819</v>
      </c>
      <c r="D131" s="543">
        <f>D123+D126</f>
        <v>3321.5350900215717</v>
      </c>
      <c r="E131" s="544">
        <f>E123+E126</f>
        <v>2555.3195956464692</v>
      </c>
    </row>
    <row r="132" spans="1:5" ht="15.75" customHeight="1" x14ac:dyDescent="0.2">
      <c r="A132" s="541" t="s">
        <v>591</v>
      </c>
      <c r="B132" s="542"/>
      <c r="C132" s="543">
        <f>C123+C127</f>
        <v>4410.4913926406243</v>
      </c>
      <c r="D132" s="543">
        <f>D123+D127</f>
        <v>3359.8236789555381</v>
      </c>
      <c r="E132" s="544">
        <f>E123+E127</f>
        <v>2584.7757293138638</v>
      </c>
    </row>
    <row r="133" spans="1:5" ht="15.75" customHeight="1" x14ac:dyDescent="0.2">
      <c r="A133" s="541" t="s">
        <v>592</v>
      </c>
      <c r="B133" s="542"/>
      <c r="C133" s="543">
        <f>C123+C128</f>
        <v>4461.9256945956176</v>
      </c>
      <c r="D133" s="646">
        <f>D123+D128</f>
        <v>3399.0052962028331</v>
      </c>
      <c r="E133" s="647">
        <f>E123+E128</f>
        <v>2614.9188865070282</v>
      </c>
    </row>
    <row r="134" spans="1:5" ht="15.75" customHeight="1" x14ac:dyDescent="0.2">
      <c r="A134" s="545" t="s">
        <v>593</v>
      </c>
      <c r="B134" s="546"/>
      <c r="C134" s="547">
        <f>C129/200</f>
        <v>21.55550018656756</v>
      </c>
      <c r="D134" s="547"/>
      <c r="E134" s="648"/>
    </row>
    <row r="135" spans="1:5" ht="15.75" customHeight="1" x14ac:dyDescent="0.2">
      <c r="A135" s="550" t="s">
        <v>594</v>
      </c>
      <c r="B135" s="551"/>
      <c r="C135" s="552">
        <f>C130/200</f>
        <v>21.67762766637814</v>
      </c>
      <c r="D135" s="552"/>
      <c r="E135" s="649"/>
    </row>
    <row r="136" spans="1:5" ht="15.75" customHeight="1" x14ac:dyDescent="0.2">
      <c r="A136" s="550" t="s">
        <v>595</v>
      </c>
      <c r="B136" s="551"/>
      <c r="C136" s="552">
        <f>C131/200</f>
        <v>21.80114691234041</v>
      </c>
      <c r="D136" s="552"/>
      <c r="E136" s="649"/>
    </row>
    <row r="137" spans="1:5" ht="15.75" customHeight="1" x14ac:dyDescent="0.2">
      <c r="A137" s="550" t="s">
        <v>596</v>
      </c>
      <c r="B137" s="551"/>
      <c r="C137" s="552">
        <f>C132/200</f>
        <v>22.05245696320312</v>
      </c>
      <c r="D137" s="552"/>
      <c r="E137" s="649"/>
    </row>
    <row r="138" spans="1:5" ht="15.75" customHeight="1" x14ac:dyDescent="0.2">
      <c r="A138" s="555" t="s">
        <v>597</v>
      </c>
      <c r="B138" s="556"/>
      <c r="C138" s="557">
        <f>C133/200</f>
        <v>22.309628472978087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LR181"/>
  <sheetViews>
    <sheetView zoomScaleNormal="100" workbookViewId="0">
      <pane xSplit="1" topLeftCell="B1" activePane="topRight" state="frozen"/>
      <selection pane="topRight" activeCell="O15" sqref="O15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11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2" width="9.25" customWidth="1"/>
    <col min="23" max="23" width="10.875" customWidth="1"/>
    <col min="24" max="25" width="10.625" customWidth="1"/>
    <col min="26" max="26" width="11.625" customWidth="1"/>
    <col min="27" max="1006" width="10.625" customWidth="1"/>
    <col min="1007" max="1025" width="10.5" customWidth="1"/>
  </cols>
  <sheetData>
    <row r="1" spans="1:26" ht="15" customHeight="1" x14ac:dyDescent="0.2">
      <c r="A1" s="287"/>
      <c r="B1" s="287"/>
      <c r="C1" s="730" t="s">
        <v>335</v>
      </c>
      <c r="D1" s="730"/>
      <c r="E1" s="730"/>
      <c r="F1" s="730"/>
      <c r="G1" s="730"/>
      <c r="H1" s="730"/>
      <c r="I1" s="731" t="s">
        <v>336</v>
      </c>
      <c r="J1" s="731"/>
      <c r="K1" s="731"/>
      <c r="L1" s="732" t="s">
        <v>337</v>
      </c>
      <c r="M1" s="732"/>
      <c r="N1" s="732"/>
      <c r="O1" s="287"/>
      <c r="P1" s="287"/>
      <c r="Q1" s="287"/>
      <c r="R1" s="287"/>
      <c r="S1" s="287"/>
      <c r="T1" s="287"/>
      <c r="U1" s="287"/>
      <c r="V1" s="287"/>
      <c r="W1" s="733"/>
      <c r="X1" s="733"/>
      <c r="Y1" s="733"/>
      <c r="Z1" s="287"/>
    </row>
    <row r="2" spans="1:26" ht="68.099999999999994" customHeight="1" x14ac:dyDescent="0.2">
      <c r="A2" s="734" t="s">
        <v>343</v>
      </c>
      <c r="B2" s="734" t="s">
        <v>344</v>
      </c>
      <c r="C2" s="735" t="s">
        <v>444</v>
      </c>
      <c r="D2" s="716" t="s">
        <v>345</v>
      </c>
      <c r="E2" s="716" t="s">
        <v>346</v>
      </c>
      <c r="F2" s="717" t="s">
        <v>347</v>
      </c>
      <c r="G2" s="715" t="s">
        <v>348</v>
      </c>
      <c r="H2" s="736" t="s">
        <v>445</v>
      </c>
      <c r="I2" s="737" t="s">
        <v>350</v>
      </c>
      <c r="J2" s="718" t="s">
        <v>446</v>
      </c>
      <c r="K2" s="738" t="s">
        <v>352</v>
      </c>
      <c r="L2" s="739" t="s">
        <v>353</v>
      </c>
      <c r="M2" s="720" t="s">
        <v>354</v>
      </c>
      <c r="N2" s="740" t="s">
        <v>355</v>
      </c>
      <c r="O2" s="741" t="s">
        <v>447</v>
      </c>
      <c r="P2" s="742" t="s">
        <v>448</v>
      </c>
      <c r="Q2" s="742"/>
      <c r="R2" s="742"/>
      <c r="S2" s="742"/>
      <c r="T2" s="743" t="s">
        <v>449</v>
      </c>
      <c r="U2" s="743"/>
      <c r="V2" s="743"/>
      <c r="W2" s="304" t="s">
        <v>450</v>
      </c>
      <c r="X2" s="305" t="s">
        <v>451</v>
      </c>
      <c r="Y2" s="306" t="s">
        <v>452</v>
      </c>
      <c r="Z2" s="307" t="s">
        <v>453</v>
      </c>
    </row>
    <row r="3" spans="1:26" x14ac:dyDescent="0.2">
      <c r="A3" s="734"/>
      <c r="B3" s="734"/>
      <c r="C3" s="734"/>
      <c r="D3" s="716"/>
      <c r="E3" s="716"/>
      <c r="F3" s="717"/>
      <c r="G3" s="715"/>
      <c r="H3" s="736"/>
      <c r="I3" s="737"/>
      <c r="J3" s="718"/>
      <c r="K3" s="738"/>
      <c r="L3" s="739"/>
      <c r="M3" s="720"/>
      <c r="N3" s="740"/>
      <c r="O3" s="741"/>
      <c r="P3" s="308" t="s">
        <v>454</v>
      </c>
      <c r="Q3" s="308" t="s">
        <v>455</v>
      </c>
      <c r="R3" s="308" t="s">
        <v>457</v>
      </c>
      <c r="S3" s="309" t="s">
        <v>638</v>
      </c>
      <c r="T3" s="310" t="s">
        <v>458</v>
      </c>
      <c r="U3" s="310" t="s">
        <v>459</v>
      </c>
      <c r="V3" s="310" t="s">
        <v>639</v>
      </c>
      <c r="W3" s="311" t="s">
        <v>460</v>
      </c>
      <c r="X3" s="312" t="s">
        <v>460</v>
      </c>
      <c r="Y3" s="313" t="s">
        <v>461</v>
      </c>
      <c r="Z3" s="307" t="s">
        <v>458</v>
      </c>
    </row>
    <row r="4" spans="1:26" x14ac:dyDescent="0.2">
      <c r="A4" s="69" t="s">
        <v>83</v>
      </c>
      <c r="B4" s="651">
        <f>'Resumo Proposta'!D19</f>
        <v>0.02</v>
      </c>
      <c r="C4" s="652">
        <v>2424.59</v>
      </c>
      <c r="D4" s="317">
        <f>C4-E4-F4-G4-H4</f>
        <v>648.29</v>
      </c>
      <c r="E4" s="317">
        <f t="shared" ref="E4:E20" si="0">$E$22*(1-H4/$H$22)</f>
        <v>537.63</v>
      </c>
      <c r="F4" s="653">
        <v>518.88</v>
      </c>
      <c r="G4" s="653">
        <v>599</v>
      </c>
      <c r="H4" s="653">
        <v>120.79</v>
      </c>
      <c r="I4" s="653">
        <v>265.57</v>
      </c>
      <c r="J4" s="653">
        <v>6.37</v>
      </c>
      <c r="K4" s="653">
        <v>344.36</v>
      </c>
      <c r="L4" s="653">
        <v>0</v>
      </c>
      <c r="M4" s="653">
        <v>441.41</v>
      </c>
      <c r="N4" s="654">
        <f>L4+M4</f>
        <v>441.41</v>
      </c>
      <c r="O4" s="321">
        <f t="shared" ref="O4:O20" si="1">D4/$D$22+E4/$E$22+F4/$F$22+G4/$G$22+H4/$H$22+I4/$I$22+J4/$J$22+K4/$K$22+M4/$M$22*16*1/188.76+N4/$N$22*16*1/188.76</f>
        <v>2.6952424469505512</v>
      </c>
      <c r="P4" s="321">
        <v>1</v>
      </c>
      <c r="Q4" s="321">
        <v>1</v>
      </c>
      <c r="R4" s="321"/>
      <c r="S4" s="321"/>
      <c r="T4" s="322"/>
      <c r="U4" s="322"/>
      <c r="V4" s="322"/>
      <c r="W4" s="323">
        <v>6</v>
      </c>
      <c r="X4" s="324">
        <v>6</v>
      </c>
      <c r="Y4" s="325">
        <v>22</v>
      </c>
      <c r="Z4" s="326">
        <v>1</v>
      </c>
    </row>
    <row r="5" spans="1:26" x14ac:dyDescent="0.2">
      <c r="A5" s="74" t="s">
        <v>85</v>
      </c>
      <c r="B5" s="651">
        <f>'Resumo Proposta'!D20</f>
        <v>0.03</v>
      </c>
      <c r="C5" s="652"/>
      <c r="D5" s="317"/>
      <c r="E5" s="317">
        <f t="shared" si="0"/>
        <v>900</v>
      </c>
      <c r="F5" s="329"/>
      <c r="G5" s="329"/>
      <c r="H5" s="329"/>
      <c r="I5" s="329"/>
      <c r="J5" s="329"/>
      <c r="K5" s="655"/>
      <c r="L5" s="329"/>
      <c r="M5" s="329"/>
      <c r="N5" s="331"/>
      <c r="O5" s="321">
        <f t="shared" si="1"/>
        <v>1</v>
      </c>
      <c r="P5" s="332">
        <v>1</v>
      </c>
      <c r="Q5" s="333"/>
      <c r="R5" s="333"/>
      <c r="S5" s="333"/>
      <c r="T5" s="334"/>
      <c r="U5" s="334"/>
      <c r="V5" s="334"/>
      <c r="W5" s="335">
        <v>6</v>
      </c>
      <c r="X5" s="336">
        <v>6</v>
      </c>
      <c r="Y5" s="337"/>
      <c r="Z5" s="338"/>
    </row>
    <row r="6" spans="1:26" x14ac:dyDescent="0.2">
      <c r="A6" s="74" t="s">
        <v>87</v>
      </c>
      <c r="B6" s="651">
        <f>'Resumo Proposta'!D21</f>
        <v>0.03</v>
      </c>
      <c r="C6" s="652"/>
      <c r="D6" s="317"/>
      <c r="E6" s="317">
        <f t="shared" si="0"/>
        <v>900</v>
      </c>
      <c r="F6" s="329"/>
      <c r="G6" s="329"/>
      <c r="H6" s="329"/>
      <c r="I6" s="329"/>
      <c r="J6" s="329"/>
      <c r="K6" s="329"/>
      <c r="L6" s="329"/>
      <c r="M6" s="329"/>
      <c r="N6" s="331"/>
      <c r="O6" s="321">
        <f t="shared" si="1"/>
        <v>1</v>
      </c>
      <c r="P6" s="332">
        <v>1</v>
      </c>
      <c r="Q6" s="333"/>
      <c r="R6" s="333"/>
      <c r="S6" s="333"/>
      <c r="T6" s="334"/>
      <c r="U6" s="334">
        <v>1</v>
      </c>
      <c r="V6" s="334"/>
      <c r="W6" s="335">
        <v>6</v>
      </c>
      <c r="X6" s="336">
        <v>6</v>
      </c>
      <c r="Y6" s="339"/>
      <c r="Z6" s="338"/>
    </row>
    <row r="7" spans="1:26" x14ac:dyDescent="0.2">
      <c r="A7" s="74" t="s">
        <v>90</v>
      </c>
      <c r="B7" s="651">
        <f>'Resumo Proposta'!D22</f>
        <v>0.03</v>
      </c>
      <c r="C7" s="652">
        <v>2236.54</v>
      </c>
      <c r="D7" s="317">
        <f>C7-E7-F7-G7-H7</f>
        <v>-66.919999999999874</v>
      </c>
      <c r="E7" s="317">
        <f t="shared" si="0"/>
        <v>583.41</v>
      </c>
      <c r="F7" s="329">
        <v>1291.25</v>
      </c>
      <c r="G7" s="329">
        <v>323.27</v>
      </c>
      <c r="H7" s="329">
        <v>105.53</v>
      </c>
      <c r="I7" s="329">
        <v>45.86</v>
      </c>
      <c r="J7" s="329">
        <v>12.59</v>
      </c>
      <c r="K7" s="329">
        <v>115.53</v>
      </c>
      <c r="L7" s="329">
        <v>0</v>
      </c>
      <c r="M7" s="329">
        <v>301.04000000000002</v>
      </c>
      <c r="N7" s="331">
        <f>L7+M7</f>
        <v>301.04000000000002</v>
      </c>
      <c r="O7" s="321">
        <f t="shared" si="1"/>
        <v>1.827851768698022</v>
      </c>
      <c r="P7" s="321">
        <v>1</v>
      </c>
      <c r="Q7" s="321">
        <v>1</v>
      </c>
      <c r="R7" s="321"/>
      <c r="S7" s="321"/>
      <c r="T7" s="322"/>
      <c r="U7" s="322">
        <v>1</v>
      </c>
      <c r="V7" s="322"/>
      <c r="W7" s="335">
        <v>6</v>
      </c>
      <c r="X7" s="336">
        <v>6</v>
      </c>
      <c r="Y7" s="339"/>
      <c r="Z7" s="338"/>
    </row>
    <row r="8" spans="1:26" x14ac:dyDescent="0.2">
      <c r="A8" s="74" t="s">
        <v>92</v>
      </c>
      <c r="B8" s="651">
        <f>'Resumo Proposta'!D23</f>
        <v>0.02</v>
      </c>
      <c r="C8" s="652">
        <v>1046.23</v>
      </c>
      <c r="D8" s="317">
        <f>C8-E8-F8-G8-H8</f>
        <v>-110.94999999999995</v>
      </c>
      <c r="E8" s="317">
        <f t="shared" si="0"/>
        <v>712.26</v>
      </c>
      <c r="F8" s="329">
        <v>382.34</v>
      </c>
      <c r="G8" s="329">
        <v>0</v>
      </c>
      <c r="H8" s="329">
        <v>62.58</v>
      </c>
      <c r="I8" s="329">
        <v>210.78</v>
      </c>
      <c r="J8" s="329">
        <v>711.97</v>
      </c>
      <c r="K8" s="329">
        <v>502.77</v>
      </c>
      <c r="L8" s="329">
        <v>0</v>
      </c>
      <c r="M8" s="329">
        <v>289.35000000000002</v>
      </c>
      <c r="N8" s="331">
        <f>L8+M8</f>
        <v>289.35000000000002</v>
      </c>
      <c r="O8" s="321">
        <f t="shared" si="1"/>
        <v>1.3271174803355608</v>
      </c>
      <c r="P8" s="332">
        <v>1</v>
      </c>
      <c r="Q8" s="333"/>
      <c r="R8" s="333"/>
      <c r="S8" s="333">
        <v>1</v>
      </c>
      <c r="T8" s="334">
        <v>1</v>
      </c>
      <c r="U8" s="334"/>
      <c r="V8" s="334"/>
      <c r="W8" s="335">
        <v>6</v>
      </c>
      <c r="X8" s="336">
        <v>6</v>
      </c>
      <c r="Y8" s="339"/>
      <c r="Z8" s="338"/>
    </row>
    <row r="9" spans="1:26" x14ac:dyDescent="0.2">
      <c r="A9" s="74" t="s">
        <v>94</v>
      </c>
      <c r="B9" s="651">
        <f>'Resumo Proposta'!D24</f>
        <v>0.02</v>
      </c>
      <c r="C9" s="652">
        <v>1010.79</v>
      </c>
      <c r="D9" s="317">
        <f>C9-E9-F9-G9-H9</f>
        <v>-28.500000000000071</v>
      </c>
      <c r="E9" s="317">
        <f t="shared" si="0"/>
        <v>773.58</v>
      </c>
      <c r="F9" s="329">
        <v>223.57</v>
      </c>
      <c r="G9" s="329">
        <v>0</v>
      </c>
      <c r="H9" s="329">
        <v>42.14</v>
      </c>
      <c r="I9" s="329">
        <v>0</v>
      </c>
      <c r="J9" s="329">
        <v>0</v>
      </c>
      <c r="K9" s="655">
        <v>0</v>
      </c>
      <c r="L9" s="329">
        <v>0</v>
      </c>
      <c r="M9" s="329">
        <v>232.49</v>
      </c>
      <c r="N9" s="331">
        <f>L9+M9</f>
        <v>232.49</v>
      </c>
      <c r="O9" s="321">
        <f t="shared" si="1"/>
        <v>1.1614808992538561</v>
      </c>
      <c r="P9" s="332">
        <v>1</v>
      </c>
      <c r="Q9" s="333"/>
      <c r="R9" s="333">
        <v>1</v>
      </c>
      <c r="S9" s="333"/>
      <c r="T9" s="334">
        <v>1</v>
      </c>
      <c r="U9" s="334"/>
      <c r="V9" s="334"/>
      <c r="W9" s="335">
        <v>6</v>
      </c>
      <c r="X9" s="336">
        <v>6</v>
      </c>
      <c r="Y9" s="339"/>
      <c r="Z9" s="338"/>
    </row>
    <row r="10" spans="1:26" x14ac:dyDescent="0.2">
      <c r="A10" s="74" t="s">
        <v>96</v>
      </c>
      <c r="B10" s="651">
        <f>'Resumo Proposta'!D25</f>
        <v>0.03</v>
      </c>
      <c r="C10" s="652">
        <v>1662.23</v>
      </c>
      <c r="D10" s="317">
        <f>C10-E10-F10-G10-H10</f>
        <v>-83.309999999999974</v>
      </c>
      <c r="E10" s="317">
        <f t="shared" si="0"/>
        <v>647.66999999999996</v>
      </c>
      <c r="F10" s="329">
        <v>977.47</v>
      </c>
      <c r="G10" s="329">
        <v>36.29</v>
      </c>
      <c r="H10" s="329">
        <v>84.11</v>
      </c>
      <c r="I10" s="329">
        <v>263.12</v>
      </c>
      <c r="J10" s="329">
        <v>62.91</v>
      </c>
      <c r="K10" s="329">
        <v>30.96</v>
      </c>
      <c r="L10" s="329">
        <v>0</v>
      </c>
      <c r="M10" s="329">
        <v>220.32</v>
      </c>
      <c r="N10" s="331">
        <f>L10+M10</f>
        <v>220.32</v>
      </c>
      <c r="O10" s="321">
        <f t="shared" si="1"/>
        <v>1.5565339931865583</v>
      </c>
      <c r="P10" s="321">
        <v>1</v>
      </c>
      <c r="Q10" s="321"/>
      <c r="R10" s="321"/>
      <c r="S10" s="321">
        <v>1</v>
      </c>
      <c r="T10" s="322"/>
      <c r="U10" s="322">
        <v>1</v>
      </c>
      <c r="V10" s="322"/>
      <c r="W10" s="335">
        <v>6</v>
      </c>
      <c r="X10" s="336">
        <v>6</v>
      </c>
      <c r="Y10" s="339"/>
      <c r="Z10" s="338"/>
    </row>
    <row r="11" spans="1:26" x14ac:dyDescent="0.2">
      <c r="A11" s="74" t="s">
        <v>98</v>
      </c>
      <c r="B11" s="651">
        <f>'Resumo Proposta'!D26</f>
        <v>0.04</v>
      </c>
      <c r="C11" s="652"/>
      <c r="D11" s="317"/>
      <c r="E11" s="317">
        <f t="shared" si="0"/>
        <v>900</v>
      </c>
      <c r="F11" s="329"/>
      <c r="G11" s="329"/>
      <c r="H11" s="329"/>
      <c r="I11" s="329"/>
      <c r="J11" s="329"/>
      <c r="K11" s="329"/>
      <c r="L11" s="329"/>
      <c r="M11" s="329"/>
      <c r="N11" s="331"/>
      <c r="O11" s="321">
        <f t="shared" si="1"/>
        <v>1</v>
      </c>
      <c r="P11" s="332">
        <v>1</v>
      </c>
      <c r="Q11" s="333"/>
      <c r="R11" s="333"/>
      <c r="S11" s="333"/>
      <c r="T11" s="334"/>
      <c r="U11" s="334"/>
      <c r="V11" s="334">
        <v>1</v>
      </c>
      <c r="W11" s="335">
        <v>6</v>
      </c>
      <c r="X11" s="336">
        <v>6</v>
      </c>
      <c r="Y11" s="339"/>
      <c r="Z11" s="338"/>
    </row>
    <row r="12" spans="1:26" x14ac:dyDescent="0.2">
      <c r="A12" s="74" t="s">
        <v>100</v>
      </c>
      <c r="B12" s="651">
        <f>'Resumo Proposta'!D27</f>
        <v>0.03</v>
      </c>
      <c r="C12" s="652">
        <v>2738.32</v>
      </c>
      <c r="D12" s="317">
        <f>C12-E12-F12-G12-H12</f>
        <v>325.6800000000004</v>
      </c>
      <c r="E12" s="317">
        <f t="shared" si="0"/>
        <v>491.01</v>
      </c>
      <c r="F12" s="329">
        <v>1322.29</v>
      </c>
      <c r="G12" s="329">
        <v>463.01</v>
      </c>
      <c r="H12" s="329">
        <v>136.33000000000001</v>
      </c>
      <c r="I12" s="329">
        <v>271.67</v>
      </c>
      <c r="J12" s="329">
        <v>102.21</v>
      </c>
      <c r="K12" s="329">
        <v>147.44999999999999</v>
      </c>
      <c r="L12" s="329">
        <v>0</v>
      </c>
      <c r="M12" s="329">
        <v>820.76</v>
      </c>
      <c r="N12" s="331">
        <f>L12+M12</f>
        <v>820.76</v>
      </c>
      <c r="O12" s="321">
        <f t="shared" si="1"/>
        <v>2.7188578636095966</v>
      </c>
      <c r="P12" s="332">
        <v>1</v>
      </c>
      <c r="Q12" s="333">
        <v>1</v>
      </c>
      <c r="R12" s="333"/>
      <c r="S12" s="333"/>
      <c r="T12" s="334">
        <v>1</v>
      </c>
      <c r="U12" s="334"/>
      <c r="V12" s="334"/>
      <c r="W12" s="335">
        <v>6</v>
      </c>
      <c r="X12" s="336">
        <v>6</v>
      </c>
      <c r="Y12" s="339"/>
      <c r="Z12" s="338"/>
    </row>
    <row r="13" spans="1:26" x14ac:dyDescent="0.2">
      <c r="A13" s="74" t="s">
        <v>102</v>
      </c>
      <c r="B13" s="651">
        <f>'Resumo Proposta'!D28</f>
        <v>0.03</v>
      </c>
      <c r="C13" s="652">
        <v>1057.46</v>
      </c>
      <c r="D13" s="317">
        <f>C13-E13-F13-G13-H13</f>
        <v>-77.399999999999906</v>
      </c>
      <c r="E13" s="317">
        <f t="shared" si="0"/>
        <v>765.93</v>
      </c>
      <c r="F13" s="329">
        <v>261.38</v>
      </c>
      <c r="G13" s="329">
        <v>62.86</v>
      </c>
      <c r="H13" s="329">
        <v>44.69</v>
      </c>
      <c r="I13" s="329">
        <v>178.32</v>
      </c>
      <c r="J13" s="329">
        <v>112.58</v>
      </c>
      <c r="K13" s="329">
        <v>573.14</v>
      </c>
      <c r="L13" s="329">
        <v>0</v>
      </c>
      <c r="M13" s="329">
        <v>281.08999999999997</v>
      </c>
      <c r="N13" s="331">
        <f>L13+M13</f>
        <v>281.08999999999997</v>
      </c>
      <c r="O13" s="321">
        <f t="shared" si="1"/>
        <v>1.3398279224240937</v>
      </c>
      <c r="P13" s="321">
        <v>1</v>
      </c>
      <c r="Q13" s="321"/>
      <c r="R13" s="321">
        <v>1</v>
      </c>
      <c r="S13" s="321"/>
      <c r="T13" s="322">
        <v>1</v>
      </c>
      <c r="U13" s="322"/>
      <c r="V13" s="322"/>
      <c r="W13" s="335">
        <v>6</v>
      </c>
      <c r="X13" s="336">
        <v>6</v>
      </c>
      <c r="Y13" s="339"/>
      <c r="Z13" s="338"/>
    </row>
    <row r="14" spans="1:26" x14ac:dyDescent="0.2">
      <c r="A14" s="74" t="s">
        <v>104</v>
      </c>
      <c r="B14" s="651">
        <f>'Resumo Proposta'!D29</f>
        <v>0.03</v>
      </c>
      <c r="C14" s="652">
        <v>1733.91</v>
      </c>
      <c r="D14" s="317">
        <f>C14-E14-F14-G14-H14</f>
        <v>128.06000000000023</v>
      </c>
      <c r="E14" s="317">
        <f t="shared" si="0"/>
        <v>548.18999999999994</v>
      </c>
      <c r="F14" s="329">
        <v>852.69</v>
      </c>
      <c r="G14" s="329">
        <v>87.7</v>
      </c>
      <c r="H14" s="329">
        <v>117.27</v>
      </c>
      <c r="I14" s="329">
        <v>187.88</v>
      </c>
      <c r="J14" s="329">
        <v>147.66999999999999</v>
      </c>
      <c r="K14" s="329">
        <v>98.24</v>
      </c>
      <c r="L14" s="329">
        <v>0</v>
      </c>
      <c r="M14" s="329">
        <v>286.83</v>
      </c>
      <c r="N14" s="331">
        <f>L14+M14</f>
        <v>286.83</v>
      </c>
      <c r="O14" s="321">
        <f t="shared" si="1"/>
        <v>1.7761258012740586</v>
      </c>
      <c r="P14" s="332">
        <v>1</v>
      </c>
      <c r="Q14" s="333"/>
      <c r="R14" s="333"/>
      <c r="S14" s="333">
        <v>1</v>
      </c>
      <c r="T14" s="334"/>
      <c r="U14" s="334">
        <v>1</v>
      </c>
      <c r="V14" s="334"/>
      <c r="W14" s="335">
        <v>6</v>
      </c>
      <c r="X14" s="336">
        <v>6</v>
      </c>
      <c r="Y14" s="339"/>
      <c r="Z14" s="338"/>
    </row>
    <row r="15" spans="1:26" x14ac:dyDescent="0.2">
      <c r="A15" s="74" t="s">
        <v>106</v>
      </c>
      <c r="B15" s="651">
        <f>'Resumo Proposta'!D30</f>
        <v>0.03</v>
      </c>
      <c r="C15" s="652"/>
      <c r="D15" s="317"/>
      <c r="E15" s="317">
        <f t="shared" si="0"/>
        <v>900</v>
      </c>
      <c r="F15" s="329"/>
      <c r="G15" s="329"/>
      <c r="H15" s="329"/>
      <c r="I15" s="329"/>
      <c r="J15" s="329"/>
      <c r="K15" s="329"/>
      <c r="L15" s="329"/>
      <c r="M15" s="329"/>
      <c r="N15" s="331"/>
      <c r="O15" s="321">
        <f t="shared" si="1"/>
        <v>1</v>
      </c>
      <c r="P15" s="332">
        <v>1</v>
      </c>
      <c r="Q15" s="333"/>
      <c r="R15" s="333"/>
      <c r="S15" s="333"/>
      <c r="T15" s="334"/>
      <c r="U15" s="334"/>
      <c r="V15" s="334">
        <v>1</v>
      </c>
      <c r="W15" s="335">
        <v>6</v>
      </c>
      <c r="X15" s="336">
        <v>6</v>
      </c>
      <c r="Y15" s="339"/>
      <c r="Z15" s="338"/>
    </row>
    <row r="16" spans="1:26" x14ac:dyDescent="0.2">
      <c r="A16" s="74" t="s">
        <v>108</v>
      </c>
      <c r="B16" s="651">
        <f>'Resumo Proposta'!D31</f>
        <v>0.02</v>
      </c>
      <c r="C16" s="652">
        <v>1428.32</v>
      </c>
      <c r="D16" s="317">
        <f>C16-E16-F16-G16-H16</f>
        <v>-174.45000000000007</v>
      </c>
      <c r="E16" s="317">
        <f t="shared" si="0"/>
        <v>765.78</v>
      </c>
      <c r="F16" s="329">
        <v>652.46</v>
      </c>
      <c r="G16" s="329">
        <v>139.79</v>
      </c>
      <c r="H16" s="329">
        <v>44.74</v>
      </c>
      <c r="I16" s="329">
        <v>69.94</v>
      </c>
      <c r="J16" s="329">
        <v>114.73</v>
      </c>
      <c r="K16" s="329">
        <v>326.63</v>
      </c>
      <c r="L16" s="329">
        <v>0</v>
      </c>
      <c r="M16" s="329">
        <v>413.11</v>
      </c>
      <c r="N16" s="331">
        <f>L16+M16</f>
        <v>413.11</v>
      </c>
      <c r="O16" s="321">
        <f t="shared" si="1"/>
        <v>1.4170521581954991</v>
      </c>
      <c r="P16" s="332">
        <v>1</v>
      </c>
      <c r="Q16" s="333"/>
      <c r="R16" s="333"/>
      <c r="S16" s="333">
        <v>1</v>
      </c>
      <c r="T16" s="334"/>
      <c r="U16" s="334"/>
      <c r="V16" s="334">
        <v>1</v>
      </c>
      <c r="W16" s="335">
        <v>6</v>
      </c>
      <c r="X16" s="336">
        <v>6</v>
      </c>
      <c r="Y16" s="339"/>
      <c r="Z16" s="338"/>
    </row>
    <row r="17" spans="1:1006" x14ac:dyDescent="0.2">
      <c r="A17" s="74" t="s">
        <v>110</v>
      </c>
      <c r="B17" s="651">
        <f>'Resumo Proposta'!D32</f>
        <v>0.02</v>
      </c>
      <c r="C17" s="652"/>
      <c r="D17" s="317"/>
      <c r="E17" s="317">
        <f t="shared" si="0"/>
        <v>900</v>
      </c>
      <c r="F17" s="329"/>
      <c r="G17" s="329"/>
      <c r="H17" s="329"/>
      <c r="I17" s="329"/>
      <c r="J17" s="329"/>
      <c r="K17" s="329"/>
      <c r="L17" s="329"/>
      <c r="M17" s="329"/>
      <c r="N17" s="331"/>
      <c r="O17" s="321">
        <f t="shared" si="1"/>
        <v>1</v>
      </c>
      <c r="P17" s="332">
        <v>1</v>
      </c>
      <c r="Q17" s="333"/>
      <c r="R17" s="333"/>
      <c r="S17" s="333"/>
      <c r="T17" s="334"/>
      <c r="U17" s="334"/>
      <c r="V17" s="334"/>
      <c r="W17" s="335">
        <v>6</v>
      </c>
      <c r="X17" s="336">
        <v>6</v>
      </c>
      <c r="Y17" s="339"/>
      <c r="Z17" s="338"/>
    </row>
    <row r="18" spans="1:1006" x14ac:dyDescent="0.2">
      <c r="A18" s="74" t="s">
        <v>111</v>
      </c>
      <c r="B18" s="651">
        <f>'Resumo Proposta'!D33</f>
        <v>0.02</v>
      </c>
      <c r="C18" s="652"/>
      <c r="D18" s="317"/>
      <c r="E18" s="317">
        <f t="shared" si="0"/>
        <v>900</v>
      </c>
      <c r="F18" s="329"/>
      <c r="G18" s="329"/>
      <c r="H18" s="329"/>
      <c r="I18" s="329"/>
      <c r="J18" s="329"/>
      <c r="K18" s="329"/>
      <c r="L18" s="329"/>
      <c r="M18" s="329"/>
      <c r="N18" s="331"/>
      <c r="O18" s="321">
        <f t="shared" si="1"/>
        <v>1</v>
      </c>
      <c r="P18" s="332">
        <v>1</v>
      </c>
      <c r="Q18" s="333"/>
      <c r="R18" s="333"/>
      <c r="S18" s="333"/>
      <c r="T18" s="334"/>
      <c r="U18" s="334"/>
      <c r="V18" s="334"/>
      <c r="W18" s="335">
        <v>6</v>
      </c>
      <c r="X18" s="336">
        <v>6</v>
      </c>
      <c r="Y18" s="339"/>
      <c r="Z18" s="338"/>
    </row>
    <row r="19" spans="1:1006" x14ac:dyDescent="0.2">
      <c r="A19" s="74" t="s">
        <v>112</v>
      </c>
      <c r="B19" s="651">
        <f>'Resumo Proposta'!D34</f>
        <v>0.03</v>
      </c>
      <c r="C19" s="652"/>
      <c r="D19" s="317"/>
      <c r="E19" s="317">
        <f t="shared" si="0"/>
        <v>900</v>
      </c>
      <c r="F19" s="329"/>
      <c r="G19" s="329"/>
      <c r="H19" s="329"/>
      <c r="I19" s="329"/>
      <c r="J19" s="329"/>
      <c r="K19" s="329"/>
      <c r="L19" s="329"/>
      <c r="M19" s="329"/>
      <c r="N19" s="331"/>
      <c r="O19" s="321">
        <f t="shared" si="1"/>
        <v>1</v>
      </c>
      <c r="P19" s="332">
        <v>1</v>
      </c>
      <c r="Q19" s="333"/>
      <c r="R19" s="333"/>
      <c r="S19" s="333"/>
      <c r="T19" s="334"/>
      <c r="U19" s="334"/>
      <c r="V19" s="334"/>
      <c r="W19" s="335">
        <v>6</v>
      </c>
      <c r="X19" s="336">
        <v>6</v>
      </c>
      <c r="Y19" s="339"/>
      <c r="Z19" s="338"/>
    </row>
    <row r="20" spans="1:1006" x14ac:dyDescent="0.2">
      <c r="A20" s="74" t="s">
        <v>114</v>
      </c>
      <c r="B20" s="651">
        <f>'Resumo Proposta'!D35</f>
        <v>0.03</v>
      </c>
      <c r="C20" s="652"/>
      <c r="D20" s="317"/>
      <c r="E20" s="317">
        <f t="shared" si="0"/>
        <v>900</v>
      </c>
      <c r="F20" s="341"/>
      <c r="G20" s="341"/>
      <c r="H20" s="341"/>
      <c r="I20" s="341"/>
      <c r="J20" s="341"/>
      <c r="K20" s="341"/>
      <c r="L20" s="341"/>
      <c r="M20" s="341"/>
      <c r="N20" s="343"/>
      <c r="O20" s="321">
        <f t="shared" si="1"/>
        <v>1</v>
      </c>
      <c r="P20" s="332">
        <v>1</v>
      </c>
      <c r="Q20" s="333"/>
      <c r="R20" s="333"/>
      <c r="S20" s="333"/>
      <c r="T20" s="334"/>
      <c r="U20" s="334"/>
      <c r="V20" s="334"/>
      <c r="W20" s="335">
        <v>6</v>
      </c>
      <c r="X20" s="336">
        <v>6</v>
      </c>
      <c r="Y20" s="339"/>
      <c r="Z20" s="338"/>
    </row>
    <row r="21" spans="1:1006" x14ac:dyDescent="0.2">
      <c r="A21" s="344" t="s">
        <v>462</v>
      </c>
      <c r="B21" s="344"/>
      <c r="C21" s="344"/>
      <c r="D21" s="345">
        <f t="shared" ref="D21:Z21" si="2">SUM(D4:D20)</f>
        <v>560.50000000000091</v>
      </c>
      <c r="E21" s="345">
        <f t="shared" si="2"/>
        <v>13025.460000000001</v>
      </c>
      <c r="F21" s="345">
        <f t="shared" si="2"/>
        <v>6482.3300000000008</v>
      </c>
      <c r="G21" s="345">
        <f t="shared" si="2"/>
        <v>1711.9199999999998</v>
      </c>
      <c r="H21" s="345">
        <f t="shared" si="2"/>
        <v>758.18000000000006</v>
      </c>
      <c r="I21" s="345">
        <f t="shared" si="2"/>
        <v>1493.1399999999999</v>
      </c>
      <c r="J21" s="345">
        <f t="shared" si="2"/>
        <v>1271.0300000000002</v>
      </c>
      <c r="K21" s="345">
        <f t="shared" si="2"/>
        <v>2139.08</v>
      </c>
      <c r="L21" s="345">
        <f t="shared" si="2"/>
        <v>0</v>
      </c>
      <c r="M21" s="345">
        <f t="shared" si="2"/>
        <v>3286.4</v>
      </c>
      <c r="N21" s="345">
        <f t="shared" si="2"/>
        <v>3286.4</v>
      </c>
      <c r="O21" s="348">
        <f t="shared" si="2"/>
        <v>23.820090333927798</v>
      </c>
      <c r="P21" s="350">
        <f t="shared" si="2"/>
        <v>17</v>
      </c>
      <c r="Q21" s="350">
        <f t="shared" si="2"/>
        <v>3</v>
      </c>
      <c r="R21" s="350">
        <f t="shared" si="2"/>
        <v>2</v>
      </c>
      <c r="S21" s="350">
        <f t="shared" si="2"/>
        <v>4</v>
      </c>
      <c r="T21" s="656">
        <f t="shared" si="2"/>
        <v>4</v>
      </c>
      <c r="U21" s="656">
        <f t="shared" si="2"/>
        <v>4</v>
      </c>
      <c r="V21" s="656">
        <f t="shared" si="2"/>
        <v>3</v>
      </c>
      <c r="W21" s="353">
        <f t="shared" si="2"/>
        <v>102</v>
      </c>
      <c r="X21" s="354">
        <f t="shared" si="2"/>
        <v>102</v>
      </c>
      <c r="Y21" s="355">
        <f t="shared" si="2"/>
        <v>22</v>
      </c>
      <c r="Z21" s="356">
        <f t="shared" si="2"/>
        <v>1</v>
      </c>
      <c r="ALO21" s="257"/>
      <c r="ALP21" s="257"/>
      <c r="ALQ21" s="257"/>
      <c r="ALR21" s="257"/>
    </row>
    <row r="22" spans="1:1006" ht="15" x14ac:dyDescent="0.25">
      <c r="A22" s="357" t="s">
        <v>463</v>
      </c>
      <c r="B22" s="357"/>
      <c r="C22" s="357"/>
      <c r="D22" s="358">
        <v>900</v>
      </c>
      <c r="E22" s="358">
        <v>900</v>
      </c>
      <c r="F22" s="359">
        <v>2500</v>
      </c>
      <c r="G22" s="359">
        <v>1500</v>
      </c>
      <c r="H22" s="359">
        <v>300</v>
      </c>
      <c r="I22" s="359">
        <v>2000</v>
      </c>
      <c r="J22" s="359">
        <v>100000</v>
      </c>
      <c r="K22" s="359">
        <v>9000</v>
      </c>
      <c r="L22" s="359">
        <v>160</v>
      </c>
      <c r="M22" s="359">
        <v>380</v>
      </c>
      <c r="N22" s="360">
        <v>380</v>
      </c>
      <c r="O22" s="361"/>
      <c r="P22" s="362" t="s">
        <v>464</v>
      </c>
      <c r="Q22" s="363">
        <f>P21+Q21+R21+S21</f>
        <v>26</v>
      </c>
      <c r="R22" s="364"/>
      <c r="S22" s="364"/>
      <c r="T22" s="362" t="s">
        <v>464</v>
      </c>
      <c r="U22" s="365">
        <f>T21+U21+V21</f>
        <v>11</v>
      </c>
      <c r="V22" s="289"/>
      <c r="W22" s="366"/>
      <c r="X22" s="366"/>
      <c r="Y22" s="366"/>
      <c r="Z22" s="289"/>
      <c r="ALR22" s="290"/>
    </row>
    <row r="23" spans="1:1006" ht="15" x14ac:dyDescent="0.25">
      <c r="A23" s="367" t="s">
        <v>465</v>
      </c>
      <c r="B23" s="367"/>
      <c r="C23" s="367"/>
      <c r="D23" s="368">
        <f t="shared" ref="D23:K23" si="3">D21/D22</f>
        <v>0.62277777777777876</v>
      </c>
      <c r="E23" s="368">
        <f t="shared" si="3"/>
        <v>14.472733333333334</v>
      </c>
      <c r="F23" s="369">
        <f t="shared" si="3"/>
        <v>2.5929320000000002</v>
      </c>
      <c r="G23" s="369">
        <f t="shared" si="3"/>
        <v>1.1412799999999999</v>
      </c>
      <c r="H23" s="369">
        <f t="shared" si="3"/>
        <v>2.5272666666666668</v>
      </c>
      <c r="I23" s="369">
        <f t="shared" si="3"/>
        <v>0.74656999999999996</v>
      </c>
      <c r="J23" s="369">
        <f t="shared" si="3"/>
        <v>1.2710300000000002E-2</v>
      </c>
      <c r="K23" s="369">
        <f t="shared" si="3"/>
        <v>0.23767555555555556</v>
      </c>
      <c r="L23" s="369">
        <f>1/L22*8*1/1132.6*L21</f>
        <v>0</v>
      </c>
      <c r="M23" s="369">
        <f>1/M22*16*1/188.76*M21</f>
        <v>0.73307235029723072</v>
      </c>
      <c r="N23" s="370">
        <f>1/N22*16*1/188.76*N21</f>
        <v>0.73307235029723072</v>
      </c>
      <c r="O23" s="371">
        <f>SUM(D23:N23)-L23</f>
        <v>23.820090333927791</v>
      </c>
      <c r="P23" s="362" t="s">
        <v>466</v>
      </c>
      <c r="Q23" s="365">
        <f>P21+Q21+(R21*0.75)+(S21*0.5)</f>
        <v>23.5</v>
      </c>
      <c r="R23" s="289"/>
      <c r="S23" s="289"/>
      <c r="T23" s="372"/>
      <c r="U23" s="372"/>
      <c r="V23" s="289"/>
      <c r="W23" s="289"/>
      <c r="X23" s="289"/>
      <c r="Y23" s="289"/>
      <c r="Z23" s="289"/>
      <c r="ALR23" s="290"/>
    </row>
    <row r="24" spans="1:1006" ht="15" x14ac:dyDescent="0.25">
      <c r="A24" s="373" t="s">
        <v>467</v>
      </c>
      <c r="B24" s="373"/>
      <c r="C24" s="373"/>
      <c r="D24" s="374">
        <f t="shared" ref="D24:K24" si="4">D21/($O23*D22)</f>
        <v>2.6145063643639277E-2</v>
      </c>
      <c r="E24" s="374">
        <f t="shared" si="4"/>
        <v>0.60758515733751495</v>
      </c>
      <c r="F24" s="375">
        <f t="shared" si="4"/>
        <v>0.10885483487469384</v>
      </c>
      <c r="G24" s="375">
        <f t="shared" si="4"/>
        <v>4.7912496720234295E-2</v>
      </c>
      <c r="H24" s="375">
        <f t="shared" si="4"/>
        <v>0.10609811429081745</v>
      </c>
      <c r="I24" s="375">
        <f t="shared" si="4"/>
        <v>3.1342030594091998E-2</v>
      </c>
      <c r="J24" s="375">
        <f t="shared" si="4"/>
        <v>5.3359579337515256E-4</v>
      </c>
      <c r="K24" s="375">
        <f t="shared" si="4"/>
        <v>9.9779451808806076E-3</v>
      </c>
      <c r="L24" s="375">
        <f>1/$O23*1/L22*16*1/188.76*L21</f>
        <v>0</v>
      </c>
      <c r="M24" s="375">
        <f>1/$O23*1/M22*16*1/188.76*M21</f>
        <v>3.0775380782376384E-2</v>
      </c>
      <c r="N24" s="375">
        <f>1/$O23*1/N22*16*1/188.76*N21</f>
        <v>3.0775380782376384E-2</v>
      </c>
      <c r="O24" s="376">
        <f>SUM(D24:N24)</f>
        <v>1.0000000000000002</v>
      </c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90"/>
      <c r="ALR24" s="290"/>
    </row>
    <row r="25" spans="1:1006" ht="15" hidden="1" x14ac:dyDescent="0.25">
      <c r="A25" s="377" t="s">
        <v>468</v>
      </c>
      <c r="B25" s="377"/>
      <c r="C25" s="377"/>
      <c r="D25" s="378">
        <f>ROUND(1/D22,9)</f>
        <v>1.1111109999999999E-3</v>
      </c>
      <c r="E25" s="378"/>
      <c r="F25" s="379">
        <f t="shared" ref="F25:K25" si="5">ROUND(1/F22,9)</f>
        <v>4.0000000000000002E-4</v>
      </c>
      <c r="G25" s="379">
        <f t="shared" si="5"/>
        <v>6.6666700000000002E-4</v>
      </c>
      <c r="H25" s="379">
        <f t="shared" si="5"/>
        <v>3.333333E-3</v>
      </c>
      <c r="I25" s="379">
        <f t="shared" si="5"/>
        <v>5.0000000000000001E-4</v>
      </c>
      <c r="J25" s="379">
        <f t="shared" si="5"/>
        <v>1.0000000000000001E-5</v>
      </c>
      <c r="K25" s="379">
        <f t="shared" si="5"/>
        <v>1.11111E-4</v>
      </c>
      <c r="L25" s="380">
        <f>(1/L22)*(1/N30)*8</f>
        <v>4.8611111111111115E-5</v>
      </c>
      <c r="M25" s="380">
        <f>(1/M22)*(1/N29)*16</f>
        <v>2.4561403508771931E-4</v>
      </c>
      <c r="N25" s="381">
        <f>(1/N22)*(1/N29)*16</f>
        <v>2.4561403508771931E-4</v>
      </c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LR25" s="290"/>
    </row>
    <row r="26" spans="1:1006" ht="15" hidden="1" x14ac:dyDescent="0.25">
      <c r="A26" s="382" t="s">
        <v>469</v>
      </c>
      <c r="B26" s="382"/>
      <c r="C26" s="382"/>
      <c r="D26" s="383">
        <f>D25/$Z$21</f>
        <v>1.1111109999999999E-3</v>
      </c>
      <c r="E26" s="383"/>
      <c r="F26" s="384">
        <f t="shared" ref="F26:N26" si="6">F25/$Z$21</f>
        <v>4.0000000000000002E-4</v>
      </c>
      <c r="G26" s="384">
        <f t="shared" si="6"/>
        <v>6.6666700000000002E-4</v>
      </c>
      <c r="H26" s="384">
        <f t="shared" si="6"/>
        <v>3.333333E-3</v>
      </c>
      <c r="I26" s="384">
        <f t="shared" si="6"/>
        <v>5.0000000000000001E-4</v>
      </c>
      <c r="J26" s="384">
        <f t="shared" si="6"/>
        <v>1.0000000000000001E-5</v>
      </c>
      <c r="K26" s="384">
        <f t="shared" si="6"/>
        <v>1.11111E-4</v>
      </c>
      <c r="L26" s="385">
        <f t="shared" si="6"/>
        <v>4.8611111111111115E-5</v>
      </c>
      <c r="M26" s="385">
        <f t="shared" si="6"/>
        <v>2.4561403508771931E-4</v>
      </c>
      <c r="N26" s="386">
        <f t="shared" si="6"/>
        <v>2.4561403508771931E-4</v>
      </c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LR26" s="290"/>
    </row>
    <row r="27" spans="1:1006" ht="15" x14ac:dyDescent="0.25">
      <c r="A27" s="387" t="s">
        <v>470</v>
      </c>
      <c r="B27" s="387"/>
      <c r="C27" s="387"/>
      <c r="D27" s="388" t="s">
        <v>471</v>
      </c>
      <c r="E27" s="388" t="s">
        <v>471</v>
      </c>
      <c r="F27" s="389" t="s">
        <v>472</v>
      </c>
      <c r="G27" s="389" t="s">
        <v>473</v>
      </c>
      <c r="H27" s="389" t="s">
        <v>474</v>
      </c>
      <c r="I27" s="390" t="s">
        <v>475</v>
      </c>
      <c r="J27" s="390" t="s">
        <v>475</v>
      </c>
      <c r="K27" s="390" t="s">
        <v>476</v>
      </c>
      <c r="L27" s="391" t="s">
        <v>477</v>
      </c>
      <c r="M27" s="391" t="s">
        <v>478</v>
      </c>
      <c r="N27" s="392" t="s">
        <v>478</v>
      </c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LR27" s="290"/>
    </row>
    <row r="28" spans="1:1006" ht="15" hidden="1" x14ac:dyDescent="0.25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LO28" s="257"/>
      <c r="ALP28" s="257"/>
      <c r="ALQ28" s="257"/>
      <c r="ALR28" s="257"/>
    </row>
    <row r="29" spans="1:1006" ht="15" hidden="1" x14ac:dyDescent="0.25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393">
        <f>30/7</f>
        <v>4.2857142857142856</v>
      </c>
      <c r="M29" s="393">
        <v>40</v>
      </c>
      <c r="N29" s="393">
        <f>L29*M29</f>
        <v>171.42857142857142</v>
      </c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LO29" s="257"/>
      <c r="ALP29" s="257"/>
      <c r="ALQ29" s="257"/>
      <c r="ALR29" s="257"/>
    </row>
    <row r="30" spans="1:1006" ht="15" hidden="1" x14ac:dyDescent="0.25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393"/>
      <c r="M30" s="393"/>
      <c r="N30" s="393">
        <f>N29*6</f>
        <v>1028.5714285714284</v>
      </c>
      <c r="O30" s="393" t="s">
        <v>479</v>
      </c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LO30" s="257"/>
      <c r="ALP30" s="257"/>
      <c r="ALQ30" s="257"/>
      <c r="ALR30" s="257"/>
    </row>
    <row r="181" spans="4:4" x14ac:dyDescent="0.2">
      <c r="D181">
        <f>(1/'Prod. GEXCAX'!L17)*(1/('Prod. GEXCAX'!L18))*8</f>
        <v>3.8910265219183722</v>
      </c>
    </row>
  </sheetData>
  <mergeCells count="21">
    <mergeCell ref="M2:M3"/>
    <mergeCell ref="N2:N3"/>
    <mergeCell ref="O2:O3"/>
    <mergeCell ref="P2:S2"/>
    <mergeCell ref="T2:V2"/>
    <mergeCell ref="C1:H1"/>
    <mergeCell ref="I1:K1"/>
    <mergeCell ref="L1:N1"/>
    <mergeCell ref="W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K198"/>
  <sheetViews>
    <sheetView zoomScale="75" zoomScaleNormal="75" workbookViewId="0">
      <pane xSplit="2" ySplit="10" topLeftCell="C147" activePane="bottomRight" state="frozen"/>
      <selection pane="topRight" activeCell="C1" sqref="C1"/>
      <selection pane="bottomLeft" activeCell="A147" sqref="A147"/>
      <selection pane="bottomRight" activeCell="M148" sqref="M148:N148"/>
    </sheetView>
  </sheetViews>
  <sheetFormatPr defaultRowHeight="14.25" x14ac:dyDescent="0.2"/>
  <cols>
    <col min="1" max="1" width="58.125" style="393" customWidth="1"/>
    <col min="2" max="2" width="16.25" style="393" customWidth="1"/>
    <col min="3" max="12" width="14" style="393" customWidth="1"/>
    <col min="13" max="13" width="15.125" style="393" customWidth="1"/>
    <col min="14" max="14" width="10.5" style="393" customWidth="1"/>
    <col min="15" max="15" width="14.25" style="393" customWidth="1"/>
    <col min="16" max="1025" width="10.5" style="393" customWidth="1"/>
  </cols>
  <sheetData>
    <row r="1" spans="1:9" ht="15.75" x14ac:dyDescent="0.2">
      <c r="A1" s="744" t="s">
        <v>480</v>
      </c>
      <c r="B1" s="744"/>
      <c r="C1" s="744"/>
      <c r="D1" s="744"/>
      <c r="E1" s="744"/>
      <c r="F1" s="744"/>
      <c r="G1" s="744"/>
      <c r="H1" s="744"/>
      <c r="I1" s="744"/>
    </row>
    <row r="2" spans="1:9" ht="15.75" x14ac:dyDescent="0.2">
      <c r="A2" s="745" t="s">
        <v>481</v>
      </c>
      <c r="B2" s="745"/>
      <c r="C2" s="745"/>
      <c r="D2" s="745"/>
      <c r="E2" s="745"/>
      <c r="F2" s="745"/>
      <c r="G2" s="745"/>
      <c r="H2" s="745"/>
      <c r="I2" s="745"/>
    </row>
    <row r="3" spans="1:9" ht="15.75" customHeight="1" x14ac:dyDescent="0.2">
      <c r="A3" s="745" t="s">
        <v>482</v>
      </c>
      <c r="B3" s="745"/>
      <c r="C3" s="745"/>
      <c r="D3" s="745"/>
      <c r="E3" s="745"/>
      <c r="F3" s="745"/>
      <c r="G3" s="745"/>
      <c r="H3" s="745"/>
      <c r="I3" s="745"/>
    </row>
    <row r="4" spans="1:9" ht="24" x14ac:dyDescent="0.2">
      <c r="A4" s="394"/>
      <c r="B4" s="395"/>
      <c r="C4" s="746" t="s">
        <v>483</v>
      </c>
      <c r="D4" s="746"/>
      <c r="E4" s="747" t="s">
        <v>484</v>
      </c>
      <c r="F4" s="747"/>
      <c r="G4" s="397" t="s">
        <v>485</v>
      </c>
      <c r="H4" s="398" t="s">
        <v>486</v>
      </c>
      <c r="I4" s="399" t="s">
        <v>487</v>
      </c>
    </row>
    <row r="5" spans="1:9" x14ac:dyDescent="0.2">
      <c r="A5" s="400"/>
      <c r="B5" s="401" t="s">
        <v>488</v>
      </c>
      <c r="C5" s="748">
        <f>MC!$D11</f>
        <v>1194.6272727272726</v>
      </c>
      <c r="D5" s="748"/>
      <c r="E5" s="748">
        <f>MC!$E11</f>
        <v>895.97045454545446</v>
      </c>
      <c r="F5" s="748"/>
      <c r="G5" s="403">
        <f>MC!$F11</f>
        <v>597.31363636363631</v>
      </c>
      <c r="H5" s="404">
        <f>MC!$C13</f>
        <v>1669.75</v>
      </c>
      <c r="I5" s="404">
        <f>MC!$D12</f>
        <v>1673.9117345454545</v>
      </c>
    </row>
    <row r="6" spans="1:9" x14ac:dyDescent="0.2">
      <c r="A6" s="400"/>
      <c r="B6" s="401" t="s">
        <v>489</v>
      </c>
      <c r="C6" s="749">
        <f>MC!$E8</f>
        <v>44562</v>
      </c>
      <c r="D6" s="749"/>
      <c r="E6" s="749">
        <f>MC!$E8</f>
        <v>44562</v>
      </c>
      <c r="F6" s="749"/>
      <c r="G6" s="406">
        <f>MC!$E8</f>
        <v>44562</v>
      </c>
      <c r="H6" s="407">
        <f>MC!$E8</f>
        <v>44562</v>
      </c>
      <c r="I6" s="407">
        <f>MC!$E8</f>
        <v>44562</v>
      </c>
    </row>
    <row r="7" spans="1:9" x14ac:dyDescent="0.2">
      <c r="A7" s="400"/>
      <c r="B7" s="401" t="s">
        <v>490</v>
      </c>
      <c r="C7" s="749" t="str">
        <f>MC!$C8</f>
        <v>RS005021/2021</v>
      </c>
      <c r="D7" s="749"/>
      <c r="E7" s="749" t="str">
        <f>MC!$C8</f>
        <v>RS005021/2021</v>
      </c>
      <c r="F7" s="749"/>
      <c r="G7" s="406" t="str">
        <f>MC!$C8</f>
        <v>RS005021/2021</v>
      </c>
      <c r="H7" s="407" t="str">
        <f>MC!$C8</f>
        <v>RS005021/2021</v>
      </c>
      <c r="I7" s="407" t="str">
        <f>MC!$C8</f>
        <v>RS005021/2021</v>
      </c>
    </row>
    <row r="8" spans="1:9" x14ac:dyDescent="0.2">
      <c r="A8" s="400"/>
      <c r="B8" s="401" t="s">
        <v>491</v>
      </c>
      <c r="C8" s="750" t="str">
        <f>MC!$F8</f>
        <v>5143-20</v>
      </c>
      <c r="D8" s="750"/>
      <c r="E8" s="751" t="str">
        <f>MC!$F8</f>
        <v>5143-20</v>
      </c>
      <c r="F8" s="751"/>
      <c r="G8" s="409" t="str">
        <f>MC!$F8</f>
        <v>5143-20</v>
      </c>
      <c r="H8" s="410" t="str">
        <f>MC!$F8</f>
        <v>5143-20</v>
      </c>
      <c r="I8" s="410" t="str">
        <f>MC!$F8</f>
        <v>5143-20</v>
      </c>
    </row>
    <row r="9" spans="1:9" x14ac:dyDescent="0.2">
      <c r="A9" s="752"/>
      <c r="B9" s="752"/>
      <c r="C9" s="752"/>
      <c r="D9" s="752"/>
      <c r="E9" s="752"/>
      <c r="F9" s="752"/>
      <c r="G9" s="752"/>
      <c r="H9" s="752"/>
      <c r="I9" s="752"/>
    </row>
    <row r="10" spans="1:9" ht="56.1" customHeight="1" x14ac:dyDescent="0.2">
      <c r="A10" s="411" t="s">
        <v>492</v>
      </c>
      <c r="B10" s="412" t="s">
        <v>493</v>
      </c>
      <c r="C10" s="413" t="s">
        <v>494</v>
      </c>
      <c r="D10" s="413" t="s">
        <v>495</v>
      </c>
      <c r="E10" s="413" t="s">
        <v>496</v>
      </c>
      <c r="F10" s="413" t="s">
        <v>497</v>
      </c>
      <c r="G10" s="413" t="s">
        <v>498</v>
      </c>
      <c r="H10" s="413" t="s">
        <v>499</v>
      </c>
      <c r="I10" s="414" t="s">
        <v>500</v>
      </c>
    </row>
    <row r="11" spans="1:9" ht="14.25" customHeight="1" x14ac:dyDescent="0.2">
      <c r="A11" s="753" t="s">
        <v>501</v>
      </c>
      <c r="B11" s="753"/>
      <c r="C11" s="753"/>
      <c r="D11" s="753"/>
      <c r="E11" s="753"/>
      <c r="F11" s="753"/>
      <c r="G11" s="753"/>
      <c r="H11" s="753"/>
      <c r="I11" s="753"/>
    </row>
    <row r="12" spans="1:9" ht="15.75" customHeight="1" x14ac:dyDescent="0.2">
      <c r="A12" s="415" t="s">
        <v>502</v>
      </c>
      <c r="B12" s="416" t="s">
        <v>503</v>
      </c>
      <c r="C12" s="416" t="s">
        <v>504</v>
      </c>
      <c r="D12" s="416" t="s">
        <v>504</v>
      </c>
      <c r="E12" s="416" t="s">
        <v>504</v>
      </c>
      <c r="F12" s="416" t="s">
        <v>504</v>
      </c>
      <c r="G12" s="416" t="s">
        <v>504</v>
      </c>
      <c r="H12" s="416" t="s">
        <v>504</v>
      </c>
      <c r="I12" s="417" t="s">
        <v>504</v>
      </c>
    </row>
    <row r="13" spans="1:9" ht="15.75" customHeight="1" x14ac:dyDescent="0.2">
      <c r="A13" s="418" t="s">
        <v>505</v>
      </c>
      <c r="B13" s="419"/>
      <c r="C13" s="420">
        <f>C5</f>
        <v>1194.6272727272726</v>
      </c>
      <c r="D13" s="420">
        <f>C5</f>
        <v>1194.6272727272726</v>
      </c>
      <c r="E13" s="421">
        <f>E5</f>
        <v>895.97045454545446</v>
      </c>
      <c r="F13" s="421">
        <f>E5</f>
        <v>895.97045454545446</v>
      </c>
      <c r="G13" s="421">
        <f>G5</f>
        <v>597.31363636363631</v>
      </c>
      <c r="H13" s="421">
        <f>H5</f>
        <v>1669.75</v>
      </c>
      <c r="I13" s="422">
        <f>I5</f>
        <v>1673.9117345454545</v>
      </c>
    </row>
    <row r="14" spans="1:9" ht="15.75" customHeight="1" x14ac:dyDescent="0.2">
      <c r="A14" s="418" t="s">
        <v>506</v>
      </c>
      <c r="B14" s="423" t="s">
        <v>507</v>
      </c>
      <c r="C14" s="420">
        <f>C5*0.4</f>
        <v>477.85090909090906</v>
      </c>
      <c r="D14" s="420">
        <f>C5*0.2</f>
        <v>238.92545454545453</v>
      </c>
      <c r="E14" s="420">
        <f>E5*0.4</f>
        <v>358.38818181818181</v>
      </c>
      <c r="F14" s="420">
        <f>E5*0.2</f>
        <v>179.1940909090909</v>
      </c>
      <c r="G14" s="420">
        <f>G5*0.2</f>
        <v>119.46272727272726</v>
      </c>
      <c r="H14" s="424" t="s">
        <v>88</v>
      </c>
      <c r="I14" s="425" t="s">
        <v>88</v>
      </c>
    </row>
    <row r="15" spans="1:9" ht="15.75" customHeight="1" x14ac:dyDescent="0.2">
      <c r="A15" s="418" t="s">
        <v>508</v>
      </c>
      <c r="B15" s="426"/>
      <c r="C15" s="424" t="s">
        <v>88</v>
      </c>
      <c r="D15" s="424" t="s">
        <v>88</v>
      </c>
      <c r="E15" s="427" t="s">
        <v>88</v>
      </c>
      <c r="F15" s="427" t="s">
        <v>88</v>
      </c>
      <c r="G15" s="427" t="s">
        <v>88</v>
      </c>
      <c r="H15" s="427" t="s">
        <v>88</v>
      </c>
      <c r="I15" s="425" t="s">
        <v>88</v>
      </c>
    </row>
    <row r="16" spans="1:9" ht="15.75" customHeight="1" x14ac:dyDescent="0.2">
      <c r="A16" s="418" t="s">
        <v>509</v>
      </c>
      <c r="B16" s="426"/>
      <c r="C16" s="424" t="s">
        <v>88</v>
      </c>
      <c r="D16" s="424" t="s">
        <v>88</v>
      </c>
      <c r="E16" s="427" t="s">
        <v>88</v>
      </c>
      <c r="F16" s="427" t="s">
        <v>88</v>
      </c>
      <c r="G16" s="427" t="s">
        <v>88</v>
      </c>
      <c r="H16" s="427" t="s">
        <v>88</v>
      </c>
      <c r="I16" s="425" t="s">
        <v>88</v>
      </c>
    </row>
    <row r="17" spans="1:9" ht="15.75" customHeight="1" x14ac:dyDescent="0.2">
      <c r="A17" s="418" t="s">
        <v>510</v>
      </c>
      <c r="B17" s="426"/>
      <c r="C17" s="424" t="s">
        <v>88</v>
      </c>
      <c r="D17" s="424" t="s">
        <v>88</v>
      </c>
      <c r="E17" s="427" t="s">
        <v>88</v>
      </c>
      <c r="F17" s="427" t="s">
        <v>88</v>
      </c>
      <c r="G17" s="427" t="s">
        <v>88</v>
      </c>
      <c r="H17" s="427" t="s">
        <v>88</v>
      </c>
      <c r="I17" s="425" t="s">
        <v>88</v>
      </c>
    </row>
    <row r="18" spans="1:9" ht="15.75" customHeight="1" x14ac:dyDescent="0.2">
      <c r="A18" s="418" t="s">
        <v>511</v>
      </c>
      <c r="B18" s="428"/>
      <c r="C18" s="424" t="s">
        <v>88</v>
      </c>
      <c r="D18" s="424" t="s">
        <v>88</v>
      </c>
      <c r="E18" s="424" t="s">
        <v>88</v>
      </c>
      <c r="F18" s="424" t="s">
        <v>88</v>
      </c>
      <c r="G18" s="424" t="s">
        <v>88</v>
      </c>
      <c r="H18" s="427" t="s">
        <v>88</v>
      </c>
      <c r="I18" s="425" t="s">
        <v>88</v>
      </c>
    </row>
    <row r="19" spans="1:9" ht="15.75" customHeight="1" x14ac:dyDescent="0.2">
      <c r="A19" s="429" t="s">
        <v>512</v>
      </c>
      <c r="B19" s="430"/>
      <c r="C19" s="431">
        <f t="shared" ref="C19:I19" si="0">SUM(C13:C18)</f>
        <v>1672.4781818181816</v>
      </c>
      <c r="D19" s="432">
        <f t="shared" si="0"/>
        <v>1433.5527272727272</v>
      </c>
      <c r="E19" s="432">
        <f t="shared" si="0"/>
        <v>1254.3586363636364</v>
      </c>
      <c r="F19" s="432">
        <f t="shared" si="0"/>
        <v>1075.1645454545453</v>
      </c>
      <c r="G19" s="432">
        <f t="shared" si="0"/>
        <v>716.77636363636361</v>
      </c>
      <c r="H19" s="432">
        <f t="shared" si="0"/>
        <v>1669.75</v>
      </c>
      <c r="I19" s="433">
        <f t="shared" si="0"/>
        <v>1673.9117345454545</v>
      </c>
    </row>
    <row r="20" spans="1:9" ht="15.75" customHeight="1" x14ac:dyDescent="0.2">
      <c r="A20" s="754"/>
      <c r="B20" s="754"/>
      <c r="C20" s="435"/>
      <c r="D20" s="435"/>
      <c r="E20" s="436"/>
      <c r="F20" s="436"/>
      <c r="G20" s="436"/>
      <c r="H20" s="436"/>
      <c r="I20" s="437"/>
    </row>
    <row r="21" spans="1:9" ht="14.25" customHeight="1" x14ac:dyDescent="0.2">
      <c r="A21" s="753" t="s">
        <v>513</v>
      </c>
      <c r="B21" s="753"/>
      <c r="C21" s="753"/>
      <c r="D21" s="753"/>
      <c r="E21" s="753"/>
      <c r="F21" s="753"/>
      <c r="G21" s="753"/>
      <c r="H21" s="753"/>
      <c r="I21" s="753"/>
    </row>
    <row r="22" spans="1:9" ht="28.35" customHeight="1" x14ac:dyDescent="0.2">
      <c r="A22" s="438" t="s">
        <v>514</v>
      </c>
      <c r="B22" s="439" t="s">
        <v>503</v>
      </c>
      <c r="C22" s="439" t="s">
        <v>504</v>
      </c>
      <c r="D22" s="439" t="s">
        <v>504</v>
      </c>
      <c r="E22" s="439" t="s">
        <v>504</v>
      </c>
      <c r="F22" s="439" t="s">
        <v>504</v>
      </c>
      <c r="G22" s="439" t="s">
        <v>504</v>
      </c>
      <c r="H22" s="439" t="s">
        <v>504</v>
      </c>
      <c r="I22" s="440" t="s">
        <v>504</v>
      </c>
    </row>
    <row r="23" spans="1:9" ht="15.75" customHeight="1" x14ac:dyDescent="0.2">
      <c r="A23" s="441" t="s">
        <v>515</v>
      </c>
      <c r="B23" s="442">
        <f>1/12</f>
        <v>8.3333333333333329E-2</v>
      </c>
      <c r="C23" s="420">
        <f t="shared" ref="C23:I23" si="1">ROUND($B23*C$19,2)</f>
        <v>139.37</v>
      </c>
      <c r="D23" s="420">
        <f t="shared" si="1"/>
        <v>119.46</v>
      </c>
      <c r="E23" s="420">
        <f t="shared" si="1"/>
        <v>104.53</v>
      </c>
      <c r="F23" s="420">
        <f t="shared" si="1"/>
        <v>89.6</v>
      </c>
      <c r="G23" s="420">
        <f t="shared" si="1"/>
        <v>59.73</v>
      </c>
      <c r="H23" s="420">
        <f t="shared" si="1"/>
        <v>139.15</v>
      </c>
      <c r="I23" s="422">
        <f t="shared" si="1"/>
        <v>139.49</v>
      </c>
    </row>
    <row r="24" spans="1:9" x14ac:dyDescent="0.2">
      <c r="A24" s="441" t="s">
        <v>516</v>
      </c>
      <c r="B24" s="442">
        <f>1/3*1/12</f>
        <v>2.7777777777777776E-2</v>
      </c>
      <c r="C24" s="420">
        <f t="shared" ref="C24:I24" si="2">C$19*$B$24</f>
        <v>46.457727272727261</v>
      </c>
      <c r="D24" s="420">
        <f t="shared" si="2"/>
        <v>39.82090909090909</v>
      </c>
      <c r="E24" s="420">
        <f t="shared" si="2"/>
        <v>34.843295454545455</v>
      </c>
      <c r="F24" s="420">
        <f t="shared" si="2"/>
        <v>29.865681818181812</v>
      </c>
      <c r="G24" s="420">
        <f t="shared" si="2"/>
        <v>19.910454545454545</v>
      </c>
      <c r="H24" s="420">
        <f t="shared" si="2"/>
        <v>46.381944444444443</v>
      </c>
      <c r="I24" s="422">
        <f t="shared" si="2"/>
        <v>46.497548181818175</v>
      </c>
    </row>
    <row r="25" spans="1:9" ht="14.25" customHeight="1" x14ac:dyDescent="0.2">
      <c r="A25" s="429" t="s">
        <v>512</v>
      </c>
      <c r="B25" s="443">
        <f t="shared" ref="B25:I25" si="3">SUM(B23:B24)</f>
        <v>0.1111111111111111</v>
      </c>
      <c r="C25" s="444">
        <f t="shared" si="3"/>
        <v>185.82772727272726</v>
      </c>
      <c r="D25" s="444">
        <f t="shared" si="3"/>
        <v>159.28090909090909</v>
      </c>
      <c r="E25" s="444">
        <f t="shared" si="3"/>
        <v>139.37329545454546</v>
      </c>
      <c r="F25" s="444">
        <f t="shared" si="3"/>
        <v>119.46568181818181</v>
      </c>
      <c r="G25" s="444">
        <f t="shared" si="3"/>
        <v>79.640454545454546</v>
      </c>
      <c r="H25" s="444">
        <f t="shared" si="3"/>
        <v>185.53194444444443</v>
      </c>
      <c r="I25" s="445">
        <f t="shared" si="3"/>
        <v>185.98754818181817</v>
      </c>
    </row>
    <row r="26" spans="1:9" x14ac:dyDescent="0.2">
      <c r="A26" s="438" t="s">
        <v>517</v>
      </c>
      <c r="B26" s="439" t="s">
        <v>503</v>
      </c>
      <c r="C26" s="439" t="s">
        <v>504</v>
      </c>
      <c r="D26" s="439" t="s">
        <v>504</v>
      </c>
      <c r="E26" s="439" t="s">
        <v>504</v>
      </c>
      <c r="F26" s="439" t="s">
        <v>504</v>
      </c>
      <c r="G26" s="439" t="s">
        <v>504</v>
      </c>
      <c r="H26" s="439" t="s">
        <v>504</v>
      </c>
      <c r="I26" s="440" t="s">
        <v>504</v>
      </c>
    </row>
    <row r="27" spans="1:9" ht="15.75" customHeight="1" x14ac:dyDescent="0.2">
      <c r="A27" s="438" t="s">
        <v>518</v>
      </c>
      <c r="B27" s="446"/>
      <c r="C27" s="446"/>
      <c r="D27" s="446"/>
      <c r="E27" s="446"/>
      <c r="F27" s="446"/>
      <c r="G27" s="446"/>
      <c r="H27" s="447"/>
      <c r="I27" s="448"/>
    </row>
    <row r="28" spans="1:9" ht="14.25" customHeight="1" x14ac:dyDescent="0.2">
      <c r="A28" s="441" t="s">
        <v>519</v>
      </c>
      <c r="B28" s="442">
        <v>0.2</v>
      </c>
      <c r="C28" s="449">
        <f>ROUND(($C$19+$C$25)*B28,2)</f>
        <v>371.66</v>
      </c>
      <c r="D28" s="449">
        <f t="shared" ref="D28:I35" si="4">ROUND((D$19+D$25)*$B28,2)</f>
        <v>318.57</v>
      </c>
      <c r="E28" s="449">
        <f t="shared" si="4"/>
        <v>278.75</v>
      </c>
      <c r="F28" s="449">
        <f t="shared" si="4"/>
        <v>238.93</v>
      </c>
      <c r="G28" s="449">
        <f t="shared" si="4"/>
        <v>159.28</v>
      </c>
      <c r="H28" s="449">
        <f t="shared" si="4"/>
        <v>371.06</v>
      </c>
      <c r="I28" s="450">
        <f t="shared" si="4"/>
        <v>371.98</v>
      </c>
    </row>
    <row r="29" spans="1:9" ht="15.75" customHeight="1" x14ac:dyDescent="0.2">
      <c r="A29" s="441" t="s">
        <v>520</v>
      </c>
      <c r="B29" s="442">
        <v>2.5000000000000001E-2</v>
      </c>
      <c r="C29" s="449">
        <f t="shared" ref="C29:C35" si="5">ROUND((C$19+C$25)*$B29,2)</f>
        <v>46.46</v>
      </c>
      <c r="D29" s="449">
        <f t="shared" si="4"/>
        <v>39.82</v>
      </c>
      <c r="E29" s="449">
        <f t="shared" si="4"/>
        <v>34.840000000000003</v>
      </c>
      <c r="F29" s="449">
        <f t="shared" si="4"/>
        <v>29.87</v>
      </c>
      <c r="G29" s="449">
        <f t="shared" si="4"/>
        <v>19.91</v>
      </c>
      <c r="H29" s="449">
        <f t="shared" si="4"/>
        <v>46.38</v>
      </c>
      <c r="I29" s="450">
        <f t="shared" si="4"/>
        <v>46.5</v>
      </c>
    </row>
    <row r="30" spans="1:9" ht="15.75" customHeight="1" x14ac:dyDescent="0.2">
      <c r="A30" s="441" t="s">
        <v>521</v>
      </c>
      <c r="B30" s="442">
        <v>0.03</v>
      </c>
      <c r="C30" s="449">
        <f t="shared" si="5"/>
        <v>55.75</v>
      </c>
      <c r="D30" s="449">
        <f t="shared" si="4"/>
        <v>47.79</v>
      </c>
      <c r="E30" s="449">
        <f t="shared" si="4"/>
        <v>41.81</v>
      </c>
      <c r="F30" s="449">
        <f t="shared" si="4"/>
        <v>35.840000000000003</v>
      </c>
      <c r="G30" s="449">
        <f t="shared" si="4"/>
        <v>23.89</v>
      </c>
      <c r="H30" s="449">
        <f t="shared" si="4"/>
        <v>55.66</v>
      </c>
      <c r="I30" s="450">
        <f t="shared" si="4"/>
        <v>55.8</v>
      </c>
    </row>
    <row r="31" spans="1:9" ht="15.75" customHeight="1" x14ac:dyDescent="0.2">
      <c r="A31" s="441" t="s">
        <v>522</v>
      </c>
      <c r="B31" s="442">
        <v>1.4999999999999999E-2</v>
      </c>
      <c r="C31" s="449">
        <f t="shared" si="5"/>
        <v>27.87</v>
      </c>
      <c r="D31" s="449">
        <f t="shared" si="4"/>
        <v>23.89</v>
      </c>
      <c r="E31" s="449">
        <f t="shared" si="4"/>
        <v>20.91</v>
      </c>
      <c r="F31" s="449">
        <f t="shared" si="4"/>
        <v>17.920000000000002</v>
      </c>
      <c r="G31" s="449">
        <f t="shared" si="4"/>
        <v>11.95</v>
      </c>
      <c r="H31" s="449">
        <f t="shared" si="4"/>
        <v>27.83</v>
      </c>
      <c r="I31" s="450">
        <f t="shared" si="4"/>
        <v>27.9</v>
      </c>
    </row>
    <row r="32" spans="1:9" ht="15.75" customHeight="1" x14ac:dyDescent="0.2">
      <c r="A32" s="441" t="s">
        <v>523</v>
      </c>
      <c r="B32" s="442">
        <v>0.01</v>
      </c>
      <c r="C32" s="449">
        <f t="shared" si="5"/>
        <v>18.579999999999998</v>
      </c>
      <c r="D32" s="449">
        <f t="shared" si="4"/>
        <v>15.93</v>
      </c>
      <c r="E32" s="449">
        <f t="shared" si="4"/>
        <v>13.94</v>
      </c>
      <c r="F32" s="449">
        <f t="shared" si="4"/>
        <v>11.95</v>
      </c>
      <c r="G32" s="449">
        <f t="shared" si="4"/>
        <v>7.96</v>
      </c>
      <c r="H32" s="449">
        <f t="shared" si="4"/>
        <v>18.55</v>
      </c>
      <c r="I32" s="450">
        <f t="shared" si="4"/>
        <v>18.600000000000001</v>
      </c>
    </row>
    <row r="33" spans="1:9" ht="15.75" customHeight="1" x14ac:dyDescent="0.2">
      <c r="A33" s="441" t="s">
        <v>524</v>
      </c>
      <c r="B33" s="442">
        <v>6.0000000000000001E-3</v>
      </c>
      <c r="C33" s="449">
        <f t="shared" si="5"/>
        <v>11.15</v>
      </c>
      <c r="D33" s="449">
        <f t="shared" si="4"/>
        <v>9.56</v>
      </c>
      <c r="E33" s="449">
        <f t="shared" si="4"/>
        <v>8.36</v>
      </c>
      <c r="F33" s="449">
        <f t="shared" si="4"/>
        <v>7.17</v>
      </c>
      <c r="G33" s="449">
        <f t="shared" si="4"/>
        <v>4.78</v>
      </c>
      <c r="H33" s="449">
        <f t="shared" si="4"/>
        <v>11.13</v>
      </c>
      <c r="I33" s="450">
        <f t="shared" si="4"/>
        <v>11.16</v>
      </c>
    </row>
    <row r="34" spans="1:9" ht="15.75" customHeight="1" x14ac:dyDescent="0.2">
      <c r="A34" s="441" t="s">
        <v>525</v>
      </c>
      <c r="B34" s="442">
        <v>2E-3</v>
      </c>
      <c r="C34" s="449">
        <f t="shared" si="5"/>
        <v>3.72</v>
      </c>
      <c r="D34" s="449">
        <f t="shared" si="4"/>
        <v>3.19</v>
      </c>
      <c r="E34" s="449">
        <f t="shared" si="4"/>
        <v>2.79</v>
      </c>
      <c r="F34" s="449">
        <f t="shared" si="4"/>
        <v>2.39</v>
      </c>
      <c r="G34" s="449">
        <f t="shared" si="4"/>
        <v>1.59</v>
      </c>
      <c r="H34" s="449">
        <f t="shared" si="4"/>
        <v>3.71</v>
      </c>
      <c r="I34" s="450">
        <f t="shared" si="4"/>
        <v>3.72</v>
      </c>
    </row>
    <row r="35" spans="1:9" ht="15.75" customHeight="1" x14ac:dyDescent="0.2">
      <c r="A35" s="441" t="s">
        <v>526</v>
      </c>
      <c r="B35" s="442">
        <v>0.08</v>
      </c>
      <c r="C35" s="449">
        <f t="shared" si="5"/>
        <v>148.66</v>
      </c>
      <c r="D35" s="449">
        <f t="shared" si="4"/>
        <v>127.43</v>
      </c>
      <c r="E35" s="449">
        <f t="shared" si="4"/>
        <v>111.5</v>
      </c>
      <c r="F35" s="449">
        <f t="shared" si="4"/>
        <v>95.57</v>
      </c>
      <c r="G35" s="449">
        <f t="shared" si="4"/>
        <v>63.71</v>
      </c>
      <c r="H35" s="449">
        <f t="shared" si="4"/>
        <v>148.41999999999999</v>
      </c>
      <c r="I35" s="450">
        <f t="shared" si="4"/>
        <v>148.79</v>
      </c>
    </row>
    <row r="36" spans="1:9" ht="15.75" customHeight="1" x14ac:dyDescent="0.2">
      <c r="A36" s="429" t="s">
        <v>512</v>
      </c>
      <c r="B36" s="443">
        <f t="shared" ref="B36:I36" si="6">SUM(B28:B35)</f>
        <v>0.36800000000000005</v>
      </c>
      <c r="C36" s="444">
        <f t="shared" si="6"/>
        <v>683.85</v>
      </c>
      <c r="D36" s="444">
        <f t="shared" si="6"/>
        <v>586.18000000000006</v>
      </c>
      <c r="E36" s="444">
        <f t="shared" si="6"/>
        <v>512.90000000000009</v>
      </c>
      <c r="F36" s="444">
        <f t="shared" si="6"/>
        <v>439.64</v>
      </c>
      <c r="G36" s="444">
        <f t="shared" si="6"/>
        <v>293.07</v>
      </c>
      <c r="H36" s="444">
        <f t="shared" si="6"/>
        <v>682.74</v>
      </c>
      <c r="I36" s="445">
        <f t="shared" si="6"/>
        <v>684.44999999999993</v>
      </c>
    </row>
    <row r="37" spans="1:9" ht="15.75" customHeight="1" x14ac:dyDescent="0.2">
      <c r="A37" s="438" t="s">
        <v>527</v>
      </c>
      <c r="B37" s="439" t="s">
        <v>528</v>
      </c>
      <c r="C37" s="439" t="s">
        <v>504</v>
      </c>
      <c r="D37" s="439" t="s">
        <v>504</v>
      </c>
      <c r="E37" s="439" t="s">
        <v>504</v>
      </c>
      <c r="F37" s="439" t="s">
        <v>504</v>
      </c>
      <c r="G37" s="439" t="s">
        <v>504</v>
      </c>
      <c r="H37" s="439" t="s">
        <v>504</v>
      </c>
      <c r="I37" s="440" t="s">
        <v>504</v>
      </c>
    </row>
    <row r="38" spans="1:9" ht="15.75" customHeight="1" x14ac:dyDescent="0.2">
      <c r="A38" s="441" t="s">
        <v>529</v>
      </c>
      <c r="B38" s="451">
        <f>MC!K89</f>
        <v>3.8883333333333332</v>
      </c>
      <c r="C38" s="420">
        <f t="shared" ref="C38:I38" si="7">ROUND(((2*22*$B$38)-0.06*C$13),2)</f>
        <v>99.41</v>
      </c>
      <c r="D38" s="420">
        <f t="shared" si="7"/>
        <v>99.41</v>
      </c>
      <c r="E38" s="420">
        <f t="shared" si="7"/>
        <v>117.33</v>
      </c>
      <c r="F38" s="420">
        <f t="shared" si="7"/>
        <v>117.33</v>
      </c>
      <c r="G38" s="420">
        <f t="shared" si="7"/>
        <v>135.25</v>
      </c>
      <c r="H38" s="420">
        <f t="shared" si="7"/>
        <v>70.900000000000006</v>
      </c>
      <c r="I38" s="422">
        <f t="shared" si="7"/>
        <v>70.650000000000006</v>
      </c>
    </row>
    <row r="39" spans="1:9" ht="15.75" customHeight="1" x14ac:dyDescent="0.2">
      <c r="A39" s="441" t="s">
        <v>530</v>
      </c>
      <c r="B39" s="452"/>
      <c r="C39" s="449">
        <f>MC!$E$19</f>
        <v>359.61</v>
      </c>
      <c r="D39" s="449">
        <f>MC!$E$19</f>
        <v>359.61</v>
      </c>
      <c r="E39" s="449">
        <f>MC!$E$20</f>
        <v>179.8</v>
      </c>
      <c r="F39" s="449">
        <f>MC!$E$20</f>
        <v>179.8</v>
      </c>
      <c r="G39" s="449">
        <f>MC!$E$20</f>
        <v>179.8</v>
      </c>
      <c r="H39" s="449">
        <f>MC!$E$19</f>
        <v>359.61</v>
      </c>
      <c r="I39" s="450">
        <f>MC!$E$19</f>
        <v>359.61</v>
      </c>
    </row>
    <row r="40" spans="1:9" ht="15.75" customHeight="1" x14ac:dyDescent="0.2">
      <c r="A40" s="441" t="s">
        <v>531</v>
      </c>
      <c r="B40" s="442"/>
      <c r="C40" s="453" t="s">
        <v>88</v>
      </c>
      <c r="D40" s="453" t="s">
        <v>88</v>
      </c>
      <c r="E40" s="453" t="s">
        <v>88</v>
      </c>
      <c r="F40" s="453" t="s">
        <v>88</v>
      </c>
      <c r="G40" s="453" t="s">
        <v>88</v>
      </c>
      <c r="H40" s="453" t="s">
        <v>88</v>
      </c>
      <c r="I40" s="454" t="s">
        <v>88</v>
      </c>
    </row>
    <row r="41" spans="1:9" ht="15.75" customHeight="1" x14ac:dyDescent="0.2">
      <c r="A41" s="441" t="s">
        <v>532</v>
      </c>
      <c r="B41" s="455"/>
      <c r="C41" s="453" t="s">
        <v>88</v>
      </c>
      <c r="D41" s="453" t="s">
        <v>88</v>
      </c>
      <c r="E41" s="453" t="s">
        <v>88</v>
      </c>
      <c r="F41" s="453" t="s">
        <v>88</v>
      </c>
      <c r="G41" s="453" t="s">
        <v>88</v>
      </c>
      <c r="H41" s="456" t="s">
        <v>88</v>
      </c>
      <c r="I41" s="454" t="s">
        <v>88</v>
      </c>
    </row>
    <row r="42" spans="1:9" ht="15.75" customHeight="1" x14ac:dyDescent="0.2">
      <c r="A42" s="441" t="s">
        <v>533</v>
      </c>
      <c r="B42" s="457">
        <f>MC!E27</f>
        <v>17.32</v>
      </c>
      <c r="C42" s="449">
        <f t="shared" ref="C42:I42" si="8">$B42</f>
        <v>17.32</v>
      </c>
      <c r="D42" s="449">
        <f t="shared" si="8"/>
        <v>17.32</v>
      </c>
      <c r="E42" s="449">
        <f t="shared" si="8"/>
        <v>17.32</v>
      </c>
      <c r="F42" s="449">
        <f t="shared" si="8"/>
        <v>17.32</v>
      </c>
      <c r="G42" s="449">
        <f t="shared" si="8"/>
        <v>17.32</v>
      </c>
      <c r="H42" s="449">
        <f t="shared" si="8"/>
        <v>17.32</v>
      </c>
      <c r="I42" s="450">
        <f t="shared" si="8"/>
        <v>17.32</v>
      </c>
    </row>
    <row r="43" spans="1:9" ht="15.75" customHeight="1" x14ac:dyDescent="0.2">
      <c r="A43" s="441" t="s">
        <v>534</v>
      </c>
      <c r="B43" s="442"/>
      <c r="C43" s="453" t="s">
        <v>88</v>
      </c>
      <c r="D43" s="453" t="s">
        <v>88</v>
      </c>
      <c r="E43" s="453" t="s">
        <v>88</v>
      </c>
      <c r="F43" s="453" t="s">
        <v>88</v>
      </c>
      <c r="G43" s="453" t="s">
        <v>88</v>
      </c>
      <c r="H43" s="456" t="s">
        <v>88</v>
      </c>
      <c r="I43" s="454" t="s">
        <v>88</v>
      </c>
    </row>
    <row r="44" spans="1:9" ht="15.75" customHeight="1" x14ac:dyDescent="0.2">
      <c r="A44" s="429" t="s">
        <v>512</v>
      </c>
      <c r="B44" s="430"/>
      <c r="C44" s="444">
        <f t="shared" ref="C44:I44" si="9">SUM(C38:C43)</f>
        <v>476.34</v>
      </c>
      <c r="D44" s="444">
        <f t="shared" si="9"/>
        <v>476.34</v>
      </c>
      <c r="E44" s="444">
        <f t="shared" si="9"/>
        <v>314.45</v>
      </c>
      <c r="F44" s="444">
        <f t="shared" si="9"/>
        <v>314.45</v>
      </c>
      <c r="G44" s="444">
        <f t="shared" si="9"/>
        <v>332.37</v>
      </c>
      <c r="H44" s="444">
        <f t="shared" si="9"/>
        <v>447.83</v>
      </c>
      <c r="I44" s="445">
        <f t="shared" si="9"/>
        <v>447.58</v>
      </c>
    </row>
    <row r="45" spans="1:9" x14ac:dyDescent="0.2">
      <c r="A45" s="415" t="s">
        <v>535</v>
      </c>
      <c r="B45" s="416" t="s">
        <v>503</v>
      </c>
      <c r="C45" s="416" t="s">
        <v>504</v>
      </c>
      <c r="D45" s="416" t="s">
        <v>504</v>
      </c>
      <c r="E45" s="416" t="s">
        <v>504</v>
      </c>
      <c r="F45" s="416" t="s">
        <v>504</v>
      </c>
      <c r="G45" s="416" t="s">
        <v>504</v>
      </c>
      <c r="H45" s="416" t="s">
        <v>504</v>
      </c>
      <c r="I45" s="417" t="s">
        <v>504</v>
      </c>
    </row>
    <row r="46" spans="1:9" ht="15.75" customHeight="1" x14ac:dyDescent="0.2">
      <c r="A46" s="441" t="s">
        <v>514</v>
      </c>
      <c r="B46" s="458">
        <f t="shared" ref="B46:I46" si="10">B25</f>
        <v>0.1111111111111111</v>
      </c>
      <c r="C46" s="459">
        <f t="shared" si="10"/>
        <v>185.82772727272726</v>
      </c>
      <c r="D46" s="459">
        <f t="shared" si="10"/>
        <v>159.28090909090909</v>
      </c>
      <c r="E46" s="459">
        <f t="shared" si="10"/>
        <v>139.37329545454546</v>
      </c>
      <c r="F46" s="459">
        <f t="shared" si="10"/>
        <v>119.46568181818181</v>
      </c>
      <c r="G46" s="459">
        <f t="shared" si="10"/>
        <v>79.640454545454546</v>
      </c>
      <c r="H46" s="459">
        <f t="shared" si="10"/>
        <v>185.53194444444443</v>
      </c>
      <c r="I46" s="460">
        <f t="shared" si="10"/>
        <v>185.98754818181817</v>
      </c>
    </row>
    <row r="47" spans="1:9" ht="15.75" customHeight="1" x14ac:dyDescent="0.2">
      <c r="A47" s="441" t="s">
        <v>536</v>
      </c>
      <c r="B47" s="458">
        <f t="shared" ref="B47:I47" si="11">B36</f>
        <v>0.36800000000000005</v>
      </c>
      <c r="C47" s="459">
        <f t="shared" si="11"/>
        <v>683.85</v>
      </c>
      <c r="D47" s="459">
        <f t="shared" si="11"/>
        <v>586.18000000000006</v>
      </c>
      <c r="E47" s="459">
        <f t="shared" si="11"/>
        <v>512.90000000000009</v>
      </c>
      <c r="F47" s="459">
        <f t="shared" si="11"/>
        <v>439.64</v>
      </c>
      <c r="G47" s="459">
        <f t="shared" si="11"/>
        <v>293.07</v>
      </c>
      <c r="H47" s="459">
        <f t="shared" si="11"/>
        <v>682.74</v>
      </c>
      <c r="I47" s="460">
        <f t="shared" si="11"/>
        <v>684.44999999999993</v>
      </c>
    </row>
    <row r="48" spans="1:9" ht="15.75" customHeight="1" x14ac:dyDescent="0.2">
      <c r="A48" s="441" t="s">
        <v>527</v>
      </c>
      <c r="B48" s="458"/>
      <c r="C48" s="459">
        <f t="shared" ref="C48:I48" si="12">C44</f>
        <v>476.34</v>
      </c>
      <c r="D48" s="459">
        <f t="shared" si="12"/>
        <v>476.34</v>
      </c>
      <c r="E48" s="459">
        <f t="shared" si="12"/>
        <v>314.45</v>
      </c>
      <c r="F48" s="459">
        <f t="shared" si="12"/>
        <v>314.45</v>
      </c>
      <c r="G48" s="459">
        <f t="shared" si="12"/>
        <v>332.37</v>
      </c>
      <c r="H48" s="459">
        <f t="shared" si="12"/>
        <v>447.83</v>
      </c>
      <c r="I48" s="460">
        <f t="shared" si="12"/>
        <v>447.58</v>
      </c>
    </row>
    <row r="49" spans="1:9" ht="15.75" customHeight="1" x14ac:dyDescent="0.2">
      <c r="A49" s="429" t="s">
        <v>512</v>
      </c>
      <c r="B49" s="430"/>
      <c r="C49" s="444">
        <f t="shared" ref="C49:I49" si="13">SUM(C46:C48)</f>
        <v>1346.0177272727271</v>
      </c>
      <c r="D49" s="431">
        <f t="shared" si="13"/>
        <v>1221.800909090909</v>
      </c>
      <c r="E49" s="444">
        <f t="shared" si="13"/>
        <v>966.72329545454545</v>
      </c>
      <c r="F49" s="444">
        <f t="shared" si="13"/>
        <v>873.55568181818171</v>
      </c>
      <c r="G49" s="444">
        <f t="shared" si="13"/>
        <v>705.08045454545459</v>
      </c>
      <c r="H49" s="444">
        <f t="shared" si="13"/>
        <v>1316.1019444444444</v>
      </c>
      <c r="I49" s="445">
        <f t="shared" si="13"/>
        <v>1318.017548181818</v>
      </c>
    </row>
    <row r="50" spans="1:9" ht="14.25" customHeight="1" x14ac:dyDescent="0.2">
      <c r="A50" s="754"/>
      <c r="B50" s="754"/>
      <c r="C50" s="754"/>
      <c r="D50" s="754"/>
      <c r="E50" s="754"/>
      <c r="F50" s="754"/>
      <c r="G50" s="754"/>
      <c r="H50" s="754"/>
      <c r="I50" s="754"/>
    </row>
    <row r="51" spans="1:9" s="461" customFormat="1" ht="12.75" customHeight="1" x14ac:dyDescent="0.2">
      <c r="A51" s="753" t="s">
        <v>537</v>
      </c>
      <c r="B51" s="753"/>
      <c r="C51" s="753"/>
      <c r="D51" s="753"/>
      <c r="E51" s="753"/>
      <c r="F51" s="753"/>
      <c r="G51" s="753"/>
      <c r="H51" s="753"/>
      <c r="I51" s="753"/>
    </row>
    <row r="52" spans="1:9" ht="15.75" customHeight="1" x14ac:dyDescent="0.2">
      <c r="A52" s="415" t="s">
        <v>538</v>
      </c>
      <c r="B52" s="416" t="s">
        <v>503</v>
      </c>
      <c r="C52" s="416" t="s">
        <v>504</v>
      </c>
      <c r="D52" s="416" t="s">
        <v>504</v>
      </c>
      <c r="E52" s="416" t="s">
        <v>504</v>
      </c>
      <c r="F52" s="416" t="s">
        <v>504</v>
      </c>
      <c r="G52" s="416" t="s">
        <v>504</v>
      </c>
      <c r="H52" s="416" t="s">
        <v>504</v>
      </c>
      <c r="I52" s="417" t="s">
        <v>504</v>
      </c>
    </row>
    <row r="53" spans="1:9" ht="15.75" customHeight="1" x14ac:dyDescent="0.2">
      <c r="A53" s="438" t="s">
        <v>539</v>
      </c>
      <c r="B53" s="462"/>
      <c r="C53" s="462"/>
      <c r="D53" s="462"/>
      <c r="E53" s="462"/>
      <c r="F53" s="462"/>
      <c r="G53" s="462"/>
      <c r="H53" s="463"/>
      <c r="I53" s="464"/>
    </row>
    <row r="54" spans="1:9" ht="15.75" customHeight="1" x14ac:dyDescent="0.2">
      <c r="A54" s="441" t="s">
        <v>540</v>
      </c>
      <c r="B54" s="458">
        <f>1/12*0.05</f>
        <v>4.1666666666666666E-3</v>
      </c>
      <c r="C54" s="465">
        <f t="shared" ref="C54:I54" si="14">C19*$B54</f>
        <v>6.9686590909090897</v>
      </c>
      <c r="D54" s="465">
        <f t="shared" si="14"/>
        <v>5.973136363636363</v>
      </c>
      <c r="E54" s="465">
        <f t="shared" si="14"/>
        <v>5.2264943181818184</v>
      </c>
      <c r="F54" s="465">
        <f t="shared" si="14"/>
        <v>4.479852272727272</v>
      </c>
      <c r="G54" s="465">
        <f t="shared" si="14"/>
        <v>2.9865681818181815</v>
      </c>
      <c r="H54" s="465">
        <f t="shared" si="14"/>
        <v>6.9572916666666664</v>
      </c>
      <c r="I54" s="466">
        <f t="shared" si="14"/>
        <v>6.9746322272727266</v>
      </c>
    </row>
    <row r="55" spans="1:9" x14ac:dyDescent="0.2">
      <c r="A55" s="441" t="s">
        <v>541</v>
      </c>
      <c r="B55" s="458">
        <f>B35*B54</f>
        <v>3.3333333333333332E-4</v>
      </c>
      <c r="C55" s="465">
        <f t="shared" ref="C55:I55" si="15">$B$55*C19</f>
        <v>0.55749272727272714</v>
      </c>
      <c r="D55" s="465">
        <f t="shared" si="15"/>
        <v>0.47785090909090905</v>
      </c>
      <c r="E55" s="465">
        <f t="shared" si="15"/>
        <v>0.41811954545454544</v>
      </c>
      <c r="F55" s="465">
        <f t="shared" si="15"/>
        <v>0.35838818181818177</v>
      </c>
      <c r="G55" s="465">
        <f t="shared" si="15"/>
        <v>0.23892545454545452</v>
      </c>
      <c r="H55" s="465">
        <f t="shared" si="15"/>
        <v>0.55658333333333332</v>
      </c>
      <c r="I55" s="466">
        <f t="shared" si="15"/>
        <v>0.55797057818181817</v>
      </c>
    </row>
    <row r="56" spans="1:9" x14ac:dyDescent="0.2">
      <c r="A56" s="441" t="s">
        <v>542</v>
      </c>
      <c r="B56" s="458">
        <v>0</v>
      </c>
      <c r="C56" s="465">
        <f t="shared" ref="C56:I56" si="16">C35*$B56</f>
        <v>0</v>
      </c>
      <c r="D56" s="465">
        <f t="shared" si="16"/>
        <v>0</v>
      </c>
      <c r="E56" s="465">
        <f t="shared" si="16"/>
        <v>0</v>
      </c>
      <c r="F56" s="465">
        <f t="shared" si="16"/>
        <v>0</v>
      </c>
      <c r="G56" s="465">
        <f t="shared" si="16"/>
        <v>0</v>
      </c>
      <c r="H56" s="465">
        <f t="shared" si="16"/>
        <v>0</v>
      </c>
      <c r="I56" s="466">
        <f t="shared" si="16"/>
        <v>0</v>
      </c>
    </row>
    <row r="57" spans="1:9" x14ac:dyDescent="0.2">
      <c r="A57" s="441" t="s">
        <v>543</v>
      </c>
      <c r="B57" s="458">
        <f>1/12*1/30*7</f>
        <v>1.9444444444444441E-2</v>
      </c>
      <c r="C57" s="459">
        <f t="shared" ref="C57:I57" si="17">C19*$B57</f>
        <v>32.520409090909084</v>
      </c>
      <c r="D57" s="459">
        <f t="shared" si="17"/>
        <v>27.874636363636359</v>
      </c>
      <c r="E57" s="459">
        <f t="shared" si="17"/>
        <v>24.390306818181813</v>
      </c>
      <c r="F57" s="459">
        <f t="shared" si="17"/>
        <v>20.905977272727267</v>
      </c>
      <c r="G57" s="459">
        <f t="shared" si="17"/>
        <v>13.937318181818179</v>
      </c>
      <c r="H57" s="459">
        <f t="shared" si="17"/>
        <v>32.467361111111103</v>
      </c>
      <c r="I57" s="460">
        <f t="shared" si="17"/>
        <v>32.548283727272718</v>
      </c>
    </row>
    <row r="58" spans="1:9" x14ac:dyDescent="0.2">
      <c r="A58" s="441" t="s">
        <v>544</v>
      </c>
      <c r="B58" s="458">
        <f>B36*B57</f>
        <v>7.1555555555555556E-3</v>
      </c>
      <c r="C58" s="459">
        <f t="shared" ref="C58:I58" si="18">$B58*C19</f>
        <v>11.967510545454545</v>
      </c>
      <c r="D58" s="459">
        <f t="shared" si="18"/>
        <v>10.257866181818182</v>
      </c>
      <c r="E58" s="459">
        <f t="shared" si="18"/>
        <v>8.9756329090909102</v>
      </c>
      <c r="F58" s="459">
        <f t="shared" si="18"/>
        <v>7.693399636363635</v>
      </c>
      <c r="G58" s="459">
        <f t="shared" si="18"/>
        <v>5.1289330909090909</v>
      </c>
      <c r="H58" s="459">
        <f t="shared" si="18"/>
        <v>11.947988888888888</v>
      </c>
      <c r="I58" s="460">
        <f t="shared" si="18"/>
        <v>11.977768411636363</v>
      </c>
    </row>
    <row r="59" spans="1:9" x14ac:dyDescent="0.2">
      <c r="A59" s="441" t="s">
        <v>545</v>
      </c>
      <c r="B59" s="458">
        <f>B35*40/100*90/100*(1+1/12+1/12+1/3*1/12)</f>
        <v>3.4399999999999993E-2</v>
      </c>
      <c r="C59" s="459">
        <f t="shared" ref="C59:I59" si="19">C19*$B59</f>
        <v>57.533249454545434</v>
      </c>
      <c r="D59" s="459">
        <f t="shared" si="19"/>
        <v>49.314213818181805</v>
      </c>
      <c r="E59" s="459">
        <f t="shared" si="19"/>
        <v>43.149937090909084</v>
      </c>
      <c r="F59" s="459">
        <f t="shared" si="19"/>
        <v>36.985660363636349</v>
      </c>
      <c r="G59" s="459">
        <f t="shared" si="19"/>
        <v>24.657106909090903</v>
      </c>
      <c r="H59" s="459">
        <f t="shared" si="19"/>
        <v>57.439399999999985</v>
      </c>
      <c r="I59" s="460">
        <f t="shared" si="19"/>
        <v>57.582563668363619</v>
      </c>
    </row>
    <row r="60" spans="1:9" ht="14.25" customHeight="1" x14ac:dyDescent="0.2">
      <c r="A60" s="429" t="s">
        <v>512</v>
      </c>
      <c r="B60" s="443">
        <f t="shared" ref="B60:I60" si="20">SUM(B54:B59)</f>
        <v>6.5499999999999989E-2</v>
      </c>
      <c r="C60" s="431">
        <f t="shared" si="20"/>
        <v>109.54732090909087</v>
      </c>
      <c r="D60" s="431">
        <f t="shared" si="20"/>
        <v>93.897703636363616</v>
      </c>
      <c r="E60" s="431">
        <f t="shared" si="20"/>
        <v>82.160490681818175</v>
      </c>
      <c r="F60" s="431">
        <f t="shared" si="20"/>
        <v>70.423277727272705</v>
      </c>
      <c r="G60" s="431">
        <f t="shared" si="20"/>
        <v>46.948851818181808</v>
      </c>
      <c r="H60" s="432">
        <f t="shared" si="20"/>
        <v>109.36862499999998</v>
      </c>
      <c r="I60" s="433">
        <f t="shared" si="20"/>
        <v>109.64121861272724</v>
      </c>
    </row>
    <row r="61" spans="1:9" ht="14.25" customHeight="1" x14ac:dyDescent="0.2">
      <c r="A61" s="755"/>
      <c r="B61" s="755"/>
      <c r="C61" s="755"/>
      <c r="D61" s="755"/>
      <c r="E61" s="755"/>
      <c r="F61" s="755"/>
      <c r="G61" s="755"/>
      <c r="H61" s="755"/>
      <c r="I61" s="755"/>
    </row>
    <row r="62" spans="1:9" ht="15.75" customHeight="1" x14ac:dyDescent="0.2">
      <c r="A62" s="753" t="s">
        <v>546</v>
      </c>
      <c r="B62" s="753"/>
      <c r="C62" s="753"/>
      <c r="D62" s="753"/>
      <c r="E62" s="753"/>
      <c r="F62" s="753"/>
      <c r="G62" s="753"/>
      <c r="H62" s="753"/>
      <c r="I62" s="753"/>
    </row>
    <row r="63" spans="1:9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39" t="s">
        <v>504</v>
      </c>
      <c r="F63" s="439" t="s">
        <v>504</v>
      </c>
      <c r="G63" s="439" t="s">
        <v>504</v>
      </c>
      <c r="H63" s="439" t="s">
        <v>504</v>
      </c>
      <c r="I63" s="439" t="s">
        <v>504</v>
      </c>
    </row>
    <row r="64" spans="1:9" ht="14.25" customHeight="1" x14ac:dyDescent="0.2">
      <c r="A64" s="441" t="s">
        <v>46</v>
      </c>
      <c r="B64" s="442">
        <f>1/12</f>
        <v>8.3333333333333329E-2</v>
      </c>
      <c r="C64" s="449">
        <f t="shared" ref="C64:I67" si="21">$B64*(C$19+C$49+C$60)</f>
        <v>260.67026916666663</v>
      </c>
      <c r="D64" s="449">
        <f t="shared" si="21"/>
        <v>229.1042783333333</v>
      </c>
      <c r="E64" s="449">
        <f t="shared" si="21"/>
        <v>191.93686854166668</v>
      </c>
      <c r="F64" s="449">
        <f t="shared" si="21"/>
        <v>168.26195874999996</v>
      </c>
      <c r="G64" s="449">
        <f t="shared" si="21"/>
        <v>122.40047249999999</v>
      </c>
      <c r="H64" s="449">
        <f t="shared" si="21"/>
        <v>257.9350474537037</v>
      </c>
      <c r="I64" s="450">
        <f t="shared" si="21"/>
        <v>258.46420844499994</v>
      </c>
    </row>
    <row r="65" spans="1:9" x14ac:dyDescent="0.2">
      <c r="A65" s="441" t="s">
        <v>547</v>
      </c>
      <c r="B65" s="442">
        <f>MC!E54/30/12</f>
        <v>1.3538888888888885E-2</v>
      </c>
      <c r="C65" s="449">
        <f t="shared" si="21"/>
        <v>42.350229730611098</v>
      </c>
      <c r="D65" s="449">
        <f t="shared" si="21"/>
        <v>37.221808419888873</v>
      </c>
      <c r="E65" s="449">
        <f t="shared" si="21"/>
        <v>31.183343242402774</v>
      </c>
      <c r="F65" s="449">
        <f t="shared" si="21"/>
        <v>27.336959564916654</v>
      </c>
      <c r="G65" s="449">
        <f t="shared" si="21"/>
        <v>19.885996765499993</v>
      </c>
      <c r="H65" s="449">
        <f t="shared" si="21"/>
        <v>41.905847376311719</v>
      </c>
      <c r="I65" s="450">
        <f t="shared" si="21"/>
        <v>41.991818398697653</v>
      </c>
    </row>
    <row r="66" spans="1:9" x14ac:dyDescent="0.2">
      <c r="A66" s="441" t="s">
        <v>548</v>
      </c>
      <c r="B66" s="467">
        <f>(5/30)/12*MC!F56*MC!C57</f>
        <v>1.0764583333333333E-4</v>
      </c>
      <c r="C66" s="449">
        <f t="shared" si="21"/>
        <v>0.33672082019604166</v>
      </c>
      <c r="D66" s="449">
        <f t="shared" si="21"/>
        <v>0.29594545153708329</v>
      </c>
      <c r="E66" s="449">
        <f t="shared" si="21"/>
        <v>0.24793444993869795</v>
      </c>
      <c r="F66" s="449">
        <f t="shared" si="21"/>
        <v>0.21735238521531247</v>
      </c>
      <c r="G66" s="449">
        <f t="shared" si="21"/>
        <v>0.15811081035187499</v>
      </c>
      <c r="H66" s="449">
        <f t="shared" si="21"/>
        <v>0.33318759754832178</v>
      </c>
      <c r="I66" s="450">
        <f t="shared" si="21"/>
        <v>0.33387114125882872</v>
      </c>
    </row>
    <row r="67" spans="1:9" ht="14.25" customHeight="1" x14ac:dyDescent="0.2">
      <c r="A67" s="441" t="s">
        <v>549</v>
      </c>
      <c r="B67" s="467">
        <f>MC!C59/30/12</f>
        <v>2.6830555555555553E-3</v>
      </c>
      <c r="C67" s="449">
        <f t="shared" si="21"/>
        <v>8.3927137662694431</v>
      </c>
      <c r="D67" s="449">
        <f t="shared" si="21"/>
        <v>7.3763940814055546</v>
      </c>
      <c r="E67" s="449">
        <f t="shared" si="21"/>
        <v>6.1797273774798613</v>
      </c>
      <c r="F67" s="449">
        <f t="shared" si="21"/>
        <v>5.4174741985541655</v>
      </c>
      <c r="G67" s="449">
        <f t="shared" si="21"/>
        <v>3.9408872129249994</v>
      </c>
      <c r="H67" s="449">
        <f t="shared" si="21"/>
        <v>8.3046487445177473</v>
      </c>
      <c r="I67" s="450">
        <f t="shared" si="21"/>
        <v>8.3216859645675143</v>
      </c>
    </row>
    <row r="68" spans="1:9" ht="14.25" customHeight="1" x14ac:dyDescent="0.2">
      <c r="A68" s="441" t="s">
        <v>511</v>
      </c>
      <c r="B68" s="442"/>
      <c r="C68" s="453" t="s">
        <v>88</v>
      </c>
      <c r="D68" s="453" t="s">
        <v>88</v>
      </c>
      <c r="E68" s="453" t="s">
        <v>88</v>
      </c>
      <c r="F68" s="453" t="s">
        <v>88</v>
      </c>
      <c r="G68" s="453" t="s">
        <v>88</v>
      </c>
      <c r="H68" s="456" t="s">
        <v>88</v>
      </c>
      <c r="I68" s="454" t="s">
        <v>88</v>
      </c>
    </row>
    <row r="69" spans="1:9" ht="14.25" customHeight="1" x14ac:dyDescent="0.2">
      <c r="A69" s="468" t="s">
        <v>550</v>
      </c>
      <c r="B69" s="469">
        <f t="shared" ref="B69:I69" si="22">SUM(B64:B68)</f>
        <v>9.9662923611111107E-2</v>
      </c>
      <c r="C69" s="470">
        <f t="shared" si="22"/>
        <v>311.74993348374318</v>
      </c>
      <c r="D69" s="470">
        <f t="shared" si="22"/>
        <v>273.99842628616483</v>
      </c>
      <c r="E69" s="470">
        <f t="shared" si="22"/>
        <v>229.547873611488</v>
      </c>
      <c r="F69" s="470">
        <f t="shared" si="22"/>
        <v>201.2337448986861</v>
      </c>
      <c r="G69" s="470">
        <f t="shared" si="22"/>
        <v>146.38546728877685</v>
      </c>
      <c r="H69" s="470">
        <f t="shared" si="22"/>
        <v>308.4787311720815</v>
      </c>
      <c r="I69" s="471">
        <f t="shared" si="22"/>
        <v>309.11158394952395</v>
      </c>
    </row>
    <row r="70" spans="1:9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39" t="s">
        <v>504</v>
      </c>
      <c r="F70" s="439" t="s">
        <v>504</v>
      </c>
      <c r="G70" s="439" t="s">
        <v>504</v>
      </c>
      <c r="H70" s="439" t="s">
        <v>504</v>
      </c>
      <c r="I70" s="440" t="s">
        <v>504</v>
      </c>
    </row>
    <row r="71" spans="1:9" ht="14.25" customHeight="1" x14ac:dyDescent="0.2">
      <c r="A71" s="441" t="s">
        <v>552</v>
      </c>
      <c r="B71" s="442"/>
      <c r="C71" s="453" t="s">
        <v>88</v>
      </c>
      <c r="D71" s="453" t="s">
        <v>88</v>
      </c>
      <c r="E71" s="453" t="s">
        <v>88</v>
      </c>
      <c r="F71" s="453" t="s">
        <v>88</v>
      </c>
      <c r="G71" s="453" t="s">
        <v>88</v>
      </c>
      <c r="H71" s="456" t="s">
        <v>88</v>
      </c>
      <c r="I71" s="454" t="s">
        <v>88</v>
      </c>
    </row>
    <row r="72" spans="1:9" ht="14.25" customHeight="1" x14ac:dyDescent="0.2">
      <c r="A72" s="468" t="s">
        <v>550</v>
      </c>
      <c r="B72" s="469"/>
      <c r="C72" s="472" t="str">
        <f t="shared" ref="C72:I72" si="23">C71</f>
        <v>-</v>
      </c>
      <c r="D72" s="472" t="str">
        <f t="shared" si="23"/>
        <v>-</v>
      </c>
      <c r="E72" s="472" t="str">
        <f t="shared" si="23"/>
        <v>-</v>
      </c>
      <c r="F72" s="472" t="str">
        <f t="shared" si="23"/>
        <v>-</v>
      </c>
      <c r="G72" s="472" t="str">
        <f t="shared" si="23"/>
        <v>-</v>
      </c>
      <c r="H72" s="472" t="str">
        <f t="shared" si="23"/>
        <v>-</v>
      </c>
      <c r="I72" s="473" t="str">
        <f t="shared" si="23"/>
        <v>-</v>
      </c>
    </row>
    <row r="73" spans="1:9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39" t="s">
        <v>504</v>
      </c>
      <c r="F73" s="439" t="s">
        <v>504</v>
      </c>
      <c r="G73" s="439" t="s">
        <v>504</v>
      </c>
      <c r="H73" s="439" t="s">
        <v>504</v>
      </c>
      <c r="I73" s="440" t="s">
        <v>504</v>
      </c>
    </row>
    <row r="74" spans="1:9" ht="14.25" customHeight="1" x14ac:dyDescent="0.2">
      <c r="A74" s="441" t="s">
        <v>68</v>
      </c>
      <c r="B74" s="442">
        <f>120/30*MC!C62*MC!C63</f>
        <v>6.18624E-3</v>
      </c>
      <c r="C74" s="449">
        <f t="shared" ref="C74:I74" si="24">(((C19*2)+ (C19*1/3))+(C36)+(C44-C38-C39))*$B$74</f>
        <v>28.47909256494545</v>
      </c>
      <c r="D74" s="449">
        <f t="shared" si="24"/>
        <v>24.426098694981818</v>
      </c>
      <c r="E74" s="449">
        <f t="shared" si="24"/>
        <v>21.386183170909092</v>
      </c>
      <c r="F74" s="449">
        <f t="shared" si="24"/>
        <v>18.346391371636361</v>
      </c>
      <c r="G74" s="449">
        <f t="shared" si="24"/>
        <v>12.266498461090908</v>
      </c>
      <c r="H74" s="449">
        <f t="shared" si="24"/>
        <v>28.432845734400001</v>
      </c>
      <c r="I74" s="450">
        <f t="shared" si="24"/>
        <v>28.50349701180043</v>
      </c>
    </row>
    <row r="75" spans="1:9" ht="15.75" customHeight="1" x14ac:dyDescent="0.2">
      <c r="A75" s="468" t="s">
        <v>512</v>
      </c>
      <c r="B75" s="469"/>
      <c r="C75" s="472">
        <f t="shared" ref="C75:I75" si="25">C74</f>
        <v>28.47909256494545</v>
      </c>
      <c r="D75" s="472">
        <f t="shared" si="25"/>
        <v>24.426098694981818</v>
      </c>
      <c r="E75" s="472">
        <f t="shared" si="25"/>
        <v>21.386183170909092</v>
      </c>
      <c r="F75" s="472">
        <f t="shared" si="25"/>
        <v>18.346391371636361</v>
      </c>
      <c r="G75" s="472">
        <f t="shared" si="25"/>
        <v>12.266498461090908</v>
      </c>
      <c r="H75" s="472">
        <f t="shared" si="25"/>
        <v>28.432845734400001</v>
      </c>
      <c r="I75" s="473">
        <f t="shared" si="25"/>
        <v>28.50349701180043</v>
      </c>
    </row>
    <row r="76" spans="1:9" x14ac:dyDescent="0.2">
      <c r="A76" s="415" t="s">
        <v>553</v>
      </c>
      <c r="B76" s="416" t="s">
        <v>503</v>
      </c>
      <c r="C76" s="416" t="s">
        <v>504</v>
      </c>
      <c r="D76" s="416" t="s">
        <v>504</v>
      </c>
      <c r="E76" s="416" t="s">
        <v>504</v>
      </c>
      <c r="F76" s="416" t="s">
        <v>504</v>
      </c>
      <c r="G76" s="416" t="s">
        <v>504</v>
      </c>
      <c r="H76" s="416" t="s">
        <v>504</v>
      </c>
      <c r="I76" s="417" t="s">
        <v>504</v>
      </c>
    </row>
    <row r="77" spans="1:9" x14ac:dyDescent="0.2">
      <c r="A77" s="441" t="s">
        <v>45</v>
      </c>
      <c r="B77" s="458">
        <f t="shared" ref="B77:I77" si="26">B69</f>
        <v>9.9662923611111107E-2</v>
      </c>
      <c r="C77" s="459">
        <f t="shared" si="26"/>
        <v>311.74993348374318</v>
      </c>
      <c r="D77" s="459">
        <f t="shared" si="26"/>
        <v>273.99842628616483</v>
      </c>
      <c r="E77" s="459">
        <f t="shared" si="26"/>
        <v>229.547873611488</v>
      </c>
      <c r="F77" s="459">
        <f t="shared" si="26"/>
        <v>201.2337448986861</v>
      </c>
      <c r="G77" s="459">
        <f t="shared" si="26"/>
        <v>146.38546728877685</v>
      </c>
      <c r="H77" s="459">
        <f t="shared" si="26"/>
        <v>308.4787311720815</v>
      </c>
      <c r="I77" s="460">
        <f t="shared" si="26"/>
        <v>309.11158394952395</v>
      </c>
    </row>
    <row r="78" spans="1:9" ht="15.75" customHeight="1" x14ac:dyDescent="0.2">
      <c r="A78" s="441" t="s">
        <v>551</v>
      </c>
      <c r="B78" s="458">
        <f t="shared" ref="B78:I78" si="27">B72</f>
        <v>0</v>
      </c>
      <c r="C78" s="459" t="str">
        <f t="shared" si="27"/>
        <v>-</v>
      </c>
      <c r="D78" s="459" t="str">
        <f t="shared" si="27"/>
        <v>-</v>
      </c>
      <c r="E78" s="459" t="str">
        <f t="shared" si="27"/>
        <v>-</v>
      </c>
      <c r="F78" s="459" t="str">
        <f t="shared" si="27"/>
        <v>-</v>
      </c>
      <c r="G78" s="459" t="str">
        <f t="shared" si="27"/>
        <v>-</v>
      </c>
      <c r="H78" s="459" t="str">
        <f t="shared" si="27"/>
        <v>-</v>
      </c>
      <c r="I78" s="460" t="str">
        <f t="shared" si="27"/>
        <v>-</v>
      </c>
    </row>
    <row r="79" spans="1:9" ht="15.75" customHeight="1" x14ac:dyDescent="0.2">
      <c r="A79" s="441" t="s">
        <v>67</v>
      </c>
      <c r="B79" s="458">
        <f t="shared" ref="B79:I79" si="28">B74</f>
        <v>6.18624E-3</v>
      </c>
      <c r="C79" s="459">
        <f t="shared" si="28"/>
        <v>28.47909256494545</v>
      </c>
      <c r="D79" s="459">
        <f t="shared" si="28"/>
        <v>24.426098694981818</v>
      </c>
      <c r="E79" s="459">
        <f t="shared" si="28"/>
        <v>21.386183170909092</v>
      </c>
      <c r="F79" s="459">
        <f t="shared" si="28"/>
        <v>18.346391371636361</v>
      </c>
      <c r="G79" s="459">
        <f t="shared" si="28"/>
        <v>12.266498461090908</v>
      </c>
      <c r="H79" s="459">
        <f t="shared" si="28"/>
        <v>28.432845734400001</v>
      </c>
      <c r="I79" s="460">
        <f t="shared" si="28"/>
        <v>28.50349701180043</v>
      </c>
    </row>
    <row r="80" spans="1:9" ht="15.75" customHeight="1" x14ac:dyDescent="0.2">
      <c r="A80" s="429" t="s">
        <v>512</v>
      </c>
      <c r="B80" s="430"/>
      <c r="C80" s="444">
        <f t="shared" ref="C80:I80" si="29">SUM(C77:C79)</f>
        <v>340.22902604868864</v>
      </c>
      <c r="D80" s="444">
        <f t="shared" si="29"/>
        <v>298.42452498114665</v>
      </c>
      <c r="E80" s="444">
        <f t="shared" si="29"/>
        <v>250.93405678239708</v>
      </c>
      <c r="F80" s="444">
        <f t="shared" si="29"/>
        <v>219.58013627032247</v>
      </c>
      <c r="G80" s="444">
        <f t="shared" si="29"/>
        <v>158.65196574986777</v>
      </c>
      <c r="H80" s="444">
        <f t="shared" si="29"/>
        <v>336.91157690648151</v>
      </c>
      <c r="I80" s="445">
        <f t="shared" si="29"/>
        <v>337.6150809613244</v>
      </c>
    </row>
    <row r="81" spans="1:9" ht="15.75" customHeight="1" x14ac:dyDescent="0.2">
      <c r="A81" s="434"/>
      <c r="B81" s="435"/>
      <c r="C81" s="435"/>
      <c r="D81" s="435"/>
      <c r="E81" s="435"/>
      <c r="F81" s="435"/>
      <c r="G81" s="435"/>
      <c r="H81" s="436"/>
      <c r="I81" s="437"/>
    </row>
    <row r="82" spans="1:9" ht="15.75" customHeight="1" x14ac:dyDescent="0.2">
      <c r="A82" s="474" t="s">
        <v>554</v>
      </c>
      <c r="B82" s="475"/>
      <c r="C82" s="475"/>
      <c r="D82" s="475"/>
      <c r="E82" s="475"/>
      <c r="F82" s="475"/>
      <c r="G82" s="475"/>
      <c r="H82" s="475"/>
      <c r="I82" s="476"/>
    </row>
    <row r="83" spans="1:9" ht="15.75" customHeight="1" x14ac:dyDescent="0.2">
      <c r="A83" s="415" t="s">
        <v>555</v>
      </c>
      <c r="B83" s="416" t="s">
        <v>556</v>
      </c>
      <c r="C83" s="416" t="s">
        <v>504</v>
      </c>
      <c r="D83" s="416" t="s">
        <v>504</v>
      </c>
      <c r="E83" s="416" t="s">
        <v>504</v>
      </c>
      <c r="F83" s="416" t="s">
        <v>504</v>
      </c>
      <c r="G83" s="416" t="s">
        <v>504</v>
      </c>
      <c r="H83" s="416" t="s">
        <v>504</v>
      </c>
      <c r="I83" s="417" t="s">
        <v>504</v>
      </c>
    </row>
    <row r="84" spans="1:9" ht="15.75" customHeight="1" x14ac:dyDescent="0.2">
      <c r="A84" s="441" t="s">
        <v>557</v>
      </c>
      <c r="B84" s="477"/>
      <c r="C84" s="420">
        <f>Insumos!$J119</f>
        <v>34.030416666666667</v>
      </c>
      <c r="D84" s="420">
        <f>Insumos!$J119</f>
        <v>34.030416666666667</v>
      </c>
      <c r="E84" s="420">
        <f>Insumos!$J119</f>
        <v>34.030416666666667</v>
      </c>
      <c r="F84" s="420">
        <f>Insumos!$J119</f>
        <v>34.030416666666667</v>
      </c>
      <c r="G84" s="420">
        <f>Insumos!$J119</f>
        <v>34.030416666666667</v>
      </c>
      <c r="H84" s="420">
        <f>Insumos!$J119</f>
        <v>34.030416666666667</v>
      </c>
      <c r="I84" s="420">
        <f>Insumos!$J118</f>
        <v>27.875416666666666</v>
      </c>
    </row>
    <row r="85" spans="1:9" x14ac:dyDescent="0.2">
      <c r="A85" s="478" t="s">
        <v>558</v>
      </c>
      <c r="B85" s="477"/>
      <c r="C85" s="420">
        <f>Insumos!$G60</f>
        <v>461.23111666666665</v>
      </c>
      <c r="D85" s="420">
        <f>Insumos!$G60</f>
        <v>461.23111666666665</v>
      </c>
      <c r="E85" s="420">
        <f>Insumos!$G60</f>
        <v>461.23111666666665</v>
      </c>
      <c r="F85" s="420">
        <f>Insumos!$G60</f>
        <v>461.23111666666665</v>
      </c>
      <c r="G85" s="420">
        <f>Insumos!$G60</f>
        <v>461.23111666666665</v>
      </c>
      <c r="H85" s="424" t="s">
        <v>88</v>
      </c>
      <c r="I85" s="425" t="s">
        <v>88</v>
      </c>
    </row>
    <row r="86" spans="1:9" x14ac:dyDescent="0.2">
      <c r="A86" s="478" t="s">
        <v>559</v>
      </c>
      <c r="B86" s="479"/>
      <c r="C86" s="420">
        <f>Insumos!$J100</f>
        <v>21.663706730769231</v>
      </c>
      <c r="D86" s="420">
        <f>Insumos!$J100</f>
        <v>21.663706730769231</v>
      </c>
      <c r="E86" s="420">
        <f>Insumos!$J100</f>
        <v>21.663706730769231</v>
      </c>
      <c r="F86" s="420">
        <f>Insumos!$J100</f>
        <v>21.663706730769231</v>
      </c>
      <c r="G86" s="420">
        <f>Insumos!$J100</f>
        <v>21.663706730769231</v>
      </c>
      <c r="H86" s="424" t="s">
        <v>88</v>
      </c>
      <c r="I86" s="425" t="s">
        <v>88</v>
      </c>
    </row>
    <row r="87" spans="1:9" ht="15.75" customHeight="1" x14ac:dyDescent="0.2">
      <c r="A87" s="478" t="s">
        <v>560</v>
      </c>
      <c r="B87" s="477"/>
      <c r="C87" s="420">
        <f>Insumos!$I130</f>
        <v>36.666666666666671</v>
      </c>
      <c r="D87" s="420">
        <f>Insumos!$I130</f>
        <v>36.666666666666671</v>
      </c>
      <c r="E87" s="420">
        <f>Insumos!$H130</f>
        <v>25.446666666666665</v>
      </c>
      <c r="F87" s="420">
        <f>Insumos!$H130</f>
        <v>25.446666666666665</v>
      </c>
      <c r="G87" s="420">
        <f>Insumos!$H130</f>
        <v>25.446666666666665</v>
      </c>
      <c r="H87" s="424" t="s">
        <v>88</v>
      </c>
      <c r="I87" s="425" t="s">
        <v>88</v>
      </c>
    </row>
    <row r="88" spans="1:9" ht="15.75" customHeight="1" x14ac:dyDescent="0.2">
      <c r="A88" s="478" t="s">
        <v>561</v>
      </c>
      <c r="B88" s="442">
        <v>0.12</v>
      </c>
      <c r="C88" s="424" t="s">
        <v>88</v>
      </c>
      <c r="D88" s="424" t="s">
        <v>88</v>
      </c>
      <c r="E88" s="424" t="s">
        <v>88</v>
      </c>
      <c r="F88" s="424" t="s">
        <v>88</v>
      </c>
      <c r="G88" s="424" t="s">
        <v>88</v>
      </c>
      <c r="H88" s="421">
        <f>B88*(H123+H124+H84)</f>
        <v>362.38588333333331</v>
      </c>
      <c r="I88" s="425" t="s">
        <v>88</v>
      </c>
    </row>
    <row r="89" spans="1:9" ht="15.75" customHeight="1" x14ac:dyDescent="0.2">
      <c r="A89" s="480" t="s">
        <v>562</v>
      </c>
      <c r="B89" s="481"/>
      <c r="C89" s="482"/>
      <c r="D89" s="482"/>
      <c r="E89" s="482"/>
      <c r="F89" s="482"/>
      <c r="G89" s="482"/>
      <c r="H89" s="483"/>
      <c r="I89" s="484">
        <f>Insumos!H146</f>
        <v>50.323333333333331</v>
      </c>
    </row>
    <row r="90" spans="1:9" ht="15.75" customHeight="1" x14ac:dyDescent="0.2">
      <c r="A90" s="478" t="s">
        <v>563</v>
      </c>
      <c r="B90" s="442"/>
      <c r="C90" s="424"/>
      <c r="D90" s="424"/>
      <c r="E90" s="424"/>
      <c r="F90" s="424"/>
      <c r="G90" s="424"/>
      <c r="H90" s="421"/>
      <c r="I90" s="425"/>
    </row>
    <row r="91" spans="1:9" ht="15.75" customHeight="1" x14ac:dyDescent="0.2">
      <c r="A91" s="468" t="s">
        <v>512</v>
      </c>
      <c r="B91" s="485"/>
      <c r="C91" s="470">
        <f t="shared" ref="C91:I91" si="30">SUM(C84:C90)</f>
        <v>553.59190673076921</v>
      </c>
      <c r="D91" s="470">
        <f t="shared" si="30"/>
        <v>553.59190673076921</v>
      </c>
      <c r="E91" s="470">
        <f t="shared" si="30"/>
        <v>542.3719067307693</v>
      </c>
      <c r="F91" s="470">
        <f t="shared" si="30"/>
        <v>542.3719067307693</v>
      </c>
      <c r="G91" s="470">
        <f t="shared" si="30"/>
        <v>542.3719067307693</v>
      </c>
      <c r="H91" s="470">
        <f t="shared" si="30"/>
        <v>396.41629999999998</v>
      </c>
      <c r="I91" s="470">
        <f t="shared" si="30"/>
        <v>78.19874999999999</v>
      </c>
    </row>
    <row r="92" spans="1:9" ht="15.75" customHeight="1" x14ac:dyDescent="0.2">
      <c r="A92" s="754"/>
      <c r="B92" s="754"/>
      <c r="C92" s="486"/>
      <c r="D92" s="486"/>
      <c r="E92" s="486"/>
      <c r="F92" s="486"/>
      <c r="G92" s="486"/>
      <c r="H92" s="487"/>
      <c r="I92" s="488"/>
    </row>
    <row r="93" spans="1:9" ht="15.75" customHeight="1" x14ac:dyDescent="0.2">
      <c r="A93" s="474" t="s">
        <v>564</v>
      </c>
      <c r="B93" s="475"/>
      <c r="C93" s="475"/>
      <c r="D93" s="475"/>
      <c r="E93" s="475"/>
      <c r="F93" s="475"/>
      <c r="G93" s="475"/>
      <c r="H93" s="475"/>
      <c r="I93" s="476"/>
    </row>
    <row r="94" spans="1:9" ht="15.75" customHeight="1" x14ac:dyDescent="0.2">
      <c r="A94" s="415" t="s">
        <v>565</v>
      </c>
      <c r="B94" s="416" t="s">
        <v>503</v>
      </c>
      <c r="C94" s="416" t="s">
        <v>504</v>
      </c>
      <c r="D94" s="416" t="s">
        <v>504</v>
      </c>
      <c r="E94" s="416" t="s">
        <v>504</v>
      </c>
      <c r="F94" s="416" t="s">
        <v>504</v>
      </c>
      <c r="G94" s="416" t="s">
        <v>504</v>
      </c>
      <c r="H94" s="416" t="s">
        <v>504</v>
      </c>
      <c r="I94" s="417" t="s">
        <v>504</v>
      </c>
    </row>
    <row r="95" spans="1:9" ht="15.75" customHeight="1" x14ac:dyDescent="0.2">
      <c r="A95" s="418" t="s">
        <v>73</v>
      </c>
      <c r="B95" s="442">
        <f>MC!C66</f>
        <v>0.03</v>
      </c>
      <c r="C95" s="449">
        <f t="shared" ref="C95:I95" si="31">(C$19+C$49+C$60+C$80+C$91)*$B$95</f>
        <v>120.65592488338372</v>
      </c>
      <c r="D95" s="449">
        <f t="shared" si="31"/>
        <v>108.03803315135745</v>
      </c>
      <c r="E95" s="449">
        <f t="shared" si="31"/>
        <v>92.896451580394995</v>
      </c>
      <c r="F95" s="449">
        <f t="shared" si="31"/>
        <v>83.43286644003274</v>
      </c>
      <c r="G95" s="449">
        <f t="shared" si="31"/>
        <v>65.09488627441911</v>
      </c>
      <c r="H95" s="449">
        <f t="shared" si="31"/>
        <v>114.85645339052778</v>
      </c>
      <c r="I95" s="450">
        <f t="shared" si="31"/>
        <v>105.52152996903972</v>
      </c>
    </row>
    <row r="96" spans="1:9" x14ac:dyDescent="0.2">
      <c r="A96" s="418" t="s">
        <v>74</v>
      </c>
      <c r="B96" s="442">
        <f>MC!C67</f>
        <v>6.7900000000000002E-2</v>
      </c>
      <c r="C96" s="449">
        <f t="shared" ref="C96:I96" si="32">(C$19+C$49+C$60+C$80+C$91+C95)*$B$96</f>
        <v>281.27711395230693</v>
      </c>
      <c r="D96" s="449">
        <f t="shared" si="32"/>
        <v>251.86186415021623</v>
      </c>
      <c r="E96" s="449">
        <f t="shared" si="32"/>
        <v>216.56330447260285</v>
      </c>
      <c r="F96" s="449">
        <f t="shared" si="32"/>
        <v>194.50147934055235</v>
      </c>
      <c r="G96" s="449">
        <f t="shared" si="32"/>
        <v>151.75136871246829</v>
      </c>
      <c r="H96" s="449">
        <f t="shared" si="32"/>
        <v>267.75719269244473</v>
      </c>
      <c r="I96" s="450">
        <f t="shared" si="32"/>
        <v>245.99530804815774</v>
      </c>
    </row>
    <row r="97" spans="1:10" x14ac:dyDescent="0.2">
      <c r="A97" s="489" t="s">
        <v>566</v>
      </c>
      <c r="B97" s="490">
        <f>B98+B99</f>
        <v>0.1125</v>
      </c>
      <c r="C97" s="491">
        <f t="shared" ref="C97:I97" si="33">((C19+C49+C60+C80+C91+C95+C96)/(1-($B$97)))*$B$97</f>
        <v>560.76302555684981</v>
      </c>
      <c r="D97" s="491">
        <f t="shared" si="33"/>
        <v>502.11984536790709</v>
      </c>
      <c r="E97" s="491">
        <f t="shared" si="33"/>
        <v>431.74751096613358</v>
      </c>
      <c r="F97" s="491">
        <f t="shared" si="33"/>
        <v>387.76435273288865</v>
      </c>
      <c r="G97" s="491">
        <f t="shared" si="33"/>
        <v>302.53636869306644</v>
      </c>
      <c r="H97" s="491">
        <f t="shared" si="33"/>
        <v>533.80927932260693</v>
      </c>
      <c r="I97" s="492">
        <f t="shared" si="33"/>
        <v>490.42409201220704</v>
      </c>
    </row>
    <row r="98" spans="1:10" x14ac:dyDescent="0.2">
      <c r="A98" s="418" t="s">
        <v>567</v>
      </c>
      <c r="B98" s="442">
        <f>0.0165+0.076</f>
        <v>9.2499999999999999E-2</v>
      </c>
      <c r="C98" s="493">
        <f t="shared" ref="C98:I98" si="34">((C$19+C$49+C$60+C$80+C$91+C$95+C$96)/(1-($B$97)))*$B$98</f>
        <v>461.07182101340982</v>
      </c>
      <c r="D98" s="493">
        <f t="shared" si="34"/>
        <v>412.85409508027914</v>
      </c>
      <c r="E98" s="493">
        <f t="shared" si="34"/>
        <v>354.99239790548756</v>
      </c>
      <c r="F98" s="493">
        <f t="shared" si="34"/>
        <v>318.82846780259734</v>
      </c>
      <c r="G98" s="493">
        <f t="shared" si="34"/>
        <v>248.75212536985464</v>
      </c>
      <c r="H98" s="493">
        <f t="shared" si="34"/>
        <v>438.90985188747675</v>
      </c>
      <c r="I98" s="494">
        <f t="shared" si="34"/>
        <v>403.23758676559243</v>
      </c>
    </row>
    <row r="99" spans="1:10" x14ac:dyDescent="0.2">
      <c r="A99" s="418" t="s">
        <v>568</v>
      </c>
      <c r="B99" s="442">
        <v>0.02</v>
      </c>
      <c r="C99" s="495">
        <f t="shared" ref="C99:I99" si="35">((C$19+C$49+C$60+C$80+C$91+C$95+C$96)/(1-($B$97)))*$B$99</f>
        <v>99.691204543439966</v>
      </c>
      <c r="D99" s="495">
        <f t="shared" si="35"/>
        <v>89.265750287627924</v>
      </c>
      <c r="E99" s="495">
        <f t="shared" si="35"/>
        <v>76.755113060645968</v>
      </c>
      <c r="F99" s="495">
        <f t="shared" si="35"/>
        <v>68.935884930291309</v>
      </c>
      <c r="G99" s="495">
        <f t="shared" si="35"/>
        <v>53.784243323211811</v>
      </c>
      <c r="H99" s="495">
        <f t="shared" si="35"/>
        <v>94.899427435130107</v>
      </c>
      <c r="I99" s="496">
        <f t="shared" si="35"/>
        <v>87.186505246614587</v>
      </c>
    </row>
    <row r="100" spans="1:10" x14ac:dyDescent="0.2">
      <c r="A100" s="489" t="s">
        <v>569</v>
      </c>
      <c r="B100" s="490">
        <f>B101+B102</f>
        <v>0.11749999999999999</v>
      </c>
      <c r="C100" s="491">
        <f t="shared" ref="C100:I100" si="36">((C19+C49+C60+C80+C91+C95+C96)/(1-($B$100)))*$B$100</f>
        <v>589.00415998841902</v>
      </c>
      <c r="D100" s="491">
        <f t="shared" si="36"/>
        <v>527.40759332474215</v>
      </c>
      <c r="E100" s="491">
        <f t="shared" si="36"/>
        <v>453.49116905696803</v>
      </c>
      <c r="F100" s="491">
        <f t="shared" si="36"/>
        <v>407.29293203325437</v>
      </c>
      <c r="G100" s="491">
        <f t="shared" si="36"/>
        <v>317.77269824638421</v>
      </c>
      <c r="H100" s="491">
        <f t="shared" si="36"/>
        <v>560.69296981414504</v>
      </c>
      <c r="I100" s="492">
        <f t="shared" si="36"/>
        <v>515.12281871096457</v>
      </c>
    </row>
    <row r="101" spans="1:10" x14ac:dyDescent="0.2">
      <c r="A101" s="418" t="s">
        <v>567</v>
      </c>
      <c r="B101" s="442">
        <f>0.0165+0.076</f>
        <v>9.2499999999999999E-2</v>
      </c>
      <c r="C101" s="493">
        <f t="shared" ref="C101:I101" si="37">((C19+C49+C60+C80+C91+C95+C96)/(1-($B$100)))*$B$101</f>
        <v>463.68412594832995</v>
      </c>
      <c r="D101" s="493">
        <f t="shared" si="37"/>
        <v>415.19321176628642</v>
      </c>
      <c r="E101" s="493">
        <f t="shared" si="37"/>
        <v>357.00368627888975</v>
      </c>
      <c r="F101" s="493">
        <f t="shared" si="37"/>
        <v>320.63486138788113</v>
      </c>
      <c r="G101" s="493">
        <f t="shared" si="37"/>
        <v>250.16148585353653</v>
      </c>
      <c r="H101" s="493">
        <f t="shared" si="37"/>
        <v>441.39659325794401</v>
      </c>
      <c r="I101" s="494">
        <f t="shared" si="37"/>
        <v>405.52221898522748</v>
      </c>
    </row>
    <row r="102" spans="1:10" x14ac:dyDescent="0.2">
      <c r="A102" s="418" t="s">
        <v>568</v>
      </c>
      <c r="B102" s="442">
        <v>2.5000000000000001E-2</v>
      </c>
      <c r="C102" s="495">
        <f t="shared" ref="C102:I102" si="38">((C$19+C$49+C$60+C$80+C$91+C$95+C$96)/(1-($B$100)))*$B$102</f>
        <v>125.32003404008918</v>
      </c>
      <c r="D102" s="495">
        <f t="shared" si="38"/>
        <v>112.21438155845578</v>
      </c>
      <c r="E102" s="495">
        <f t="shared" si="38"/>
        <v>96.487482778078316</v>
      </c>
      <c r="F102" s="495">
        <f t="shared" si="38"/>
        <v>86.658070645373286</v>
      </c>
      <c r="G102" s="495">
        <f t="shared" si="38"/>
        <v>67.611212392847719</v>
      </c>
      <c r="H102" s="495">
        <f t="shared" si="38"/>
        <v>119.2963765562011</v>
      </c>
      <c r="I102" s="496">
        <f t="shared" si="38"/>
        <v>109.60059972573715</v>
      </c>
    </row>
    <row r="103" spans="1:10" x14ac:dyDescent="0.2">
      <c r="A103" s="489" t="s">
        <v>570</v>
      </c>
      <c r="B103" s="490">
        <f>B104+B105</f>
        <v>0.1225</v>
      </c>
      <c r="C103" s="491">
        <f t="shared" ref="C103:I103" si="39">((C19+C49+C60+C80+C91+C95+C96)/(1-($B$103)))*$B$103</f>
        <v>617.56713070980697</v>
      </c>
      <c r="D103" s="491">
        <f t="shared" si="39"/>
        <v>552.9835207454729</v>
      </c>
      <c r="E103" s="491">
        <f t="shared" si="39"/>
        <v>475.4826181231968</v>
      </c>
      <c r="F103" s="491">
        <f t="shared" si="39"/>
        <v>427.04405924587513</v>
      </c>
      <c r="G103" s="491">
        <f t="shared" si="39"/>
        <v>333.18266118492505</v>
      </c>
      <c r="H103" s="491">
        <f t="shared" si="39"/>
        <v>587.88302714889187</v>
      </c>
      <c r="I103" s="492">
        <f t="shared" si="39"/>
        <v>540.10301238064847</v>
      </c>
    </row>
    <row r="104" spans="1:10" x14ac:dyDescent="0.2">
      <c r="A104" s="418" t="s">
        <v>567</v>
      </c>
      <c r="B104" s="442">
        <f>0.0165+0.076</f>
        <v>9.2499999999999999E-2</v>
      </c>
      <c r="C104" s="493">
        <f t="shared" ref="C104:I104" si="40">((C19+C49+C60+C80+C91+C95+C96)/(1-($B$103)))*$B$104</f>
        <v>466.32620074005837</v>
      </c>
      <c r="D104" s="493">
        <f t="shared" si="40"/>
        <v>417.55898505270403</v>
      </c>
      <c r="E104" s="493">
        <f t="shared" si="40"/>
        <v>359.03789531751596</v>
      </c>
      <c r="F104" s="493">
        <f t="shared" si="40"/>
        <v>322.4618406550486</v>
      </c>
      <c r="G104" s="493">
        <f t="shared" si="40"/>
        <v>251.58690742535157</v>
      </c>
      <c r="H104" s="493">
        <f t="shared" si="40"/>
        <v>443.91167356140818</v>
      </c>
      <c r="I104" s="494">
        <f t="shared" si="40"/>
        <v>407.83288689967333</v>
      </c>
    </row>
    <row r="105" spans="1:10" x14ac:dyDescent="0.2">
      <c r="A105" s="418" t="s">
        <v>568</v>
      </c>
      <c r="B105" s="442">
        <v>0.03</v>
      </c>
      <c r="C105" s="495">
        <f t="shared" ref="C105:I105" si="41">((C19+C49+C60+C80+C91+C95+C96)/(1-($B$103)))*$B$105</f>
        <v>151.24092996974866</v>
      </c>
      <c r="D105" s="495">
        <f t="shared" si="41"/>
        <v>135.42453569276887</v>
      </c>
      <c r="E105" s="495">
        <f t="shared" si="41"/>
        <v>116.44472280568084</v>
      </c>
      <c r="F105" s="495">
        <f t="shared" si="41"/>
        <v>104.58221859082657</v>
      </c>
      <c r="G105" s="495">
        <f t="shared" si="41"/>
        <v>81.595753759573483</v>
      </c>
      <c r="H105" s="495">
        <f t="shared" si="41"/>
        <v>143.97135358748372</v>
      </c>
      <c r="I105" s="496">
        <f t="shared" si="41"/>
        <v>132.27012548097514</v>
      </c>
      <c r="J105" s="497"/>
    </row>
    <row r="106" spans="1:10" x14ac:dyDescent="0.2">
      <c r="A106" s="489" t="s">
        <v>571</v>
      </c>
      <c r="B106" s="490">
        <f>B107+B108</f>
        <v>0.13250000000000001</v>
      </c>
      <c r="C106" s="491">
        <f t="shared" ref="C106:I106" si="42">((C19+C49+C60+C80+C91+C95+C96)/(1-($B$106)))*$B$106</f>
        <v>675.68084059251544</v>
      </c>
      <c r="D106" s="491">
        <f t="shared" si="42"/>
        <v>605.01984569946671</v>
      </c>
      <c r="E106" s="491">
        <f t="shared" si="42"/>
        <v>520.22602746255541</v>
      </c>
      <c r="F106" s="491">
        <f t="shared" si="42"/>
        <v>467.22934977068849</v>
      </c>
      <c r="G106" s="491">
        <f t="shared" si="42"/>
        <v>364.53549644316655</v>
      </c>
      <c r="H106" s="491">
        <f t="shared" si="42"/>
        <v>643.20343198558112</v>
      </c>
      <c r="I106" s="492">
        <f t="shared" si="42"/>
        <v>590.92726808899624</v>
      </c>
    </row>
    <row r="107" spans="1:10" x14ac:dyDescent="0.2">
      <c r="A107" s="418" t="s">
        <v>567</v>
      </c>
      <c r="B107" s="442">
        <f>0.0165+0.076</f>
        <v>9.2499999999999999E-2</v>
      </c>
      <c r="C107" s="493">
        <f t="shared" ref="C107:I107" si="43">((C19+C49+C60+C80+C91+C95+C96)/(1-($B$106)))*$B$107</f>
        <v>471.70171890420892</v>
      </c>
      <c r="D107" s="493">
        <f t="shared" si="43"/>
        <v>422.3723451109484</v>
      </c>
      <c r="E107" s="493">
        <f t="shared" si="43"/>
        <v>363.17666068140659</v>
      </c>
      <c r="F107" s="493">
        <f t="shared" si="43"/>
        <v>326.1789800285938</v>
      </c>
      <c r="G107" s="493">
        <f t="shared" si="43"/>
        <v>254.48704468673893</v>
      </c>
      <c r="H107" s="493">
        <f t="shared" si="43"/>
        <v>449.02881100880188</v>
      </c>
      <c r="I107" s="494">
        <f t="shared" si="43"/>
        <v>412.53413055269544</v>
      </c>
    </row>
    <row r="108" spans="1:10" x14ac:dyDescent="0.2">
      <c r="A108" s="418" t="s">
        <v>568</v>
      </c>
      <c r="B108" s="442">
        <v>0.04</v>
      </c>
      <c r="C108" s="495">
        <f t="shared" ref="C108:I108" si="44">((C19+C49+C60+C80+C91+C95+C96)/(1-($B$106)))*$B$108</f>
        <v>203.97912168830655</v>
      </c>
      <c r="D108" s="495">
        <f t="shared" si="44"/>
        <v>182.64750058851823</v>
      </c>
      <c r="E108" s="495">
        <f t="shared" si="44"/>
        <v>157.04936678114879</v>
      </c>
      <c r="F108" s="495">
        <f t="shared" si="44"/>
        <v>141.05036974209463</v>
      </c>
      <c r="G108" s="495">
        <f t="shared" si="44"/>
        <v>110.04845175642764</v>
      </c>
      <c r="H108" s="495">
        <f t="shared" si="44"/>
        <v>194.17462097677918</v>
      </c>
      <c r="I108" s="496">
        <f t="shared" si="44"/>
        <v>178.39313753630074</v>
      </c>
    </row>
    <row r="109" spans="1:10" x14ac:dyDescent="0.2">
      <c r="A109" s="489" t="s">
        <v>572</v>
      </c>
      <c r="B109" s="490">
        <f>B110+B111</f>
        <v>0.14250000000000002</v>
      </c>
      <c r="C109" s="491">
        <f t="shared" ref="C109:I109" si="45">((C19+C49+C60+C80+C91+C95+C96)/(1-($B$109)))*$B$109</f>
        <v>735.14997228006848</v>
      </c>
      <c r="D109" s="491">
        <f t="shared" si="45"/>
        <v>658.26984587104641</v>
      </c>
      <c r="E109" s="491">
        <f t="shared" si="45"/>
        <v>566.01301486230727</v>
      </c>
      <c r="F109" s="491">
        <f t="shared" si="45"/>
        <v>508.35190654680935</v>
      </c>
      <c r="G109" s="491">
        <f t="shared" si="45"/>
        <v>396.61959316515714</v>
      </c>
      <c r="H109" s="491">
        <f t="shared" si="45"/>
        <v>699.81410865519615</v>
      </c>
      <c r="I109" s="492">
        <f t="shared" si="45"/>
        <v>642.93692917829685</v>
      </c>
    </row>
    <row r="110" spans="1:10" x14ac:dyDescent="0.2">
      <c r="A110" s="418" t="s">
        <v>567</v>
      </c>
      <c r="B110" s="442">
        <f>0.0165+0.076</f>
        <v>9.2499999999999999E-2</v>
      </c>
      <c r="C110" s="498">
        <f t="shared" ref="C110:I110" si="46">((C19+C49+C60+C80+C91+C95+C96)/(1-($B$109)))*$B$110</f>
        <v>477.20261358530757</v>
      </c>
      <c r="D110" s="498">
        <f t="shared" si="46"/>
        <v>427.29797012681956</v>
      </c>
      <c r="E110" s="498">
        <f t="shared" si="46"/>
        <v>367.41195701588367</v>
      </c>
      <c r="F110" s="498">
        <f t="shared" si="46"/>
        <v>329.98281653038498</v>
      </c>
      <c r="G110" s="498">
        <f t="shared" si="46"/>
        <v>257.45482363352306</v>
      </c>
      <c r="H110" s="498">
        <f t="shared" si="46"/>
        <v>454.26529860074135</v>
      </c>
      <c r="I110" s="499">
        <f t="shared" si="46"/>
        <v>417.34502420345575</v>
      </c>
    </row>
    <row r="111" spans="1:10" x14ac:dyDescent="0.2">
      <c r="A111" s="418" t="s">
        <v>568</v>
      </c>
      <c r="B111" s="500">
        <v>0.05</v>
      </c>
      <c r="C111" s="501">
        <f t="shared" ref="C111:I111" si="47">((C19+C49+C60+C80+C91+C95+C96)/(1-($B$109)))*$B$111</f>
        <v>257.94735869476085</v>
      </c>
      <c r="D111" s="501">
        <f t="shared" si="47"/>
        <v>230.97187574422679</v>
      </c>
      <c r="E111" s="501">
        <f t="shared" si="47"/>
        <v>198.6010578464236</v>
      </c>
      <c r="F111" s="501">
        <f t="shared" si="47"/>
        <v>178.36909001642434</v>
      </c>
      <c r="G111" s="501">
        <f t="shared" si="47"/>
        <v>139.16476953163408</v>
      </c>
      <c r="H111" s="501">
        <f t="shared" si="47"/>
        <v>245.54881005445478</v>
      </c>
      <c r="I111" s="502">
        <f t="shared" si="47"/>
        <v>225.59190497484099</v>
      </c>
    </row>
    <row r="112" spans="1:10" x14ac:dyDescent="0.2">
      <c r="A112" s="756" t="s">
        <v>573</v>
      </c>
      <c r="B112" s="503">
        <v>0.02</v>
      </c>
      <c r="C112" s="504">
        <f t="shared" ref="C112:I112" si="48">C95+C96+C97</f>
        <v>962.69606439254039</v>
      </c>
      <c r="D112" s="504">
        <f t="shared" si="48"/>
        <v>862.01974266948082</v>
      </c>
      <c r="E112" s="504">
        <f t="shared" si="48"/>
        <v>741.20726701913145</v>
      </c>
      <c r="F112" s="504">
        <f t="shared" si="48"/>
        <v>665.6986985134738</v>
      </c>
      <c r="G112" s="504">
        <f t="shared" si="48"/>
        <v>519.38262367995389</v>
      </c>
      <c r="H112" s="504">
        <f t="shared" si="48"/>
        <v>916.42292540557946</v>
      </c>
      <c r="I112" s="505">
        <f t="shared" si="48"/>
        <v>841.94093002940451</v>
      </c>
    </row>
    <row r="113" spans="1:10" x14ac:dyDescent="0.2">
      <c r="A113" s="756"/>
      <c r="B113" s="506">
        <v>2.5000000000000001E-2</v>
      </c>
      <c r="C113" s="507">
        <f t="shared" ref="C113:I113" si="49">C95+C96+C100</f>
        <v>990.9371988241096</v>
      </c>
      <c r="D113" s="507">
        <f t="shared" si="49"/>
        <v>887.30749062631583</v>
      </c>
      <c r="E113" s="507">
        <f t="shared" si="49"/>
        <v>762.95092510996585</v>
      </c>
      <c r="F113" s="507">
        <f t="shared" si="49"/>
        <v>685.22727781383946</v>
      </c>
      <c r="G113" s="507">
        <f t="shared" si="49"/>
        <v>534.61895323327167</v>
      </c>
      <c r="H113" s="507">
        <f t="shared" si="49"/>
        <v>943.30661589711758</v>
      </c>
      <c r="I113" s="508">
        <f t="shared" si="49"/>
        <v>866.63965672816198</v>
      </c>
    </row>
    <row r="114" spans="1:10" ht="15.75" customHeight="1" x14ac:dyDescent="0.2">
      <c r="A114" s="756"/>
      <c r="B114" s="506">
        <v>0.03</v>
      </c>
      <c r="C114" s="507">
        <f t="shared" ref="C114:I114" si="50">C95+C96+C103</f>
        <v>1019.5001695454976</v>
      </c>
      <c r="D114" s="507">
        <f t="shared" si="50"/>
        <v>912.88341804704658</v>
      </c>
      <c r="E114" s="507">
        <f t="shared" si="50"/>
        <v>784.94237417619456</v>
      </c>
      <c r="F114" s="507">
        <f t="shared" si="50"/>
        <v>704.97840502646022</v>
      </c>
      <c r="G114" s="507">
        <f t="shared" si="50"/>
        <v>550.0289161718124</v>
      </c>
      <c r="H114" s="507">
        <f t="shared" si="50"/>
        <v>970.49667323186441</v>
      </c>
      <c r="I114" s="508">
        <f t="shared" si="50"/>
        <v>891.61985039784599</v>
      </c>
      <c r="J114" s="497"/>
    </row>
    <row r="115" spans="1:10" ht="15.75" customHeight="1" x14ac:dyDescent="0.2">
      <c r="A115" s="756"/>
      <c r="B115" s="506">
        <v>0.04</v>
      </c>
      <c r="C115" s="507">
        <f t="shared" ref="C115:I115" si="51">C95+C96+C106</f>
        <v>1077.613879428206</v>
      </c>
      <c r="D115" s="507">
        <f t="shared" si="51"/>
        <v>964.91974300104039</v>
      </c>
      <c r="E115" s="507">
        <f t="shared" si="51"/>
        <v>829.68578351555323</v>
      </c>
      <c r="F115" s="507">
        <f t="shared" si="51"/>
        <v>745.16369555127358</v>
      </c>
      <c r="G115" s="507">
        <f t="shared" si="51"/>
        <v>581.38175143005401</v>
      </c>
      <c r="H115" s="507">
        <f t="shared" si="51"/>
        <v>1025.8170780685537</v>
      </c>
      <c r="I115" s="508">
        <f t="shared" si="51"/>
        <v>942.44410610619366</v>
      </c>
    </row>
    <row r="116" spans="1:10" ht="15.75" customHeight="1" x14ac:dyDescent="0.2">
      <c r="A116" s="756"/>
      <c r="B116" s="509">
        <v>0.05</v>
      </c>
      <c r="C116" s="510">
        <f t="shared" ref="C116:I116" si="52">C95+C96+C109</f>
        <v>1137.0830111157591</v>
      </c>
      <c r="D116" s="510">
        <f t="shared" si="52"/>
        <v>1018.1697431726201</v>
      </c>
      <c r="E116" s="510">
        <f t="shared" si="52"/>
        <v>875.47277091530509</v>
      </c>
      <c r="F116" s="510">
        <f t="shared" si="52"/>
        <v>786.28625232739444</v>
      </c>
      <c r="G116" s="510">
        <f t="shared" si="52"/>
        <v>613.4658481520446</v>
      </c>
      <c r="H116" s="510">
        <f t="shared" si="52"/>
        <v>1082.4277547381687</v>
      </c>
      <c r="I116" s="511">
        <f t="shared" si="52"/>
        <v>994.45376719549427</v>
      </c>
    </row>
    <row r="117" spans="1:10" ht="15.75" customHeight="1" x14ac:dyDescent="0.2">
      <c r="A117" s="418" t="s">
        <v>574</v>
      </c>
      <c r="B117" s="512"/>
      <c r="C117" s="513"/>
      <c r="D117" s="513"/>
      <c r="E117" s="513"/>
      <c r="F117" s="513"/>
      <c r="G117" s="513"/>
      <c r="H117" s="514"/>
      <c r="I117" s="515"/>
    </row>
    <row r="118" spans="1:10" ht="24.75" customHeight="1" x14ac:dyDescent="0.2">
      <c r="A118" s="516"/>
      <c r="B118" s="517"/>
      <c r="C118" s="518"/>
      <c r="D118" s="518"/>
      <c r="E118" s="518"/>
      <c r="F118" s="518"/>
      <c r="G118" s="518"/>
      <c r="H118" s="519"/>
      <c r="I118" s="520"/>
    </row>
    <row r="119" spans="1:10" ht="15.75" customHeight="1" x14ac:dyDescent="0.2">
      <c r="A119" s="757"/>
      <c r="B119" s="757"/>
      <c r="C119" s="757"/>
      <c r="D119" s="757"/>
      <c r="E119" s="757"/>
      <c r="F119" s="757"/>
      <c r="G119" s="757"/>
      <c r="H119" s="757"/>
      <c r="I119" s="757"/>
    </row>
    <row r="120" spans="1:10" ht="15.75" customHeight="1" x14ac:dyDescent="0.2">
      <c r="A120" s="758"/>
      <c r="B120" s="758"/>
      <c r="C120" s="758"/>
      <c r="D120" s="758"/>
      <c r="E120" s="758"/>
      <c r="F120" s="758"/>
      <c r="G120" s="758"/>
      <c r="H120" s="758"/>
      <c r="I120" s="758"/>
    </row>
    <row r="121" spans="1:10" ht="54.75" customHeight="1" x14ac:dyDescent="0.2">
      <c r="A121" s="759" t="s">
        <v>575</v>
      </c>
      <c r="B121" s="759"/>
      <c r="C121" s="521" t="str">
        <f t="shared" ref="C121:I121" si="53">C10</f>
        <v>Servente 40h (banheirista)
(insalubridade 40%)</v>
      </c>
      <c r="D121" s="521" t="str">
        <f t="shared" si="53"/>
        <v>Servente 40h
(insalubridade 20%)</v>
      </c>
      <c r="E121" s="521" t="str">
        <f t="shared" si="53"/>
        <v>Servente 30h (banheirista)
(insalubridade 40%)</v>
      </c>
      <c r="F121" s="521" t="str">
        <f t="shared" si="53"/>
        <v>Servente 30h
(insalubridade 20%)</v>
      </c>
      <c r="G121" s="521" t="str">
        <f t="shared" si="53"/>
        <v>Servente 20h
(insalubridade 20%)</v>
      </c>
      <c r="H121" s="522" t="str">
        <f t="shared" si="53"/>
        <v>Limpador alpinista 44h (limpeza de esquadrias com risco)</v>
      </c>
      <c r="I121" s="523" t="str">
        <f t="shared" si="53"/>
        <v>Encarregada 40h</v>
      </c>
    </row>
    <row r="122" spans="1:10" ht="15.75" customHeight="1" x14ac:dyDescent="0.2">
      <c r="A122" s="760" t="s">
        <v>576</v>
      </c>
      <c r="B122" s="760"/>
      <c r="C122" s="524" t="s">
        <v>504</v>
      </c>
      <c r="D122" s="524" t="s">
        <v>504</v>
      </c>
      <c r="E122" s="524" t="s">
        <v>504</v>
      </c>
      <c r="F122" s="524" t="s">
        <v>504</v>
      </c>
      <c r="G122" s="524" t="s">
        <v>504</v>
      </c>
      <c r="H122" s="524" t="s">
        <v>504</v>
      </c>
      <c r="I122" s="525" t="s">
        <v>504</v>
      </c>
    </row>
    <row r="123" spans="1:10" ht="14.25" customHeight="1" x14ac:dyDescent="0.2">
      <c r="A123" s="761" t="s">
        <v>577</v>
      </c>
      <c r="B123" s="761"/>
      <c r="C123" s="526">
        <f t="shared" ref="C123:I123" si="54">C19</f>
        <v>1672.4781818181816</v>
      </c>
      <c r="D123" s="526">
        <f t="shared" si="54"/>
        <v>1433.5527272727272</v>
      </c>
      <c r="E123" s="526">
        <f t="shared" si="54"/>
        <v>1254.3586363636364</v>
      </c>
      <c r="F123" s="526">
        <f t="shared" si="54"/>
        <v>1075.1645454545453</v>
      </c>
      <c r="G123" s="526">
        <f t="shared" si="54"/>
        <v>716.77636363636361</v>
      </c>
      <c r="H123" s="526">
        <f t="shared" si="54"/>
        <v>1669.75</v>
      </c>
      <c r="I123" s="527">
        <f t="shared" si="54"/>
        <v>1673.9117345454545</v>
      </c>
    </row>
    <row r="124" spans="1:10" ht="14.25" customHeight="1" x14ac:dyDescent="0.2">
      <c r="A124" s="762" t="s">
        <v>578</v>
      </c>
      <c r="B124" s="762"/>
      <c r="C124" s="528">
        <f t="shared" ref="C124:I124" si="55">C49</f>
        <v>1346.0177272727271</v>
      </c>
      <c r="D124" s="528">
        <f t="shared" si="55"/>
        <v>1221.800909090909</v>
      </c>
      <c r="E124" s="528">
        <f t="shared" si="55"/>
        <v>966.72329545454545</v>
      </c>
      <c r="F124" s="528">
        <f t="shared" si="55"/>
        <v>873.55568181818171</v>
      </c>
      <c r="G124" s="528">
        <f t="shared" si="55"/>
        <v>705.08045454545459</v>
      </c>
      <c r="H124" s="528">
        <f t="shared" si="55"/>
        <v>1316.1019444444444</v>
      </c>
      <c r="I124" s="529">
        <f t="shared" si="55"/>
        <v>1318.017548181818</v>
      </c>
    </row>
    <row r="125" spans="1:10" ht="14.25" customHeight="1" x14ac:dyDescent="0.2">
      <c r="A125" s="762" t="s">
        <v>579</v>
      </c>
      <c r="B125" s="762"/>
      <c r="C125" s="528">
        <f t="shared" ref="C125:I125" si="56">C60</f>
        <v>109.54732090909087</v>
      </c>
      <c r="D125" s="528">
        <f t="shared" si="56"/>
        <v>93.897703636363616</v>
      </c>
      <c r="E125" s="528">
        <f t="shared" si="56"/>
        <v>82.160490681818175</v>
      </c>
      <c r="F125" s="528">
        <f t="shared" si="56"/>
        <v>70.423277727272705</v>
      </c>
      <c r="G125" s="528">
        <f t="shared" si="56"/>
        <v>46.948851818181808</v>
      </c>
      <c r="H125" s="528">
        <f t="shared" si="56"/>
        <v>109.36862499999998</v>
      </c>
      <c r="I125" s="529">
        <f t="shared" si="56"/>
        <v>109.64121861272724</v>
      </c>
    </row>
    <row r="126" spans="1:10" ht="14.25" customHeight="1" x14ac:dyDescent="0.2">
      <c r="A126" s="762" t="s">
        <v>580</v>
      </c>
      <c r="B126" s="762"/>
      <c r="C126" s="528">
        <f t="shared" ref="C126:H126" si="57">C80</f>
        <v>340.22902604868864</v>
      </c>
      <c r="D126" s="528">
        <f t="shared" si="57"/>
        <v>298.42452498114665</v>
      </c>
      <c r="E126" s="528">
        <f t="shared" si="57"/>
        <v>250.93405678239708</v>
      </c>
      <c r="F126" s="528">
        <f t="shared" si="57"/>
        <v>219.58013627032247</v>
      </c>
      <c r="G126" s="528">
        <f t="shared" si="57"/>
        <v>158.65196574986777</v>
      </c>
      <c r="H126" s="528">
        <f t="shared" si="57"/>
        <v>336.91157690648151</v>
      </c>
      <c r="I126" s="529">
        <f>I69</f>
        <v>309.11158394952395</v>
      </c>
    </row>
    <row r="127" spans="1:10" ht="15.75" customHeight="1" x14ac:dyDescent="0.2">
      <c r="A127" s="762" t="s">
        <v>581</v>
      </c>
      <c r="B127" s="762"/>
      <c r="C127" s="528">
        <f t="shared" ref="C127:I127" si="58">C91</f>
        <v>553.59190673076921</v>
      </c>
      <c r="D127" s="528">
        <f t="shared" si="58"/>
        <v>553.59190673076921</v>
      </c>
      <c r="E127" s="528">
        <f t="shared" si="58"/>
        <v>542.3719067307693</v>
      </c>
      <c r="F127" s="528">
        <f t="shared" si="58"/>
        <v>542.3719067307693</v>
      </c>
      <c r="G127" s="528">
        <f t="shared" si="58"/>
        <v>542.3719067307693</v>
      </c>
      <c r="H127" s="528">
        <f t="shared" si="58"/>
        <v>396.41629999999998</v>
      </c>
      <c r="I127" s="529">
        <f t="shared" si="58"/>
        <v>78.19874999999999</v>
      </c>
    </row>
    <row r="128" spans="1:10" ht="15.75" customHeight="1" x14ac:dyDescent="0.2">
      <c r="A128" s="763" t="s">
        <v>582</v>
      </c>
      <c r="B128" s="763"/>
      <c r="C128" s="530">
        <f t="shared" ref="C128:I128" si="59">SUM(C123:C127)</f>
        <v>4021.8641627794573</v>
      </c>
      <c r="D128" s="530">
        <f t="shared" si="59"/>
        <v>3601.2677717119154</v>
      </c>
      <c r="E128" s="530">
        <f t="shared" si="59"/>
        <v>3096.5483860131667</v>
      </c>
      <c r="F128" s="530">
        <f t="shared" si="59"/>
        <v>2781.0955480010916</v>
      </c>
      <c r="G128" s="530">
        <f t="shared" si="59"/>
        <v>2169.829542480637</v>
      </c>
      <c r="H128" s="531">
        <f t="shared" si="59"/>
        <v>3828.548446350926</v>
      </c>
      <c r="I128" s="532">
        <f t="shared" si="59"/>
        <v>3488.8808352895235</v>
      </c>
    </row>
    <row r="129" spans="1:9" ht="15.75" customHeight="1" x14ac:dyDescent="0.2">
      <c r="A129" s="764" t="s">
        <v>583</v>
      </c>
      <c r="B129" s="764"/>
      <c r="C129" s="533">
        <f t="shared" ref="C129:I133" si="60">C112</f>
        <v>962.69606439254039</v>
      </c>
      <c r="D129" s="533">
        <f t="shared" si="60"/>
        <v>862.01974266948082</v>
      </c>
      <c r="E129" s="533">
        <f t="shared" si="60"/>
        <v>741.20726701913145</v>
      </c>
      <c r="F129" s="533">
        <f t="shared" si="60"/>
        <v>665.6986985134738</v>
      </c>
      <c r="G129" s="533">
        <f t="shared" si="60"/>
        <v>519.38262367995389</v>
      </c>
      <c r="H129" s="533">
        <f t="shared" si="60"/>
        <v>916.42292540557946</v>
      </c>
      <c r="I129" s="534">
        <f t="shared" si="60"/>
        <v>841.94093002940451</v>
      </c>
    </row>
    <row r="130" spans="1:9" ht="15.75" customHeight="1" x14ac:dyDescent="0.2">
      <c r="A130" s="762" t="s">
        <v>584</v>
      </c>
      <c r="B130" s="762"/>
      <c r="C130" s="535">
        <f t="shared" si="60"/>
        <v>990.9371988241096</v>
      </c>
      <c r="D130" s="535">
        <f t="shared" si="60"/>
        <v>887.30749062631583</v>
      </c>
      <c r="E130" s="535">
        <f t="shared" si="60"/>
        <v>762.95092510996585</v>
      </c>
      <c r="F130" s="535">
        <f t="shared" si="60"/>
        <v>685.22727781383946</v>
      </c>
      <c r="G130" s="535">
        <f t="shared" si="60"/>
        <v>534.61895323327167</v>
      </c>
      <c r="H130" s="535">
        <f t="shared" si="60"/>
        <v>943.30661589711758</v>
      </c>
      <c r="I130" s="536">
        <f t="shared" si="60"/>
        <v>866.63965672816198</v>
      </c>
    </row>
    <row r="131" spans="1:9" ht="15.75" customHeight="1" x14ac:dyDescent="0.2">
      <c r="A131" s="762" t="s">
        <v>585</v>
      </c>
      <c r="B131" s="762"/>
      <c r="C131" s="535">
        <f t="shared" si="60"/>
        <v>1019.5001695454976</v>
      </c>
      <c r="D131" s="535">
        <f t="shared" si="60"/>
        <v>912.88341804704658</v>
      </c>
      <c r="E131" s="535">
        <f t="shared" si="60"/>
        <v>784.94237417619456</v>
      </c>
      <c r="F131" s="535">
        <f t="shared" si="60"/>
        <v>704.97840502646022</v>
      </c>
      <c r="G131" s="535">
        <f t="shared" si="60"/>
        <v>550.0289161718124</v>
      </c>
      <c r="H131" s="535">
        <f t="shared" si="60"/>
        <v>970.49667323186441</v>
      </c>
      <c r="I131" s="536">
        <f t="shared" si="60"/>
        <v>891.61985039784599</v>
      </c>
    </row>
    <row r="132" spans="1:9" ht="15.75" customHeight="1" x14ac:dyDescent="0.2">
      <c r="A132" s="762" t="s">
        <v>586</v>
      </c>
      <c r="B132" s="762"/>
      <c r="C132" s="535">
        <f t="shared" si="60"/>
        <v>1077.613879428206</v>
      </c>
      <c r="D132" s="535">
        <f t="shared" si="60"/>
        <v>964.91974300104039</v>
      </c>
      <c r="E132" s="535">
        <f t="shared" si="60"/>
        <v>829.68578351555323</v>
      </c>
      <c r="F132" s="535">
        <f t="shared" si="60"/>
        <v>745.16369555127358</v>
      </c>
      <c r="G132" s="535">
        <f t="shared" si="60"/>
        <v>581.38175143005401</v>
      </c>
      <c r="H132" s="535">
        <f t="shared" si="60"/>
        <v>1025.8170780685537</v>
      </c>
      <c r="I132" s="536">
        <f t="shared" si="60"/>
        <v>942.44410610619366</v>
      </c>
    </row>
    <row r="133" spans="1:9" ht="15.75" customHeight="1" x14ac:dyDescent="0.2">
      <c r="A133" s="764" t="s">
        <v>587</v>
      </c>
      <c r="B133" s="764"/>
      <c r="C133" s="535">
        <f t="shared" si="60"/>
        <v>1137.0830111157591</v>
      </c>
      <c r="D133" s="535">
        <f t="shared" si="60"/>
        <v>1018.1697431726201</v>
      </c>
      <c r="E133" s="535">
        <f t="shared" si="60"/>
        <v>875.47277091530509</v>
      </c>
      <c r="F133" s="535">
        <f t="shared" si="60"/>
        <v>786.28625232739444</v>
      </c>
      <c r="G133" s="535">
        <f t="shared" si="60"/>
        <v>613.4658481520446</v>
      </c>
      <c r="H133" s="535">
        <f t="shared" si="60"/>
        <v>1082.4277547381687</v>
      </c>
      <c r="I133" s="536">
        <f t="shared" si="60"/>
        <v>994.45376719549427</v>
      </c>
    </row>
    <row r="134" spans="1:9" ht="15.75" customHeight="1" x14ac:dyDescent="0.2">
      <c r="A134" s="537" t="s">
        <v>588</v>
      </c>
      <c r="B134" s="538"/>
      <c r="C134" s="539">
        <f t="shared" ref="C134:I134" si="61">C128+C129</f>
        <v>4984.5602271719981</v>
      </c>
      <c r="D134" s="539">
        <f t="shared" si="61"/>
        <v>4463.2875143813962</v>
      </c>
      <c r="E134" s="539">
        <f t="shared" si="61"/>
        <v>3837.7556530322981</v>
      </c>
      <c r="F134" s="539">
        <f t="shared" si="61"/>
        <v>3446.7942465145652</v>
      </c>
      <c r="G134" s="539">
        <f t="shared" si="61"/>
        <v>2689.2121661605906</v>
      </c>
      <c r="H134" s="539">
        <f t="shared" si="61"/>
        <v>4744.9713717565055</v>
      </c>
      <c r="I134" s="540">
        <f t="shared" si="61"/>
        <v>4330.8217653189276</v>
      </c>
    </row>
    <row r="135" spans="1:9" ht="15.75" customHeight="1" x14ac:dyDescent="0.2">
      <c r="A135" s="541" t="s">
        <v>589</v>
      </c>
      <c r="B135" s="542"/>
      <c r="C135" s="543">
        <f t="shared" ref="C135:I135" si="62">C128+C130</f>
        <v>5012.8013616035669</v>
      </c>
      <c r="D135" s="543">
        <f t="shared" si="62"/>
        <v>4488.5752623382314</v>
      </c>
      <c r="E135" s="543">
        <f t="shared" si="62"/>
        <v>3859.4993111231324</v>
      </c>
      <c r="F135" s="543">
        <f t="shared" si="62"/>
        <v>3466.3228258149311</v>
      </c>
      <c r="G135" s="543">
        <f t="shared" si="62"/>
        <v>2704.4484957139084</v>
      </c>
      <c r="H135" s="543">
        <f t="shared" si="62"/>
        <v>4771.8550622480434</v>
      </c>
      <c r="I135" s="544">
        <f t="shared" si="62"/>
        <v>4355.5204920176857</v>
      </c>
    </row>
    <row r="136" spans="1:9" ht="15.75" customHeight="1" x14ac:dyDescent="0.2">
      <c r="A136" s="541" t="s">
        <v>590</v>
      </c>
      <c r="B136" s="542"/>
      <c r="C136" s="543">
        <f t="shared" ref="C136:I136" si="63">C128+C131</f>
        <v>5041.3643323249544</v>
      </c>
      <c r="D136" s="543">
        <f t="shared" si="63"/>
        <v>4514.1511897589617</v>
      </c>
      <c r="E136" s="543">
        <f t="shared" si="63"/>
        <v>3881.490760189361</v>
      </c>
      <c r="F136" s="543">
        <f t="shared" si="63"/>
        <v>3486.0739530275519</v>
      </c>
      <c r="G136" s="543">
        <f t="shared" si="63"/>
        <v>2719.8584586524494</v>
      </c>
      <c r="H136" s="543">
        <f t="shared" si="63"/>
        <v>4799.04511958279</v>
      </c>
      <c r="I136" s="544">
        <f t="shared" si="63"/>
        <v>4380.5006856873697</v>
      </c>
    </row>
    <row r="137" spans="1:9" ht="15.75" customHeight="1" x14ac:dyDescent="0.2">
      <c r="A137" s="541" t="s">
        <v>591</v>
      </c>
      <c r="B137" s="542"/>
      <c r="C137" s="543">
        <f t="shared" ref="C137:I137" si="64">C128+C132</f>
        <v>5099.4780422076637</v>
      </c>
      <c r="D137" s="543">
        <f t="shared" si="64"/>
        <v>4566.1875147129558</v>
      </c>
      <c r="E137" s="543">
        <f t="shared" si="64"/>
        <v>3926.23416952872</v>
      </c>
      <c r="F137" s="543">
        <f t="shared" si="64"/>
        <v>3526.2592435523652</v>
      </c>
      <c r="G137" s="543">
        <f t="shared" si="64"/>
        <v>2751.211293910691</v>
      </c>
      <c r="H137" s="543">
        <f t="shared" si="64"/>
        <v>4854.3655244194797</v>
      </c>
      <c r="I137" s="544">
        <f t="shared" si="64"/>
        <v>4431.3249413957174</v>
      </c>
    </row>
    <row r="138" spans="1:9" ht="15.75" customHeight="1" x14ac:dyDescent="0.2">
      <c r="A138" s="541" t="s">
        <v>592</v>
      </c>
      <c r="B138" s="542"/>
      <c r="C138" s="543">
        <f t="shared" ref="C138:I138" si="65">C128+C133</f>
        <v>5158.9471738952161</v>
      </c>
      <c r="D138" s="543">
        <f t="shared" si="65"/>
        <v>4619.4375148845356</v>
      </c>
      <c r="E138" s="543">
        <f t="shared" si="65"/>
        <v>3972.021156928472</v>
      </c>
      <c r="F138" s="543">
        <f t="shared" si="65"/>
        <v>3567.381800328486</v>
      </c>
      <c r="G138" s="543">
        <f t="shared" si="65"/>
        <v>2783.2953906326816</v>
      </c>
      <c r="H138" s="543">
        <f t="shared" si="65"/>
        <v>4910.9762010890945</v>
      </c>
      <c r="I138" s="544">
        <f t="shared" si="65"/>
        <v>4483.334602485018</v>
      </c>
    </row>
    <row r="139" spans="1:9" ht="15.75" customHeight="1" x14ac:dyDescent="0.2">
      <c r="A139" s="545" t="s">
        <v>593</v>
      </c>
      <c r="B139" s="546"/>
      <c r="C139" s="547">
        <f>C134/200</f>
        <v>24.922801135859991</v>
      </c>
      <c r="D139" s="547"/>
      <c r="E139" s="547"/>
      <c r="F139" s="547"/>
      <c r="G139" s="547"/>
      <c r="H139" s="548"/>
      <c r="I139" s="549"/>
    </row>
    <row r="140" spans="1:9" ht="15.75" customHeight="1" x14ac:dyDescent="0.2">
      <c r="A140" s="550" t="s">
        <v>594</v>
      </c>
      <c r="B140" s="551"/>
      <c r="C140" s="552">
        <f>C135/200</f>
        <v>25.064006808017833</v>
      </c>
      <c r="D140" s="552"/>
      <c r="E140" s="552"/>
      <c r="F140" s="552"/>
      <c r="G140" s="552"/>
      <c r="H140" s="553"/>
      <c r="I140" s="554"/>
    </row>
    <row r="141" spans="1:9" ht="15.75" customHeight="1" x14ac:dyDescent="0.2">
      <c r="A141" s="550" t="s">
        <v>595</v>
      </c>
      <c r="B141" s="551"/>
      <c r="C141" s="552">
        <f>C136/200</f>
        <v>25.206821661624772</v>
      </c>
      <c r="D141" s="552"/>
      <c r="E141" s="552"/>
      <c r="F141" s="552"/>
      <c r="G141" s="552"/>
      <c r="H141" s="553"/>
      <c r="I141" s="554"/>
    </row>
    <row r="142" spans="1:9" ht="15.75" customHeight="1" x14ac:dyDescent="0.2">
      <c r="A142" s="550" t="s">
        <v>596</v>
      </c>
      <c r="B142" s="551"/>
      <c r="C142" s="552">
        <f>C137/200</f>
        <v>25.497390211038319</v>
      </c>
      <c r="D142" s="552"/>
      <c r="E142" s="552"/>
      <c r="F142" s="552"/>
      <c r="G142" s="552"/>
      <c r="H142" s="553"/>
      <c r="I142" s="554"/>
    </row>
    <row r="143" spans="1:9" ht="15.75" customHeight="1" x14ac:dyDescent="0.2">
      <c r="A143" s="555" t="s">
        <v>597</v>
      </c>
      <c r="B143" s="556"/>
      <c r="C143" s="557">
        <f>C138/200</f>
        <v>25.794735869476082</v>
      </c>
      <c r="D143" s="557"/>
      <c r="E143" s="557"/>
      <c r="F143" s="557"/>
      <c r="G143" s="557"/>
      <c r="H143" s="558"/>
      <c r="I143" s="559"/>
    </row>
    <row r="144" spans="1:9" x14ac:dyDescent="0.2">
      <c r="A144" s="560"/>
    </row>
    <row r="145" spans="1:15" ht="14.25" customHeight="1" x14ac:dyDescent="0.2">
      <c r="A145" s="765" t="s">
        <v>598</v>
      </c>
      <c r="B145" s="765"/>
      <c r="C145" s="765" t="s">
        <v>599</v>
      </c>
      <c r="D145" s="765"/>
      <c r="E145" s="766" t="s">
        <v>600</v>
      </c>
      <c r="F145" s="766"/>
      <c r="G145" s="765" t="s">
        <v>601</v>
      </c>
      <c r="H145" s="765"/>
      <c r="I145" s="765" t="s">
        <v>602</v>
      </c>
      <c r="J145" s="765"/>
      <c r="K145" s="765" t="s">
        <v>603</v>
      </c>
      <c r="L145" s="765"/>
    </row>
    <row r="146" spans="1:15" ht="25.5" x14ac:dyDescent="0.2">
      <c r="A146" s="561" t="s">
        <v>604</v>
      </c>
      <c r="B146" s="562" t="s">
        <v>605</v>
      </c>
      <c r="C146" s="562" t="s">
        <v>606</v>
      </c>
      <c r="D146" s="562" t="s">
        <v>607</v>
      </c>
      <c r="E146" s="562" t="s">
        <v>606</v>
      </c>
      <c r="F146" s="562" t="s">
        <v>607</v>
      </c>
      <c r="G146" s="562" t="s">
        <v>606</v>
      </c>
      <c r="H146" s="562" t="s">
        <v>607</v>
      </c>
      <c r="I146" s="562" t="s">
        <v>606</v>
      </c>
      <c r="J146" s="562" t="s">
        <v>607</v>
      </c>
      <c r="K146" s="562" t="s">
        <v>606</v>
      </c>
      <c r="L146" s="562" t="s">
        <v>607</v>
      </c>
    </row>
    <row r="147" spans="1:15" x14ac:dyDescent="0.2">
      <c r="A147" s="563" t="s">
        <v>608</v>
      </c>
      <c r="B147" s="564">
        <f>1/'Prod. GEXIJU'!D22</f>
        <v>1.1111111111111111E-3</v>
      </c>
      <c r="C147" s="565">
        <f>D134</f>
        <v>4463.2875143813962</v>
      </c>
      <c r="D147" s="565">
        <f>B147*C147</f>
        <v>4.9592083493126626</v>
      </c>
      <c r="E147" s="565">
        <f>D135</f>
        <v>4488.5752623382314</v>
      </c>
      <c r="F147" s="565">
        <f>B147*E147</f>
        <v>4.9873058470424789</v>
      </c>
      <c r="G147" s="565">
        <f>D136</f>
        <v>4514.1511897589617</v>
      </c>
      <c r="H147" s="565">
        <f>B147*G147</f>
        <v>5.0157235441766241</v>
      </c>
      <c r="I147" s="565">
        <f>D137</f>
        <v>4566.1875147129558</v>
      </c>
      <c r="J147" s="565">
        <f>B147*I147</f>
        <v>5.0735416830143958</v>
      </c>
      <c r="K147" s="565">
        <f>D138</f>
        <v>4619.4375148845356</v>
      </c>
      <c r="L147" s="565">
        <f>B147*K147</f>
        <v>5.1327083498717059</v>
      </c>
    </row>
    <row r="148" spans="1:15" x14ac:dyDescent="0.2">
      <c r="A148" s="566" t="s">
        <v>609</v>
      </c>
      <c r="B148" s="564">
        <f>B147/'Prod. GEXIJU'!Q22</f>
        <v>4.2735042735042735E-5</v>
      </c>
      <c r="C148" s="565">
        <f>I134</f>
        <v>4330.8217653189276</v>
      </c>
      <c r="D148" s="565">
        <f>C148*B148</f>
        <v>0.18507785321875758</v>
      </c>
      <c r="E148" s="565">
        <f>C148</f>
        <v>4330.8217653189276</v>
      </c>
      <c r="F148" s="565">
        <f>B148*E148</f>
        <v>0.18507785321875758</v>
      </c>
      <c r="G148" s="565">
        <f>C148</f>
        <v>4330.8217653189276</v>
      </c>
      <c r="H148" s="565">
        <f>B148*G148</f>
        <v>0.18507785321875758</v>
      </c>
      <c r="I148" s="565">
        <f>C148</f>
        <v>4330.8217653189276</v>
      </c>
      <c r="J148" s="565">
        <f>B148*I148</f>
        <v>0.18507785321875758</v>
      </c>
      <c r="K148" s="565">
        <f>C148</f>
        <v>4330.8217653189276</v>
      </c>
      <c r="L148" s="565">
        <f>B148*K148</f>
        <v>0.18507785321875758</v>
      </c>
      <c r="M148" s="767"/>
      <c r="N148" s="767"/>
      <c r="O148" s="567"/>
    </row>
    <row r="149" spans="1:15" x14ac:dyDescent="0.2">
      <c r="A149" s="568" t="s">
        <v>612</v>
      </c>
      <c r="B149" s="569"/>
      <c r="C149" s="570"/>
      <c r="D149" s="570">
        <f>SUM(D147:D148)</f>
        <v>5.1442862025314202</v>
      </c>
      <c r="E149" s="570"/>
      <c r="F149" s="570">
        <f>SUM(F147:F148)</f>
        <v>5.1723837002612365</v>
      </c>
      <c r="G149" s="570"/>
      <c r="H149" s="570">
        <f>SUM(H147:H148)</f>
        <v>5.2008013973953817</v>
      </c>
      <c r="I149" s="570"/>
      <c r="J149" s="570">
        <f>SUM(J147:J148)</f>
        <v>5.2586195362331534</v>
      </c>
      <c r="K149" s="570"/>
      <c r="L149" s="570">
        <f>SUM(L147:L148)</f>
        <v>5.3177862030904635</v>
      </c>
      <c r="M149" s="571"/>
      <c r="N149" s="572"/>
    </row>
    <row r="150" spans="1:15" x14ac:dyDescent="0.2">
      <c r="A150" s="560"/>
    </row>
    <row r="151" spans="1:15" ht="14.25" customHeight="1" x14ac:dyDescent="0.2">
      <c r="A151" s="765" t="s">
        <v>613</v>
      </c>
      <c r="B151" s="765"/>
      <c r="C151" s="765" t="s">
        <v>599</v>
      </c>
      <c r="D151" s="765"/>
      <c r="E151" s="766" t="s">
        <v>600</v>
      </c>
      <c r="F151" s="766"/>
      <c r="G151" s="765" t="s">
        <v>601</v>
      </c>
      <c r="H151" s="765"/>
      <c r="I151" s="765" t="s">
        <v>602</v>
      </c>
      <c r="J151" s="765"/>
      <c r="K151" s="765" t="s">
        <v>603</v>
      </c>
      <c r="L151" s="765"/>
    </row>
    <row r="152" spans="1:15" ht="25.5" x14ac:dyDescent="0.2">
      <c r="A152" s="561" t="s">
        <v>604</v>
      </c>
      <c r="B152" s="562" t="s">
        <v>605</v>
      </c>
      <c r="C152" s="562" t="s">
        <v>606</v>
      </c>
      <c r="D152" s="562" t="s">
        <v>607</v>
      </c>
      <c r="E152" s="562" t="s">
        <v>606</v>
      </c>
      <c r="F152" s="562" t="s">
        <v>607</v>
      </c>
      <c r="G152" s="562" t="s">
        <v>606</v>
      </c>
      <c r="H152" s="562" t="s">
        <v>607</v>
      </c>
      <c r="I152" s="562" t="s">
        <v>606</v>
      </c>
      <c r="J152" s="562" t="s">
        <v>607</v>
      </c>
      <c r="K152" s="562" t="s">
        <v>606</v>
      </c>
      <c r="L152" s="562" t="s">
        <v>607</v>
      </c>
    </row>
    <row r="153" spans="1:15" x14ac:dyDescent="0.2">
      <c r="A153" s="563" t="s">
        <v>608</v>
      </c>
      <c r="B153" s="564">
        <f>1/'Prod. GEXIJU'!E22</f>
        <v>1.1111111111111111E-3</v>
      </c>
      <c r="C153" s="573">
        <f>C134</f>
        <v>4984.5602271719981</v>
      </c>
      <c r="D153" s="565">
        <f>B153*C153</f>
        <v>5.5384002524133313</v>
      </c>
      <c r="E153" s="573">
        <f>C135</f>
        <v>5012.8013616035669</v>
      </c>
      <c r="F153" s="565">
        <f>B153*E153</f>
        <v>5.5697792906706303</v>
      </c>
      <c r="G153" s="573">
        <f>C136</f>
        <v>5041.3643323249544</v>
      </c>
      <c r="H153" s="565">
        <f>B153*G153</f>
        <v>5.6015159248055051</v>
      </c>
      <c r="I153" s="573">
        <f>C137</f>
        <v>5099.4780422076637</v>
      </c>
      <c r="J153" s="565">
        <f>B153*I153</f>
        <v>5.6660867135640709</v>
      </c>
      <c r="K153" s="573">
        <f>C138</f>
        <v>5158.9471738952161</v>
      </c>
      <c r="L153" s="565">
        <f>B153*K153</f>
        <v>5.7321635265502398</v>
      </c>
    </row>
    <row r="154" spans="1:15" x14ac:dyDescent="0.2">
      <c r="A154" s="566" t="s">
        <v>609</v>
      </c>
      <c r="B154" s="564">
        <f>B153/'Prod. GEXIJU'!Q22</f>
        <v>4.2735042735042735E-5</v>
      </c>
      <c r="C154" s="565">
        <f>I134</f>
        <v>4330.8217653189276</v>
      </c>
      <c r="D154" s="565">
        <f>C154*B154</f>
        <v>0.18507785321875758</v>
      </c>
      <c r="E154" s="565">
        <f>C154</f>
        <v>4330.8217653189276</v>
      </c>
      <c r="F154" s="565">
        <f>B154*E154</f>
        <v>0.18507785321875758</v>
      </c>
      <c r="G154" s="565">
        <f>C154</f>
        <v>4330.8217653189276</v>
      </c>
      <c r="H154" s="565">
        <f>B154*G154</f>
        <v>0.18507785321875758</v>
      </c>
      <c r="I154" s="565">
        <f>C154</f>
        <v>4330.8217653189276</v>
      </c>
      <c r="J154" s="565">
        <f>B154*I154</f>
        <v>0.18507785321875758</v>
      </c>
      <c r="K154" s="565">
        <f>C154</f>
        <v>4330.8217653189276</v>
      </c>
      <c r="L154" s="565">
        <f>B154*K154</f>
        <v>0.18507785321875758</v>
      </c>
      <c r="M154" s="767"/>
      <c r="N154" s="767"/>
      <c r="O154" s="567"/>
    </row>
    <row r="155" spans="1:15" x14ac:dyDescent="0.2">
      <c r="A155" s="568" t="s">
        <v>612</v>
      </c>
      <c r="B155" s="569"/>
      <c r="C155" s="570"/>
      <c r="D155" s="570">
        <f>SUM(D153:D154)</f>
        <v>5.7234781056320889</v>
      </c>
      <c r="E155" s="570"/>
      <c r="F155" s="570">
        <f>SUM(F153:F154)</f>
        <v>5.7548571438893878</v>
      </c>
      <c r="G155" s="570"/>
      <c r="H155" s="570">
        <f>SUM(H153:H154)</f>
        <v>5.7865937780242627</v>
      </c>
      <c r="I155" s="570"/>
      <c r="J155" s="570">
        <f>SUM(J153:J154)</f>
        <v>5.8511645667828285</v>
      </c>
      <c r="K155" s="570"/>
      <c r="L155" s="570">
        <f>SUM(L153:L154)</f>
        <v>5.9172413797689973</v>
      </c>
      <c r="M155" s="571"/>
      <c r="N155" s="572"/>
    </row>
    <row r="156" spans="1:15" x14ac:dyDescent="0.2">
      <c r="A156" s="574"/>
      <c r="B156" s="575"/>
      <c r="C156" s="575"/>
      <c r="D156" s="575"/>
      <c r="E156" s="576"/>
      <c r="F156" s="576"/>
      <c r="G156" s="576"/>
      <c r="H156" s="576"/>
    </row>
    <row r="157" spans="1:15" ht="14.25" customHeight="1" x14ac:dyDescent="0.2">
      <c r="A157" s="766" t="s">
        <v>614</v>
      </c>
      <c r="B157" s="766"/>
      <c r="C157" s="766" t="s">
        <v>599</v>
      </c>
      <c r="D157" s="766"/>
      <c r="E157" s="766" t="s">
        <v>600</v>
      </c>
      <c r="F157" s="766"/>
      <c r="G157" s="766" t="s">
        <v>601</v>
      </c>
      <c r="H157" s="766"/>
      <c r="I157" s="766" t="s">
        <v>602</v>
      </c>
      <c r="J157" s="766"/>
      <c r="K157" s="766" t="s">
        <v>603</v>
      </c>
      <c r="L157" s="766"/>
    </row>
    <row r="158" spans="1:15" ht="25.5" x14ac:dyDescent="0.2">
      <c r="A158" s="561" t="s">
        <v>604</v>
      </c>
      <c r="B158" s="562" t="s">
        <v>615</v>
      </c>
      <c r="C158" s="562" t="s">
        <v>606</v>
      </c>
      <c r="D158" s="562" t="s">
        <v>607</v>
      </c>
      <c r="E158" s="562" t="s">
        <v>606</v>
      </c>
      <c r="F158" s="562" t="s">
        <v>607</v>
      </c>
      <c r="G158" s="562" t="s">
        <v>606</v>
      </c>
      <c r="H158" s="562" t="s">
        <v>607</v>
      </c>
      <c r="I158" s="562" t="s">
        <v>606</v>
      </c>
      <c r="J158" s="562" t="s">
        <v>607</v>
      </c>
      <c r="K158" s="562" t="s">
        <v>606</v>
      </c>
      <c r="L158" s="562" t="s">
        <v>607</v>
      </c>
    </row>
    <row r="159" spans="1:15" x14ac:dyDescent="0.2">
      <c r="A159" s="563" t="s">
        <v>608</v>
      </c>
      <c r="B159" s="577">
        <f>1/'Prod. GEXIJU'!F22</f>
        <v>4.0000000000000002E-4</v>
      </c>
      <c r="C159" s="578">
        <f>D134</f>
        <v>4463.2875143813962</v>
      </c>
      <c r="D159" s="565">
        <f>B159*C159</f>
        <v>1.7853150057525586</v>
      </c>
      <c r="E159" s="565">
        <f>D135</f>
        <v>4488.5752623382314</v>
      </c>
      <c r="F159" s="565">
        <f>B159*E159</f>
        <v>1.7954301049352925</v>
      </c>
      <c r="G159" s="565">
        <f>D136</f>
        <v>4514.1511897589617</v>
      </c>
      <c r="H159" s="565">
        <f>B159*G159</f>
        <v>1.8056604759035848</v>
      </c>
      <c r="I159" s="565">
        <f>D137</f>
        <v>4566.1875147129558</v>
      </c>
      <c r="J159" s="565">
        <f>B159*I159</f>
        <v>1.8264750058851824</v>
      </c>
      <c r="K159" s="565">
        <f>D138</f>
        <v>4619.4375148845356</v>
      </c>
      <c r="L159" s="565">
        <f>B159*K159</f>
        <v>1.8477750059538143</v>
      </c>
    </row>
    <row r="160" spans="1:15" x14ac:dyDescent="0.2">
      <c r="A160" s="566" t="s">
        <v>609</v>
      </c>
      <c r="B160" s="564">
        <f>B159/'Prod. GEXIJU'!Q22</f>
        <v>1.5384615384615384E-5</v>
      </c>
      <c r="C160" s="565">
        <f>I134</f>
        <v>4330.8217653189276</v>
      </c>
      <c r="D160" s="565">
        <f>B160*C160</f>
        <v>6.6628027158752726E-2</v>
      </c>
      <c r="E160" s="565">
        <f>C160</f>
        <v>4330.8217653189276</v>
      </c>
      <c r="F160" s="565">
        <f>B160*E160</f>
        <v>6.6628027158752726E-2</v>
      </c>
      <c r="G160" s="565">
        <f>C160</f>
        <v>4330.8217653189276</v>
      </c>
      <c r="H160" s="565">
        <f>B160*G160</f>
        <v>6.6628027158752726E-2</v>
      </c>
      <c r="I160" s="565">
        <f>C160</f>
        <v>4330.8217653189276</v>
      </c>
      <c r="J160" s="565">
        <f>B160*I160</f>
        <v>6.6628027158752726E-2</v>
      </c>
      <c r="K160" s="565">
        <f>C160</f>
        <v>4330.8217653189276</v>
      </c>
      <c r="L160" s="565">
        <f>B160*K160</f>
        <v>6.6628027158752726E-2</v>
      </c>
    </row>
    <row r="161" spans="1:12" x14ac:dyDescent="0.2">
      <c r="A161" s="568" t="s">
        <v>616</v>
      </c>
      <c r="B161" s="569"/>
      <c r="C161" s="570"/>
      <c r="D161" s="570">
        <f>SUM(D159:D160)</f>
        <v>1.8519430329113113</v>
      </c>
      <c r="E161" s="570"/>
      <c r="F161" s="570">
        <f>SUM(F159:F160)</f>
        <v>1.8620581320940452</v>
      </c>
      <c r="G161" s="570"/>
      <c r="H161" s="570">
        <f>SUM(H159:H160)</f>
        <v>1.8722885030623375</v>
      </c>
      <c r="I161" s="570"/>
      <c r="J161" s="570">
        <f>SUM(J159:J160)</f>
        <v>1.8931030330439351</v>
      </c>
      <c r="K161" s="570"/>
      <c r="L161" s="570">
        <f>SUM(L159:L160)</f>
        <v>1.914403033112567</v>
      </c>
    </row>
    <row r="162" spans="1:12" x14ac:dyDescent="0.2">
      <c r="A162" s="574"/>
      <c r="B162" s="579"/>
      <c r="C162" s="579"/>
      <c r="D162" s="579"/>
      <c r="E162" s="579"/>
      <c r="F162" s="579"/>
      <c r="G162" s="579"/>
      <c r="H162" s="579"/>
    </row>
    <row r="163" spans="1:12" ht="14.25" customHeight="1" x14ac:dyDescent="0.2">
      <c r="A163" s="766" t="s">
        <v>617</v>
      </c>
      <c r="B163" s="766"/>
      <c r="C163" s="766" t="s">
        <v>599</v>
      </c>
      <c r="D163" s="766"/>
      <c r="E163" s="766" t="s">
        <v>600</v>
      </c>
      <c r="F163" s="766"/>
      <c r="G163" s="766" t="s">
        <v>601</v>
      </c>
      <c r="H163" s="766"/>
      <c r="I163" s="766" t="s">
        <v>602</v>
      </c>
      <c r="J163" s="766"/>
      <c r="K163" s="766" t="s">
        <v>603</v>
      </c>
      <c r="L163" s="766"/>
    </row>
    <row r="164" spans="1:12" ht="25.5" x14ac:dyDescent="0.2">
      <c r="A164" s="561" t="s">
        <v>604</v>
      </c>
      <c r="B164" s="562" t="s">
        <v>615</v>
      </c>
      <c r="C164" s="562" t="s">
        <v>606</v>
      </c>
      <c r="D164" s="562" t="s">
        <v>607</v>
      </c>
      <c r="E164" s="562" t="s">
        <v>606</v>
      </c>
      <c r="F164" s="562" t="s">
        <v>607</v>
      </c>
      <c r="G164" s="562" t="s">
        <v>606</v>
      </c>
      <c r="H164" s="562" t="s">
        <v>607</v>
      </c>
      <c r="I164" s="562" t="s">
        <v>606</v>
      </c>
      <c r="J164" s="562" t="s">
        <v>607</v>
      </c>
      <c r="K164" s="562" t="s">
        <v>606</v>
      </c>
      <c r="L164" s="562" t="s">
        <v>607</v>
      </c>
    </row>
    <row r="165" spans="1:12" x14ac:dyDescent="0.2">
      <c r="A165" s="563" t="s">
        <v>608</v>
      </c>
      <c r="B165" s="577">
        <f>1/'Prod. GEXIJU'!G22</f>
        <v>6.6666666666666664E-4</v>
      </c>
      <c r="C165" s="578">
        <f>D134</f>
        <v>4463.2875143813962</v>
      </c>
      <c r="D165" s="565">
        <f>B165*C165</f>
        <v>2.9755250095875976</v>
      </c>
      <c r="E165" s="565">
        <f>D135</f>
        <v>4488.5752623382314</v>
      </c>
      <c r="F165" s="565">
        <f>B165*E165</f>
        <v>2.9923835082254873</v>
      </c>
      <c r="G165" s="565">
        <f>D136</f>
        <v>4514.1511897589617</v>
      </c>
      <c r="H165" s="565">
        <f>B165*G165</f>
        <v>3.0094341265059743</v>
      </c>
      <c r="I165" s="565">
        <f>D137</f>
        <v>4566.1875147129558</v>
      </c>
      <c r="J165" s="565">
        <f>B165*I165</f>
        <v>3.0441250098086372</v>
      </c>
      <c r="K165" s="565">
        <f>D138</f>
        <v>4619.4375148845356</v>
      </c>
      <c r="L165" s="565">
        <f>B165*K165</f>
        <v>3.0796250099230238</v>
      </c>
    </row>
    <row r="166" spans="1:12" x14ac:dyDescent="0.2">
      <c r="A166" s="566" t="s">
        <v>609</v>
      </c>
      <c r="B166" s="564">
        <f>B165/'Prod. GEXIJU'!Q22</f>
        <v>2.564102564102564E-5</v>
      </c>
      <c r="C166" s="565">
        <f>I134</f>
        <v>4330.8217653189276</v>
      </c>
      <c r="D166" s="565">
        <f>B166*C166</f>
        <v>0.11104671193125455</v>
      </c>
      <c r="E166" s="565">
        <f>C166</f>
        <v>4330.8217653189276</v>
      </c>
      <c r="F166" s="565">
        <f>B166*E166</f>
        <v>0.11104671193125455</v>
      </c>
      <c r="G166" s="565">
        <f>C166</f>
        <v>4330.8217653189276</v>
      </c>
      <c r="H166" s="565">
        <f>B166*G166</f>
        <v>0.11104671193125455</v>
      </c>
      <c r="I166" s="565">
        <f>C166</f>
        <v>4330.8217653189276</v>
      </c>
      <c r="J166" s="565">
        <f>B166*I166</f>
        <v>0.11104671193125455</v>
      </c>
      <c r="K166" s="565">
        <f>C166</f>
        <v>4330.8217653189276</v>
      </c>
      <c r="L166" s="565">
        <f>B166*K166</f>
        <v>0.11104671193125455</v>
      </c>
    </row>
    <row r="167" spans="1:12" x14ac:dyDescent="0.2">
      <c r="A167" s="568" t="s">
        <v>616</v>
      </c>
      <c r="B167" s="569"/>
      <c r="C167" s="570"/>
      <c r="D167" s="570">
        <f>SUM(D165:D166)</f>
        <v>3.086571721518852</v>
      </c>
      <c r="E167" s="570"/>
      <c r="F167" s="570">
        <f>SUM(F165:F166)</f>
        <v>3.1034302201567416</v>
      </c>
      <c r="G167" s="570"/>
      <c r="H167" s="570">
        <f>SUM(H165:H166)</f>
        <v>3.1204808384372287</v>
      </c>
      <c r="I167" s="570"/>
      <c r="J167" s="570">
        <f>SUM(J165:J166)</f>
        <v>3.1551717217398916</v>
      </c>
      <c r="K167" s="570"/>
      <c r="L167" s="570">
        <f>SUM(L165:L166)</f>
        <v>3.1906717218542782</v>
      </c>
    </row>
    <row r="168" spans="1:12" x14ac:dyDescent="0.2">
      <c r="A168" s="574"/>
      <c r="B168" s="579"/>
      <c r="C168" s="579"/>
      <c r="D168" s="579"/>
      <c r="E168" s="579"/>
      <c r="F168" s="579"/>
      <c r="G168" s="579"/>
      <c r="H168" s="579"/>
    </row>
    <row r="169" spans="1:12" ht="14.25" customHeight="1" x14ac:dyDescent="0.2">
      <c r="A169" s="766" t="s">
        <v>618</v>
      </c>
      <c r="B169" s="766"/>
      <c r="C169" s="766" t="s">
        <v>599</v>
      </c>
      <c r="D169" s="766"/>
      <c r="E169" s="766" t="s">
        <v>600</v>
      </c>
      <c r="F169" s="766"/>
      <c r="G169" s="766" t="s">
        <v>601</v>
      </c>
      <c r="H169" s="766"/>
      <c r="I169" s="766" t="s">
        <v>602</v>
      </c>
      <c r="J169" s="766"/>
      <c r="K169" s="766" t="s">
        <v>603</v>
      </c>
      <c r="L169" s="766"/>
    </row>
    <row r="170" spans="1:12" ht="25.5" x14ac:dyDescent="0.2">
      <c r="A170" s="561" t="s">
        <v>604</v>
      </c>
      <c r="B170" s="562" t="s">
        <v>615</v>
      </c>
      <c r="C170" s="562" t="s">
        <v>606</v>
      </c>
      <c r="D170" s="562" t="s">
        <v>607</v>
      </c>
      <c r="E170" s="562" t="s">
        <v>606</v>
      </c>
      <c r="F170" s="562" t="s">
        <v>607</v>
      </c>
      <c r="G170" s="562" t="s">
        <v>606</v>
      </c>
      <c r="H170" s="562" t="s">
        <v>607</v>
      </c>
      <c r="I170" s="562" t="s">
        <v>606</v>
      </c>
      <c r="J170" s="562" t="s">
        <v>607</v>
      </c>
      <c r="K170" s="562" t="s">
        <v>606</v>
      </c>
      <c r="L170" s="562" t="s">
        <v>607</v>
      </c>
    </row>
    <row r="171" spans="1:12" x14ac:dyDescent="0.2">
      <c r="A171" s="563" t="s">
        <v>608</v>
      </c>
      <c r="B171" s="577">
        <f>1/'Prod. GEXIJU'!H22</f>
        <v>3.3333333333333335E-3</v>
      </c>
      <c r="C171" s="573">
        <f>C134</f>
        <v>4984.5602271719981</v>
      </c>
      <c r="D171" s="565">
        <f>B171*C171</f>
        <v>16.615200757239993</v>
      </c>
      <c r="E171" s="573">
        <f>C135</f>
        <v>5012.8013616035669</v>
      </c>
      <c r="F171" s="565">
        <f>B171*E171</f>
        <v>16.70933787201189</v>
      </c>
      <c r="G171" s="573">
        <f>C136</f>
        <v>5041.3643323249544</v>
      </c>
      <c r="H171" s="565">
        <f>B171*G171</f>
        <v>16.804547774416516</v>
      </c>
      <c r="I171" s="573">
        <f>C137</f>
        <v>5099.4780422076637</v>
      </c>
      <c r="J171" s="565">
        <f>B171*I171</f>
        <v>16.998260140692214</v>
      </c>
      <c r="K171" s="573">
        <f>C138</f>
        <v>5158.9471738952161</v>
      </c>
      <c r="L171" s="565">
        <f>B171*K171</f>
        <v>17.196490579650721</v>
      </c>
    </row>
    <row r="172" spans="1:12" x14ac:dyDescent="0.2">
      <c r="A172" s="566" t="s">
        <v>609</v>
      </c>
      <c r="B172" s="564">
        <f>B171/'Prod. GEXIJU'!Q22</f>
        <v>1.2820512820512821E-4</v>
      </c>
      <c r="C172" s="565">
        <f>I134</f>
        <v>4330.8217653189276</v>
      </c>
      <c r="D172" s="565">
        <f>C172*B172</f>
        <v>0.55523355965627275</v>
      </c>
      <c r="E172" s="565">
        <f>C172</f>
        <v>4330.8217653189276</v>
      </c>
      <c r="F172" s="565">
        <f>B172*E172</f>
        <v>0.55523355965627275</v>
      </c>
      <c r="G172" s="565">
        <f>C172</f>
        <v>4330.8217653189276</v>
      </c>
      <c r="H172" s="565">
        <f>B172*G172</f>
        <v>0.55523355965627275</v>
      </c>
      <c r="I172" s="565">
        <f>C172</f>
        <v>4330.8217653189276</v>
      </c>
      <c r="J172" s="565">
        <f>B172*I172</f>
        <v>0.55523355965627275</v>
      </c>
      <c r="K172" s="565">
        <f>C172</f>
        <v>4330.8217653189276</v>
      </c>
      <c r="L172" s="565">
        <f>B172*K172</f>
        <v>0.55523355965627275</v>
      </c>
    </row>
    <row r="173" spans="1:12" x14ac:dyDescent="0.2">
      <c r="A173" s="568" t="s">
        <v>616</v>
      </c>
      <c r="B173" s="569"/>
      <c r="C173" s="570"/>
      <c r="D173" s="570">
        <f>SUM(D171:D172)</f>
        <v>17.170434316896266</v>
      </c>
      <c r="E173" s="570"/>
      <c r="F173" s="570">
        <f>SUM(F171:F172)</f>
        <v>17.264571431668163</v>
      </c>
      <c r="G173" s="570"/>
      <c r="H173" s="570">
        <f>SUM(H171:H172)</f>
        <v>17.359781334072789</v>
      </c>
      <c r="I173" s="570"/>
      <c r="J173" s="570">
        <f>SUM(J171:J172)</f>
        <v>17.553493700348486</v>
      </c>
      <c r="K173" s="570"/>
      <c r="L173" s="570">
        <f>SUM(L171:L172)</f>
        <v>17.751724139306994</v>
      </c>
    </row>
    <row r="174" spans="1:12" x14ac:dyDescent="0.2">
      <c r="A174" s="574"/>
      <c r="B174" s="580"/>
      <c r="C174" s="580"/>
      <c r="D174" s="580"/>
      <c r="E174" s="580"/>
      <c r="F174" s="580"/>
      <c r="G174" s="580"/>
      <c r="H174" s="580"/>
    </row>
    <row r="175" spans="1:12" ht="14.25" customHeight="1" x14ac:dyDescent="0.2">
      <c r="A175" s="768" t="s">
        <v>619</v>
      </c>
      <c r="B175" s="768"/>
      <c r="C175" s="768" t="s">
        <v>599</v>
      </c>
      <c r="D175" s="768"/>
      <c r="E175" s="768" t="s">
        <v>600</v>
      </c>
      <c r="F175" s="768"/>
      <c r="G175" s="768" t="s">
        <v>601</v>
      </c>
      <c r="H175" s="768"/>
      <c r="I175" s="768" t="s">
        <v>602</v>
      </c>
      <c r="J175" s="768"/>
      <c r="K175" s="768" t="s">
        <v>603</v>
      </c>
      <c r="L175" s="768"/>
    </row>
    <row r="176" spans="1:12" ht="25.5" x14ac:dyDescent="0.2">
      <c r="A176" s="561" t="s">
        <v>604</v>
      </c>
      <c r="B176" s="562" t="s">
        <v>615</v>
      </c>
      <c r="C176" s="562" t="s">
        <v>606</v>
      </c>
      <c r="D176" s="562" t="s">
        <v>607</v>
      </c>
      <c r="E176" s="562" t="s">
        <v>606</v>
      </c>
      <c r="F176" s="562" t="s">
        <v>607</v>
      </c>
      <c r="G176" s="562" t="s">
        <v>606</v>
      </c>
      <c r="H176" s="562" t="s">
        <v>607</v>
      </c>
      <c r="I176" s="562" t="s">
        <v>606</v>
      </c>
      <c r="J176" s="562" t="s">
        <v>607</v>
      </c>
      <c r="K176" s="562" t="s">
        <v>606</v>
      </c>
      <c r="L176" s="562" t="s">
        <v>607</v>
      </c>
    </row>
    <row r="177" spans="1:14" x14ac:dyDescent="0.2">
      <c r="A177" s="563" t="s">
        <v>620</v>
      </c>
      <c r="B177" s="577">
        <f>1/'Prod. GEXIJU'!I22</f>
        <v>5.0000000000000001E-4</v>
      </c>
      <c r="C177" s="565">
        <f>D134</f>
        <v>4463.2875143813962</v>
      </c>
      <c r="D177" s="565">
        <f>B177*C177</f>
        <v>2.2316437571906982</v>
      </c>
      <c r="E177" s="565">
        <f>D135</f>
        <v>4488.5752623382314</v>
      </c>
      <c r="F177" s="565">
        <f>B177*E177</f>
        <v>2.2442876311691156</v>
      </c>
      <c r="G177" s="565">
        <f>D136</f>
        <v>4514.1511897589617</v>
      </c>
      <c r="H177" s="565">
        <f>B177*G177</f>
        <v>2.2570755948794807</v>
      </c>
      <c r="I177" s="565">
        <f>D137</f>
        <v>4566.1875147129558</v>
      </c>
      <c r="J177" s="565">
        <f>B177*I177</f>
        <v>2.283093757356478</v>
      </c>
      <c r="K177" s="565">
        <f>D138</f>
        <v>4619.4375148845356</v>
      </c>
      <c r="L177" s="565">
        <f>B177*K177</f>
        <v>2.3097187574422677</v>
      </c>
    </row>
    <row r="178" spans="1:14" x14ac:dyDescent="0.2">
      <c r="A178" s="566" t="s">
        <v>609</v>
      </c>
      <c r="B178" s="564">
        <f>B177/'Prod. GEXIJU'!Q22</f>
        <v>1.9230769230769231E-5</v>
      </c>
      <c r="C178" s="565">
        <f>I134</f>
        <v>4330.8217653189276</v>
      </c>
      <c r="D178" s="565">
        <f>B178*C178</f>
        <v>8.3285033948440917E-2</v>
      </c>
      <c r="E178" s="565">
        <f>C178</f>
        <v>4330.8217653189276</v>
      </c>
      <c r="F178" s="565">
        <f>B178*E178</f>
        <v>8.3285033948440917E-2</v>
      </c>
      <c r="G178" s="565">
        <f>C178</f>
        <v>4330.8217653189276</v>
      </c>
      <c r="H178" s="565">
        <f>B178*G178</f>
        <v>8.3285033948440917E-2</v>
      </c>
      <c r="I178" s="565">
        <f>C178</f>
        <v>4330.8217653189276</v>
      </c>
      <c r="J178" s="565">
        <f>B178*I178</f>
        <v>8.3285033948440917E-2</v>
      </c>
      <c r="K178" s="565">
        <f>C178</f>
        <v>4330.8217653189276</v>
      </c>
      <c r="L178" s="565">
        <f>B178*K178</f>
        <v>8.3285033948440917E-2</v>
      </c>
      <c r="M178" s="767"/>
      <c r="N178" s="767"/>
    </row>
    <row r="179" spans="1:14" x14ac:dyDescent="0.2">
      <c r="A179" s="581" t="s">
        <v>621</v>
      </c>
      <c r="B179" s="582"/>
      <c r="C179" s="583"/>
      <c r="D179" s="584">
        <f>SUM(D177:D178)</f>
        <v>2.3149287911391392</v>
      </c>
      <c r="E179" s="583"/>
      <c r="F179" s="584">
        <f>SUM(F177:F178)</f>
        <v>2.3275726651175566</v>
      </c>
      <c r="G179" s="583"/>
      <c r="H179" s="584">
        <f>SUM(H177:H178)</f>
        <v>2.3403606288279217</v>
      </c>
      <c r="I179" s="583"/>
      <c r="J179" s="584">
        <f>SUM(J177:J178)</f>
        <v>2.366378791304919</v>
      </c>
      <c r="K179" s="583"/>
      <c r="L179" s="584">
        <f>SUM(L177:L178)</f>
        <v>2.3930037913907087</v>
      </c>
      <c r="M179" s="571"/>
      <c r="N179" s="572"/>
    </row>
    <row r="180" spans="1:14" x14ac:dyDescent="0.2">
      <c r="A180" s="563" t="s">
        <v>622</v>
      </c>
      <c r="B180" s="577">
        <f>1/'Prod. GEXIJU'!J22</f>
        <v>1.0000000000000001E-5</v>
      </c>
      <c r="C180" s="565">
        <f>D134</f>
        <v>4463.2875143813962</v>
      </c>
      <c r="D180" s="565">
        <f>B180*C180</f>
        <v>4.4632875143813963E-2</v>
      </c>
      <c r="E180" s="565">
        <f>D135</f>
        <v>4488.5752623382314</v>
      </c>
      <c r="F180" s="565">
        <f>B180*E180</f>
        <v>4.4885752623382319E-2</v>
      </c>
      <c r="G180" s="565">
        <f>D136</f>
        <v>4514.1511897589617</v>
      </c>
      <c r="H180" s="565">
        <f>B180*G180</f>
        <v>4.5141511897589623E-2</v>
      </c>
      <c r="I180" s="565">
        <f>D137</f>
        <v>4566.1875147129558</v>
      </c>
      <c r="J180" s="565">
        <f>B180*I180</f>
        <v>4.5661875147129563E-2</v>
      </c>
      <c r="K180" s="565">
        <f>D138</f>
        <v>4619.4375148845356</v>
      </c>
      <c r="L180" s="565">
        <f>B180*K180</f>
        <v>4.6194375148845362E-2</v>
      </c>
    </row>
    <row r="181" spans="1:14" x14ac:dyDescent="0.2">
      <c r="A181" s="566" t="s">
        <v>609</v>
      </c>
      <c r="B181" s="564">
        <f>B180/'Prod. GEXIJU'!Q22</f>
        <v>3.8461538461538463E-7</v>
      </c>
      <c r="C181" s="565">
        <f>I134</f>
        <v>4330.8217653189276</v>
      </c>
      <c r="D181" s="565">
        <f>B181*C181</f>
        <v>1.6657006789688184E-3</v>
      </c>
      <c r="E181" s="565">
        <f>C181</f>
        <v>4330.8217653189276</v>
      </c>
      <c r="F181" s="565">
        <f>B181*E181</f>
        <v>1.6657006789688184E-3</v>
      </c>
      <c r="G181" s="565">
        <f>C181</f>
        <v>4330.8217653189276</v>
      </c>
      <c r="H181" s="565">
        <f>B181*G181</f>
        <v>1.6657006789688184E-3</v>
      </c>
      <c r="I181" s="565">
        <f>C181</f>
        <v>4330.8217653189276</v>
      </c>
      <c r="J181" s="565">
        <f>B181*I181</f>
        <v>1.6657006789688184E-3</v>
      </c>
      <c r="K181" s="565">
        <f>C181</f>
        <v>4330.8217653189276</v>
      </c>
      <c r="L181" s="565">
        <f>B181*K181</f>
        <v>1.6657006789688184E-3</v>
      </c>
    </row>
    <row r="182" spans="1:14" x14ac:dyDescent="0.2">
      <c r="A182" s="581" t="s">
        <v>623</v>
      </c>
      <c r="B182" s="585"/>
      <c r="C182" s="583"/>
      <c r="D182" s="584">
        <f>SUM(D180:D181)</f>
        <v>4.6298575822782781E-2</v>
      </c>
      <c r="E182" s="583"/>
      <c r="F182" s="584">
        <f>SUM(F180:F181)</f>
        <v>4.6551453302351137E-2</v>
      </c>
      <c r="G182" s="583"/>
      <c r="H182" s="584">
        <f>SUM(H180:H181)</f>
        <v>4.6807212576558441E-2</v>
      </c>
      <c r="I182" s="583"/>
      <c r="J182" s="584">
        <f>SUM(J180:J181)</f>
        <v>4.7327575826098381E-2</v>
      </c>
      <c r="K182" s="583"/>
      <c r="L182" s="584">
        <f>SUM(L180:L181)</f>
        <v>4.786007582781418E-2</v>
      </c>
    </row>
    <row r="183" spans="1:14" x14ac:dyDescent="0.2">
      <c r="A183" s="563" t="s">
        <v>624</v>
      </c>
      <c r="B183" s="577">
        <f>1/'Prod. GEXIJU'!K22</f>
        <v>1.1111111111111112E-4</v>
      </c>
      <c r="C183" s="565">
        <f>D134</f>
        <v>4463.2875143813962</v>
      </c>
      <c r="D183" s="565">
        <f>B183*C183</f>
        <v>0.49592083493126626</v>
      </c>
      <c r="E183" s="565">
        <f>D135</f>
        <v>4488.5752623382314</v>
      </c>
      <c r="F183" s="565">
        <f>B183*E183</f>
        <v>0.49873058470424797</v>
      </c>
      <c r="G183" s="565">
        <f>D136</f>
        <v>4514.1511897589617</v>
      </c>
      <c r="H183" s="565">
        <f>B183*G183</f>
        <v>0.50157235441766246</v>
      </c>
      <c r="I183" s="565">
        <f>D137</f>
        <v>4566.1875147129558</v>
      </c>
      <c r="J183" s="565">
        <f>B183*I183</f>
        <v>0.50735416830143953</v>
      </c>
      <c r="K183" s="565">
        <f>D138</f>
        <v>4619.4375148845356</v>
      </c>
      <c r="L183" s="565">
        <f>B183*K183</f>
        <v>0.51327083498717063</v>
      </c>
    </row>
    <row r="184" spans="1:14" x14ac:dyDescent="0.2">
      <c r="A184" s="566" t="s">
        <v>609</v>
      </c>
      <c r="B184" s="564">
        <f>B183/'Prod. GEXIJU'!Q22</f>
        <v>4.2735042735042738E-6</v>
      </c>
      <c r="C184" s="565">
        <f>I134</f>
        <v>4330.8217653189276</v>
      </c>
      <c r="D184" s="565">
        <f>B184*C184</f>
        <v>1.8507785321875761E-2</v>
      </c>
      <c r="E184" s="565">
        <f>C184</f>
        <v>4330.8217653189276</v>
      </c>
      <c r="F184" s="565">
        <f>B184*E184</f>
        <v>1.8507785321875761E-2</v>
      </c>
      <c r="G184" s="565">
        <f>C184</f>
        <v>4330.8217653189276</v>
      </c>
      <c r="H184" s="565">
        <f>B184*G184</f>
        <v>1.8507785321875761E-2</v>
      </c>
      <c r="I184" s="565">
        <f>C184</f>
        <v>4330.8217653189276</v>
      </c>
      <c r="J184" s="565">
        <f>B184*I184</f>
        <v>1.8507785321875761E-2</v>
      </c>
      <c r="K184" s="565">
        <f>C184</f>
        <v>4330.8217653189276</v>
      </c>
      <c r="L184" s="565">
        <f>B184*K184</f>
        <v>1.8507785321875761E-2</v>
      </c>
    </row>
    <row r="185" spans="1:14" x14ac:dyDescent="0.2">
      <c r="A185" s="581" t="s">
        <v>625</v>
      </c>
      <c r="B185" s="585"/>
      <c r="C185" s="583"/>
      <c r="D185" s="584">
        <f>SUM(D183:D184)</f>
        <v>0.51442862025314207</v>
      </c>
      <c r="E185" s="583"/>
      <c r="F185" s="584">
        <f>SUM(F183:F184)</f>
        <v>0.51723837002612372</v>
      </c>
      <c r="G185" s="583"/>
      <c r="H185" s="584">
        <f>SUM(H183:H184)</f>
        <v>0.52008013973953826</v>
      </c>
      <c r="I185" s="583"/>
      <c r="J185" s="584">
        <f>SUM(J183:J184)</f>
        <v>0.52586195362331534</v>
      </c>
      <c r="K185" s="583"/>
      <c r="L185" s="584">
        <f>SUM(L183:L184)</f>
        <v>0.53177862030904643</v>
      </c>
    </row>
    <row r="186" spans="1:14" x14ac:dyDescent="0.2">
      <c r="A186" s="574"/>
      <c r="B186" s="579"/>
      <c r="C186" s="579"/>
      <c r="D186" s="579"/>
      <c r="E186" s="579"/>
      <c r="F186" s="579"/>
      <c r="G186" s="579"/>
      <c r="H186" s="579"/>
    </row>
    <row r="187" spans="1:14" ht="14.25" customHeight="1" x14ac:dyDescent="0.2">
      <c r="A187" s="769" t="s">
        <v>626</v>
      </c>
      <c r="B187" s="769"/>
      <c r="C187" s="769" t="s">
        <v>599</v>
      </c>
      <c r="D187" s="769"/>
      <c r="E187" s="769" t="s">
        <v>600</v>
      </c>
      <c r="F187" s="769"/>
      <c r="G187" s="769" t="s">
        <v>601</v>
      </c>
      <c r="H187" s="769"/>
      <c r="I187" s="769" t="s">
        <v>602</v>
      </c>
      <c r="J187" s="769"/>
      <c r="K187" s="769" t="s">
        <v>603</v>
      </c>
      <c r="L187" s="769"/>
    </row>
    <row r="188" spans="1:14" ht="25.5" x14ac:dyDescent="0.2">
      <c r="A188" s="561" t="s">
        <v>604</v>
      </c>
      <c r="B188" s="562" t="s">
        <v>615</v>
      </c>
      <c r="C188" s="562" t="s">
        <v>606</v>
      </c>
      <c r="D188" s="562" t="s">
        <v>607</v>
      </c>
      <c r="E188" s="562" t="s">
        <v>606</v>
      </c>
      <c r="F188" s="562" t="s">
        <v>607</v>
      </c>
      <c r="G188" s="562" t="s">
        <v>606</v>
      </c>
      <c r="H188" s="562" t="s">
        <v>607</v>
      </c>
      <c r="I188" s="562" t="s">
        <v>606</v>
      </c>
      <c r="J188" s="562" t="s">
        <v>607</v>
      </c>
      <c r="K188" s="562" t="s">
        <v>606</v>
      </c>
      <c r="L188" s="562" t="s">
        <v>607</v>
      </c>
    </row>
    <row r="189" spans="1:14" x14ac:dyDescent="0.2">
      <c r="A189" s="586" t="s">
        <v>627</v>
      </c>
      <c r="B189" s="577">
        <f>(1/'Prod. GEXIJU'!L22)*(1/(30/7*44*6))*8</f>
        <v>4.4191919191919199E-5</v>
      </c>
      <c r="C189" s="587">
        <f>H134</f>
        <v>4744.9713717565055</v>
      </c>
      <c r="D189" s="565">
        <f>B189*C189</f>
        <v>0.20968939142863349</v>
      </c>
      <c r="E189" s="587">
        <f>H135</f>
        <v>4771.8550622480434</v>
      </c>
      <c r="F189" s="565">
        <f>B189*E189</f>
        <v>0.21087743330641609</v>
      </c>
      <c r="G189" s="587">
        <f>H136</f>
        <v>4799.04511958279</v>
      </c>
      <c r="H189" s="565">
        <f>B189*G189</f>
        <v>0.21207901412297686</v>
      </c>
      <c r="I189" s="587">
        <f>H137</f>
        <v>4854.3655244194797</v>
      </c>
      <c r="J189" s="565">
        <f>B189*I189</f>
        <v>0.21452372898318411</v>
      </c>
      <c r="K189" s="587">
        <f>H138</f>
        <v>4910.9762010890945</v>
      </c>
      <c r="L189" s="565">
        <f>B189*K189</f>
        <v>0.2170254634319676</v>
      </c>
    </row>
    <row r="190" spans="1:14" x14ac:dyDescent="0.2">
      <c r="A190" s="566" t="s">
        <v>609</v>
      </c>
      <c r="B190" s="577">
        <f>B189/4</f>
        <v>1.10479797979798E-5</v>
      </c>
      <c r="C190" s="565">
        <f>I134</f>
        <v>4330.8217653189276</v>
      </c>
      <c r="D190" s="565">
        <f>B190*C190</f>
        <v>4.7846831371894723E-2</v>
      </c>
      <c r="E190" s="565">
        <f>C190</f>
        <v>4330.8217653189276</v>
      </c>
      <c r="F190" s="565">
        <f>B190*E190</f>
        <v>4.7846831371894723E-2</v>
      </c>
      <c r="G190" s="565">
        <f>C190</f>
        <v>4330.8217653189276</v>
      </c>
      <c r="H190" s="565">
        <f>B190*G190</f>
        <v>4.7846831371894723E-2</v>
      </c>
      <c r="I190" s="565">
        <f>C190</f>
        <v>4330.8217653189276</v>
      </c>
      <c r="J190" s="565">
        <f>B190*I190</f>
        <v>4.7846831371894723E-2</v>
      </c>
      <c r="K190" s="565">
        <f>C190</f>
        <v>4330.8217653189276</v>
      </c>
      <c r="L190" s="565">
        <f>B190*K190</f>
        <v>4.7846831371894723E-2</v>
      </c>
      <c r="M190" s="767"/>
      <c r="N190" s="767"/>
    </row>
    <row r="191" spans="1:14" x14ac:dyDescent="0.2">
      <c r="A191" s="588" t="s">
        <v>628</v>
      </c>
      <c r="B191" s="589"/>
      <c r="C191" s="590"/>
      <c r="D191" s="591">
        <f>SUM(D189:D190)</f>
        <v>0.25753622280052824</v>
      </c>
      <c r="E191" s="590"/>
      <c r="F191" s="591">
        <f>SUM(F189:F190)</f>
        <v>0.25872426467831083</v>
      </c>
      <c r="G191" s="590"/>
      <c r="H191" s="591">
        <f>SUM(H189:H190)</f>
        <v>0.25992584549487158</v>
      </c>
      <c r="I191" s="590"/>
      <c r="J191" s="591">
        <f>SUM(J189:J190)</f>
        <v>0.26237056035507883</v>
      </c>
      <c r="K191" s="590"/>
      <c r="L191" s="591">
        <f>SUM(L189:L190)</f>
        <v>0.26487229480386232</v>
      </c>
      <c r="M191" s="571"/>
      <c r="N191" s="572"/>
    </row>
    <row r="192" spans="1:14" x14ac:dyDescent="0.2">
      <c r="A192" s="586" t="s">
        <v>629</v>
      </c>
      <c r="B192" s="577">
        <f>1/'Prod. GEXIJU'!M22*16*(1/188.76)</f>
        <v>2.2306242401936183E-4</v>
      </c>
      <c r="C192" s="565">
        <f>D134</f>
        <v>4463.2875143813962</v>
      </c>
      <c r="D192" s="565">
        <f>B192*C192</f>
        <v>0.99559173205326656</v>
      </c>
      <c r="E192" s="565">
        <f>D135</f>
        <v>4488.5752623382314</v>
      </c>
      <c r="F192" s="565">
        <f>B192*E192</f>
        <v>1.0012324784105089</v>
      </c>
      <c r="G192" s="565">
        <f>D136</f>
        <v>4514.1511897589617</v>
      </c>
      <c r="H192" s="565">
        <f>B192*G192</f>
        <v>1.0069375067775201</v>
      </c>
      <c r="I192" s="565">
        <f>D137</f>
        <v>4566.1875147129558</v>
      </c>
      <c r="J192" s="565">
        <f>B192*I192</f>
        <v>1.0185448555588172</v>
      </c>
      <c r="K192" s="565">
        <f>D138</f>
        <v>4619.4375148845356</v>
      </c>
      <c r="L192" s="565">
        <f>B192*K192</f>
        <v>1.0304229296761214</v>
      </c>
    </row>
    <row r="193" spans="1:14" x14ac:dyDescent="0.2">
      <c r="A193" s="566" t="s">
        <v>609</v>
      </c>
      <c r="B193" s="577">
        <f>1/('Prod. GEXIJU'!Q22*'Prod. GEXIJU'!M22)*16*(1/188.76)</f>
        <v>8.5793240007446859E-6</v>
      </c>
      <c r="C193" s="565">
        <f>I134</f>
        <v>4330.8217653189276</v>
      </c>
      <c r="D193" s="565">
        <f>B193*C193</f>
        <v>3.7155523114148145E-2</v>
      </c>
      <c r="E193" s="565">
        <f>C193</f>
        <v>4330.8217653189276</v>
      </c>
      <c r="F193" s="565">
        <f>B193*E193</f>
        <v>3.7155523114148145E-2</v>
      </c>
      <c r="G193" s="565">
        <f>C193</f>
        <v>4330.8217653189276</v>
      </c>
      <c r="H193" s="565">
        <f>B193*G193</f>
        <v>3.7155523114148145E-2</v>
      </c>
      <c r="I193" s="565">
        <f>C193</f>
        <v>4330.8217653189276</v>
      </c>
      <c r="J193" s="565">
        <f>B193*I193</f>
        <v>3.7155523114148145E-2</v>
      </c>
      <c r="K193" s="565">
        <f>C193</f>
        <v>4330.8217653189276</v>
      </c>
      <c r="L193" s="565">
        <f>B193*K193</f>
        <v>3.7155523114148145E-2</v>
      </c>
      <c r="M193" s="767"/>
      <c r="N193" s="767"/>
    </row>
    <row r="194" spans="1:14" x14ac:dyDescent="0.2">
      <c r="A194" s="588" t="s">
        <v>630</v>
      </c>
      <c r="B194" s="589"/>
      <c r="C194" s="590"/>
      <c r="D194" s="591">
        <f>SUM(D192:D193)</f>
        <v>1.0327472551674146</v>
      </c>
      <c r="E194" s="590"/>
      <c r="F194" s="591">
        <f>SUM(F192:F193)</f>
        <v>1.0383880015246569</v>
      </c>
      <c r="G194" s="590"/>
      <c r="H194" s="591">
        <f>SUM(H192:H193)</f>
        <v>1.0440930298916682</v>
      </c>
      <c r="I194" s="590"/>
      <c r="J194" s="591">
        <f>SUM(J192:J193)</f>
        <v>1.0557003786729653</v>
      </c>
      <c r="K194" s="590"/>
      <c r="L194" s="591">
        <f>SUM(L192:L193)</f>
        <v>1.0675784527902694</v>
      </c>
      <c r="M194" s="571"/>
      <c r="N194" s="572"/>
    </row>
    <row r="195" spans="1:14" x14ac:dyDescent="0.2">
      <c r="A195" s="563" t="s">
        <v>631</v>
      </c>
      <c r="B195" s="577">
        <f>1/'Prod. GEXIJU'!N22*16*(1/188.76)</f>
        <v>2.2306242401936183E-4</v>
      </c>
      <c r="C195" s="565">
        <f>D134</f>
        <v>4463.2875143813962</v>
      </c>
      <c r="D195" s="565">
        <f>B195*C195</f>
        <v>0.99559173205326656</v>
      </c>
      <c r="E195" s="565">
        <f>D135</f>
        <v>4488.5752623382314</v>
      </c>
      <c r="F195" s="565">
        <f>B195*E195</f>
        <v>1.0012324784105089</v>
      </c>
      <c r="G195" s="565">
        <f>D136</f>
        <v>4514.1511897589617</v>
      </c>
      <c r="H195" s="565">
        <f>B195*G195</f>
        <v>1.0069375067775201</v>
      </c>
      <c r="I195" s="565">
        <f>D137</f>
        <v>4566.1875147129558</v>
      </c>
      <c r="J195" s="565">
        <f>B195*I195</f>
        <v>1.0185448555588172</v>
      </c>
      <c r="K195" s="565">
        <f>D138</f>
        <v>4619.4375148845356</v>
      </c>
      <c r="L195" s="565">
        <f>B195*K195</f>
        <v>1.0304229296761214</v>
      </c>
    </row>
    <row r="196" spans="1:14" x14ac:dyDescent="0.2">
      <c r="A196" s="566" t="s">
        <v>609</v>
      </c>
      <c r="B196" s="577">
        <f>1/('Prod. GEXIJU'!Q22*'Prod. GEXIJU'!N22)*16*(1/188.76)</f>
        <v>8.5793240007446859E-6</v>
      </c>
      <c r="C196" s="565">
        <f>I134</f>
        <v>4330.8217653189276</v>
      </c>
      <c r="D196" s="565">
        <f>B196*C196</f>
        <v>3.7155523114148145E-2</v>
      </c>
      <c r="E196" s="565">
        <f>C196</f>
        <v>4330.8217653189276</v>
      </c>
      <c r="F196" s="565">
        <f>B196*E196</f>
        <v>3.7155523114148145E-2</v>
      </c>
      <c r="G196" s="565">
        <f>C196</f>
        <v>4330.8217653189276</v>
      </c>
      <c r="H196" s="565">
        <f>B196*G196</f>
        <v>3.7155523114148145E-2</v>
      </c>
      <c r="I196" s="565">
        <f>C196</f>
        <v>4330.8217653189276</v>
      </c>
      <c r="J196" s="565">
        <f>B196*I196</f>
        <v>3.7155523114148145E-2</v>
      </c>
      <c r="K196" s="565">
        <f>C196</f>
        <v>4330.8217653189276</v>
      </c>
      <c r="L196" s="565">
        <f>B196*K196</f>
        <v>3.7155523114148145E-2</v>
      </c>
      <c r="M196" s="767"/>
      <c r="N196" s="767"/>
    </row>
    <row r="197" spans="1:14" x14ac:dyDescent="0.2">
      <c r="A197" s="588" t="s">
        <v>632</v>
      </c>
      <c r="B197" s="589"/>
      <c r="C197" s="590"/>
      <c r="D197" s="591">
        <f>SUM(D195:D196)</f>
        <v>1.0327472551674146</v>
      </c>
      <c r="E197" s="590"/>
      <c r="F197" s="591">
        <f>SUM(F195:F196)</f>
        <v>1.0383880015246569</v>
      </c>
      <c r="G197" s="590"/>
      <c r="H197" s="591">
        <f>SUM(H195:H196)</f>
        <v>1.0440930298916682</v>
      </c>
      <c r="I197" s="590"/>
      <c r="J197" s="591">
        <f>SUM(J195:J196)</f>
        <v>1.0557003786729653</v>
      </c>
      <c r="K197" s="590"/>
      <c r="L197" s="591">
        <f>SUM(L195:L196)</f>
        <v>1.0675784527902694</v>
      </c>
      <c r="M197" s="571"/>
      <c r="N197" s="572"/>
    </row>
    <row r="198" spans="1:14" x14ac:dyDescent="0.2">
      <c r="A198" s="560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F139"/>
  <sheetViews>
    <sheetView zoomScale="75" zoomScaleNormal="75" workbookViewId="0">
      <pane ySplit="10" topLeftCell="A11" activePane="bottomLeft" state="frozen"/>
      <selection pane="bottomLeft" activeCell="C14" sqref="C14"/>
    </sheetView>
  </sheetViews>
  <sheetFormatPr defaultRowHeight="14.25" x14ac:dyDescent="0.2"/>
  <cols>
    <col min="1" max="1" width="55.5" style="393" customWidth="1"/>
    <col min="2" max="5" width="14" style="393" customWidth="1"/>
    <col min="6" max="1020" width="9" style="393" customWidth="1"/>
    <col min="1021" max="1025" width="8.625" customWidth="1"/>
  </cols>
  <sheetData>
    <row r="1" spans="1:5" ht="15.75" x14ac:dyDescent="0.2">
      <c r="A1" s="744" t="s">
        <v>480</v>
      </c>
      <c r="B1" s="744"/>
      <c r="C1" s="744"/>
      <c r="D1" s="744"/>
      <c r="E1" s="744"/>
    </row>
    <row r="2" spans="1:5" ht="15.75" x14ac:dyDescent="0.2">
      <c r="A2" s="745" t="s">
        <v>481</v>
      </c>
      <c r="B2" s="745"/>
      <c r="C2" s="745"/>
      <c r="D2" s="745"/>
      <c r="E2" s="745"/>
    </row>
    <row r="3" spans="1:5" ht="15.75" customHeight="1" x14ac:dyDescent="0.2">
      <c r="A3" s="745" t="s">
        <v>482</v>
      </c>
      <c r="B3" s="745"/>
      <c r="C3" s="745"/>
      <c r="D3" s="745"/>
      <c r="E3" s="745"/>
    </row>
    <row r="4" spans="1:5" ht="15.75" x14ac:dyDescent="0.2">
      <c r="A4" s="394"/>
      <c r="B4" s="395"/>
      <c r="C4" s="396" t="s">
        <v>483</v>
      </c>
      <c r="D4" s="399" t="s">
        <v>484</v>
      </c>
      <c r="E4" s="399" t="s">
        <v>485</v>
      </c>
    </row>
    <row r="5" spans="1:5" x14ac:dyDescent="0.2">
      <c r="A5" s="400"/>
      <c r="B5" s="401" t="s">
        <v>488</v>
      </c>
      <c r="C5" s="402">
        <f>MC!$D11</f>
        <v>1194.6272727272726</v>
      </c>
      <c r="D5" s="402">
        <f>MC!$E11</f>
        <v>895.97045454545446</v>
      </c>
      <c r="E5" s="404">
        <f>MC!$F11</f>
        <v>597.31363636363631</v>
      </c>
    </row>
    <row r="6" spans="1:5" x14ac:dyDescent="0.2">
      <c r="A6" s="400"/>
      <c r="B6" s="401" t="s">
        <v>489</v>
      </c>
      <c r="C6" s="405">
        <f>MC!E8</f>
        <v>44562</v>
      </c>
      <c r="D6" s="407">
        <f>MC!E8</f>
        <v>44562</v>
      </c>
      <c r="E6" s="407">
        <f>MC!E8</f>
        <v>44562</v>
      </c>
    </row>
    <row r="7" spans="1:5" x14ac:dyDescent="0.2">
      <c r="A7" s="400"/>
      <c r="B7" s="401" t="s">
        <v>490</v>
      </c>
      <c r="C7" s="405" t="str">
        <f>MC!C8</f>
        <v>RS005021/2021</v>
      </c>
      <c r="D7" s="407" t="str">
        <f>MC!C8</f>
        <v>RS005021/2021</v>
      </c>
      <c r="E7" s="407" t="str">
        <f>MC!C8</f>
        <v>RS005021/2021</v>
      </c>
    </row>
    <row r="8" spans="1:5" x14ac:dyDescent="0.2">
      <c r="A8" s="400"/>
      <c r="B8" s="401" t="s">
        <v>491</v>
      </c>
      <c r="C8" s="408" t="str">
        <f>MC!F8</f>
        <v>5143-20</v>
      </c>
      <c r="D8" s="410" t="str">
        <f>MC!F8</f>
        <v>5143-20</v>
      </c>
      <c r="E8" s="410" t="str">
        <f>MC!F8</f>
        <v>5143-20</v>
      </c>
    </row>
    <row r="9" spans="1:5" x14ac:dyDescent="0.2">
      <c r="A9" s="752"/>
      <c r="B9" s="752"/>
      <c r="C9" s="752"/>
      <c r="D9" s="752"/>
      <c r="E9" s="752"/>
    </row>
    <row r="10" spans="1:5" ht="66.75" customHeight="1" x14ac:dyDescent="0.2">
      <c r="A10" s="411" t="s">
        <v>492</v>
      </c>
      <c r="B10" s="412" t="s">
        <v>493</v>
      </c>
      <c r="C10" s="412" t="s">
        <v>633</v>
      </c>
      <c r="D10" s="592" t="s">
        <v>634</v>
      </c>
      <c r="E10" s="593" t="s">
        <v>635</v>
      </c>
    </row>
    <row r="11" spans="1:5" ht="14.25" customHeight="1" x14ac:dyDescent="0.2">
      <c r="A11" s="753" t="s">
        <v>501</v>
      </c>
      <c r="B11" s="753"/>
      <c r="C11" s="753"/>
      <c r="D11" s="753"/>
      <c r="E11" s="753"/>
    </row>
    <row r="12" spans="1:5" ht="14.25" customHeight="1" x14ac:dyDescent="0.2">
      <c r="A12" s="415" t="s">
        <v>502</v>
      </c>
      <c r="B12" s="416" t="s">
        <v>503</v>
      </c>
      <c r="C12" s="416" t="s">
        <v>504</v>
      </c>
      <c r="D12" s="594" t="s">
        <v>504</v>
      </c>
      <c r="E12" s="595" t="s">
        <v>504</v>
      </c>
    </row>
    <row r="13" spans="1:5" ht="14.25" customHeight="1" x14ac:dyDescent="0.2">
      <c r="A13" s="418" t="s">
        <v>505</v>
      </c>
      <c r="B13" s="419"/>
      <c r="C13" s="420">
        <f>C5</f>
        <v>1194.6272727272726</v>
      </c>
      <c r="D13" s="420">
        <f>D5</f>
        <v>895.97045454545446</v>
      </c>
      <c r="E13" s="422">
        <f>E5</f>
        <v>597.31363636363631</v>
      </c>
    </row>
    <row r="14" spans="1:5" ht="14.25" customHeight="1" x14ac:dyDescent="0.2">
      <c r="A14" s="418" t="s">
        <v>506</v>
      </c>
      <c r="B14" s="442">
        <v>0.2</v>
      </c>
      <c r="C14" s="420">
        <f>C13*$B$14</f>
        <v>238.92545454545453</v>
      </c>
      <c r="D14" s="596">
        <f>D13*$B$14</f>
        <v>179.1940909090909</v>
      </c>
      <c r="E14" s="597">
        <f>B14*E13</f>
        <v>119.46272727272726</v>
      </c>
    </row>
    <row r="15" spans="1:5" ht="14.25" customHeight="1" x14ac:dyDescent="0.2">
      <c r="A15" s="418" t="s">
        <v>508</v>
      </c>
      <c r="B15" s="426"/>
      <c r="C15" s="420"/>
      <c r="D15" s="596"/>
      <c r="E15" s="597"/>
    </row>
    <row r="16" spans="1:5" ht="14.25" customHeight="1" x14ac:dyDescent="0.2">
      <c r="A16" s="418" t="s">
        <v>509</v>
      </c>
      <c r="B16" s="426"/>
      <c r="C16" s="420"/>
      <c r="D16" s="596"/>
      <c r="E16" s="597"/>
    </row>
    <row r="17" spans="1:5" ht="14.25" customHeight="1" x14ac:dyDescent="0.2">
      <c r="A17" s="418" t="s">
        <v>510</v>
      </c>
      <c r="B17" s="426"/>
      <c r="C17" s="420"/>
      <c r="D17" s="596"/>
      <c r="E17" s="597"/>
    </row>
    <row r="18" spans="1:5" ht="14.25" customHeight="1" x14ac:dyDescent="0.2">
      <c r="A18" s="418" t="s">
        <v>511</v>
      </c>
      <c r="B18" s="428"/>
      <c r="C18" s="420"/>
      <c r="D18" s="596"/>
      <c r="E18" s="597"/>
    </row>
    <row r="19" spans="1:5" ht="14.25" customHeight="1" x14ac:dyDescent="0.2">
      <c r="A19" s="429" t="s">
        <v>512</v>
      </c>
      <c r="B19" s="430"/>
      <c r="C19" s="444">
        <f>SUM(C13:C18)</f>
        <v>1433.5527272727272</v>
      </c>
      <c r="D19" s="598">
        <f>SUM(D13:D18)</f>
        <v>1075.1645454545453</v>
      </c>
      <c r="E19" s="599">
        <f>SUM(E13:E18)</f>
        <v>716.77636363636361</v>
      </c>
    </row>
    <row r="20" spans="1:5" ht="14.25" customHeight="1" x14ac:dyDescent="0.2">
      <c r="A20" s="754"/>
      <c r="B20" s="754"/>
      <c r="C20" s="754"/>
      <c r="D20" s="754"/>
      <c r="E20" s="754"/>
    </row>
    <row r="21" spans="1:5" ht="14.25" customHeight="1" x14ac:dyDescent="0.2">
      <c r="A21" s="770" t="s">
        <v>513</v>
      </c>
      <c r="B21" s="770"/>
      <c r="C21" s="770"/>
      <c r="D21" s="770"/>
      <c r="E21" s="770"/>
    </row>
    <row r="22" spans="1:5" ht="14.25" customHeight="1" x14ac:dyDescent="0.2">
      <c r="A22" s="438" t="s">
        <v>514</v>
      </c>
      <c r="B22" s="439" t="s">
        <v>503</v>
      </c>
      <c r="C22" s="439" t="s">
        <v>504</v>
      </c>
      <c r="D22" s="600" t="s">
        <v>504</v>
      </c>
      <c r="E22" s="601" t="s">
        <v>504</v>
      </c>
    </row>
    <row r="23" spans="1:5" ht="14.25" customHeight="1" x14ac:dyDescent="0.2">
      <c r="A23" s="441" t="s">
        <v>515</v>
      </c>
      <c r="B23" s="442">
        <f>1/12</f>
        <v>8.3333333333333329E-2</v>
      </c>
      <c r="C23" s="420">
        <f>ROUND($B23*C$19,2)</f>
        <v>119.46</v>
      </c>
      <c r="D23" s="596">
        <f>ROUND($B23*D$19,2)</f>
        <v>89.6</v>
      </c>
      <c r="E23" s="597">
        <f>ROUND($B23*E$19,2)</f>
        <v>59.73</v>
      </c>
    </row>
    <row r="24" spans="1:5" ht="14.25" customHeight="1" x14ac:dyDescent="0.2">
      <c r="A24" s="441" t="s">
        <v>516</v>
      </c>
      <c r="B24" s="442">
        <f>1/3*1/12</f>
        <v>2.7777777777777776E-2</v>
      </c>
      <c r="C24" s="420">
        <f>C$19*$B$24</f>
        <v>39.82090909090909</v>
      </c>
      <c r="D24" s="596">
        <f>D$19*$B$24</f>
        <v>29.865681818181812</v>
      </c>
      <c r="E24" s="597">
        <f>E$19*$B$24</f>
        <v>19.910454545454545</v>
      </c>
    </row>
    <row r="25" spans="1:5" ht="14.25" customHeight="1" x14ac:dyDescent="0.2">
      <c r="A25" s="429" t="s">
        <v>512</v>
      </c>
      <c r="B25" s="443">
        <f>SUM(B23:B24)</f>
        <v>0.1111111111111111</v>
      </c>
      <c r="C25" s="444">
        <f>SUM(C23:C24)</f>
        <v>159.28090909090909</v>
      </c>
      <c r="D25" s="598">
        <f>SUM(D23:D24)</f>
        <v>119.46568181818181</v>
      </c>
      <c r="E25" s="599">
        <f>SUM(E23:E24)</f>
        <v>79.640454545454546</v>
      </c>
    </row>
    <row r="26" spans="1:5" ht="14.25" customHeight="1" x14ac:dyDescent="0.2">
      <c r="A26" s="438" t="s">
        <v>517</v>
      </c>
      <c r="B26" s="439" t="s">
        <v>503</v>
      </c>
      <c r="C26" s="439" t="s">
        <v>504</v>
      </c>
      <c r="D26" s="600" t="s">
        <v>504</v>
      </c>
      <c r="E26" s="601" t="s">
        <v>504</v>
      </c>
    </row>
    <row r="27" spans="1:5" ht="14.25" customHeight="1" x14ac:dyDescent="0.2">
      <c r="A27" s="438" t="s">
        <v>518</v>
      </c>
      <c r="B27" s="446"/>
      <c r="C27" s="446"/>
      <c r="D27" s="602"/>
      <c r="E27" s="603"/>
    </row>
    <row r="28" spans="1:5" ht="14.25" customHeight="1" x14ac:dyDescent="0.2">
      <c r="A28" s="441" t="s">
        <v>519</v>
      </c>
      <c r="B28" s="442">
        <v>0.2</v>
      </c>
      <c r="C28" s="604">
        <f t="shared" ref="C28:E35" si="0">ROUND((C$19+C$25)*$B28,2)</f>
        <v>318.57</v>
      </c>
      <c r="D28" s="604">
        <f t="shared" si="0"/>
        <v>238.93</v>
      </c>
      <c r="E28" s="605">
        <f t="shared" si="0"/>
        <v>159.28</v>
      </c>
    </row>
    <row r="29" spans="1:5" ht="14.25" customHeight="1" x14ac:dyDescent="0.2">
      <c r="A29" s="441" t="s">
        <v>520</v>
      </c>
      <c r="B29" s="442">
        <v>2.5000000000000001E-2</v>
      </c>
      <c r="C29" s="604">
        <f t="shared" si="0"/>
        <v>39.82</v>
      </c>
      <c r="D29" s="604">
        <f t="shared" si="0"/>
        <v>29.87</v>
      </c>
      <c r="E29" s="605">
        <f t="shared" si="0"/>
        <v>19.91</v>
      </c>
    </row>
    <row r="30" spans="1:5" ht="14.25" customHeight="1" x14ac:dyDescent="0.2">
      <c r="A30" s="441" t="s">
        <v>521</v>
      </c>
      <c r="B30" s="442">
        <v>0.03</v>
      </c>
      <c r="C30" s="604">
        <f t="shared" si="0"/>
        <v>47.79</v>
      </c>
      <c r="D30" s="604">
        <f t="shared" si="0"/>
        <v>35.840000000000003</v>
      </c>
      <c r="E30" s="605">
        <f t="shared" si="0"/>
        <v>23.89</v>
      </c>
    </row>
    <row r="31" spans="1:5" ht="14.25" customHeight="1" x14ac:dyDescent="0.2">
      <c r="A31" s="441" t="s">
        <v>522</v>
      </c>
      <c r="B31" s="442">
        <v>1.4999999999999999E-2</v>
      </c>
      <c r="C31" s="604">
        <f t="shared" si="0"/>
        <v>23.89</v>
      </c>
      <c r="D31" s="604">
        <f t="shared" si="0"/>
        <v>17.920000000000002</v>
      </c>
      <c r="E31" s="605">
        <f t="shared" si="0"/>
        <v>11.95</v>
      </c>
    </row>
    <row r="32" spans="1:5" ht="14.25" customHeight="1" x14ac:dyDescent="0.2">
      <c r="A32" s="441" t="s">
        <v>523</v>
      </c>
      <c r="B32" s="442">
        <v>0.01</v>
      </c>
      <c r="C32" s="604">
        <f t="shared" si="0"/>
        <v>15.93</v>
      </c>
      <c r="D32" s="604">
        <f t="shared" si="0"/>
        <v>11.95</v>
      </c>
      <c r="E32" s="605">
        <f t="shared" si="0"/>
        <v>7.96</v>
      </c>
    </row>
    <row r="33" spans="1:5" ht="14.25" customHeight="1" x14ac:dyDescent="0.2">
      <c r="A33" s="441" t="s">
        <v>524</v>
      </c>
      <c r="B33" s="442">
        <v>6.0000000000000001E-3</v>
      </c>
      <c r="C33" s="604">
        <f t="shared" si="0"/>
        <v>9.56</v>
      </c>
      <c r="D33" s="604">
        <f t="shared" si="0"/>
        <v>7.17</v>
      </c>
      <c r="E33" s="605">
        <f t="shared" si="0"/>
        <v>4.78</v>
      </c>
    </row>
    <row r="34" spans="1:5" ht="14.25" customHeight="1" x14ac:dyDescent="0.2">
      <c r="A34" s="441" t="s">
        <v>525</v>
      </c>
      <c r="B34" s="442">
        <v>2E-3</v>
      </c>
      <c r="C34" s="604">
        <f t="shared" si="0"/>
        <v>3.19</v>
      </c>
      <c r="D34" s="604">
        <f t="shared" si="0"/>
        <v>2.39</v>
      </c>
      <c r="E34" s="605">
        <f t="shared" si="0"/>
        <v>1.59</v>
      </c>
    </row>
    <row r="35" spans="1:5" ht="14.25" customHeight="1" x14ac:dyDescent="0.2">
      <c r="A35" s="441" t="s">
        <v>526</v>
      </c>
      <c r="B35" s="442">
        <v>0.08</v>
      </c>
      <c r="C35" s="604">
        <f t="shared" si="0"/>
        <v>127.43</v>
      </c>
      <c r="D35" s="604">
        <f t="shared" si="0"/>
        <v>95.57</v>
      </c>
      <c r="E35" s="605">
        <f t="shared" si="0"/>
        <v>63.71</v>
      </c>
    </row>
    <row r="36" spans="1:5" ht="14.25" customHeight="1" x14ac:dyDescent="0.2">
      <c r="A36" s="429" t="s">
        <v>512</v>
      </c>
      <c r="B36" s="443">
        <f>SUM(B28:B35)</f>
        <v>0.36800000000000005</v>
      </c>
      <c r="C36" s="444">
        <f>SUM(C27:C35)</f>
        <v>586.18000000000006</v>
      </c>
      <c r="D36" s="598">
        <f>SUM(D27:D35)</f>
        <v>439.64</v>
      </c>
      <c r="E36" s="599">
        <f>SUM(E27:E35)</f>
        <v>293.07</v>
      </c>
    </row>
    <row r="37" spans="1:5" ht="14.25" customHeight="1" x14ac:dyDescent="0.2">
      <c r="A37" s="438" t="s">
        <v>527</v>
      </c>
      <c r="B37" s="439" t="s">
        <v>528</v>
      </c>
      <c r="C37" s="439" t="s">
        <v>504</v>
      </c>
      <c r="D37" s="600" t="s">
        <v>504</v>
      </c>
      <c r="E37" s="440" t="s">
        <v>504</v>
      </c>
    </row>
    <row r="38" spans="1:5" ht="14.25" customHeight="1" x14ac:dyDescent="0.2">
      <c r="A38" s="441" t="s">
        <v>529</v>
      </c>
      <c r="B38" s="451">
        <f>MC!K89</f>
        <v>3.8883333333333332</v>
      </c>
      <c r="C38" s="420">
        <f>ROUND(((2*22*$B$38)-0.06*C$13),2)</f>
        <v>99.41</v>
      </c>
      <c r="D38" s="596">
        <f>ROUND(((2*22*$B$38)-0.06*D$13),2)</f>
        <v>117.33</v>
      </c>
      <c r="E38" s="597">
        <f>ROUND(((2*22*$B$38)-0.06*E$13),2)</f>
        <v>135.25</v>
      </c>
    </row>
    <row r="39" spans="1:5" ht="14.25" customHeight="1" x14ac:dyDescent="0.2">
      <c r="A39" s="441" t="s">
        <v>530</v>
      </c>
      <c r="B39" s="452"/>
      <c r="C39" s="449">
        <f>MC!E19</f>
        <v>359.61</v>
      </c>
      <c r="D39" s="604">
        <f>MC!E20</f>
        <v>179.8</v>
      </c>
      <c r="E39" s="605">
        <f>MC!E20</f>
        <v>179.8</v>
      </c>
    </row>
    <row r="40" spans="1:5" ht="14.25" customHeight="1" x14ac:dyDescent="0.2">
      <c r="A40" s="441" t="s">
        <v>531</v>
      </c>
      <c r="B40" s="442">
        <f>MC!C24</f>
        <v>0</v>
      </c>
      <c r="C40" s="449"/>
      <c r="D40" s="604"/>
      <c r="E40" s="605"/>
    </row>
    <row r="41" spans="1:5" ht="14.25" customHeight="1" x14ac:dyDescent="0.2">
      <c r="A41" s="441" t="s">
        <v>636</v>
      </c>
      <c r="B41" s="455">
        <f>MC!E26</f>
        <v>0</v>
      </c>
      <c r="C41" s="449">
        <f>B41</f>
        <v>0</v>
      </c>
      <c r="D41" s="604">
        <f>B41</f>
        <v>0</v>
      </c>
      <c r="E41" s="605"/>
    </row>
    <row r="42" spans="1:5" ht="14.25" customHeight="1" x14ac:dyDescent="0.2">
      <c r="A42" s="441" t="s">
        <v>637</v>
      </c>
      <c r="B42" s="455">
        <f>MC!E27</f>
        <v>17.32</v>
      </c>
      <c r="C42" s="449">
        <f>$B42</f>
        <v>17.32</v>
      </c>
      <c r="D42" s="449">
        <f>$B42</f>
        <v>17.32</v>
      </c>
      <c r="E42" s="450">
        <f>$B42</f>
        <v>17.32</v>
      </c>
    </row>
    <row r="43" spans="1:5" ht="14.25" customHeight="1" x14ac:dyDescent="0.2">
      <c r="A43" s="441" t="s">
        <v>534</v>
      </c>
      <c r="B43" s="442"/>
      <c r="C43" s="449"/>
      <c r="D43" s="604"/>
      <c r="E43" s="605"/>
    </row>
    <row r="44" spans="1:5" ht="14.25" customHeight="1" x14ac:dyDescent="0.2">
      <c r="A44" s="429" t="s">
        <v>512</v>
      </c>
      <c r="B44" s="430"/>
      <c r="C44" s="444">
        <f>SUM(C38:C43)</f>
        <v>476.34</v>
      </c>
      <c r="D44" s="598">
        <f>SUM(D38:D43)</f>
        <v>314.45</v>
      </c>
      <c r="E44" s="599">
        <f>SUM(E38:E43)</f>
        <v>332.37</v>
      </c>
    </row>
    <row r="45" spans="1:5" ht="14.25" customHeight="1" x14ac:dyDescent="0.2">
      <c r="A45" s="415" t="s">
        <v>535</v>
      </c>
      <c r="B45" s="416" t="s">
        <v>503</v>
      </c>
      <c r="C45" s="416" t="s">
        <v>504</v>
      </c>
      <c r="D45" s="594" t="s">
        <v>504</v>
      </c>
      <c r="E45" s="595" t="s">
        <v>504</v>
      </c>
    </row>
    <row r="46" spans="1:5" ht="14.25" customHeight="1" x14ac:dyDescent="0.2">
      <c r="A46" s="441" t="s">
        <v>514</v>
      </c>
      <c r="B46" s="458">
        <f>B25</f>
        <v>0.1111111111111111</v>
      </c>
      <c r="C46" s="459">
        <f>C25</f>
        <v>159.28090909090909</v>
      </c>
      <c r="D46" s="606">
        <f>D25</f>
        <v>119.46568181818181</v>
      </c>
      <c r="E46" s="607">
        <f>E25</f>
        <v>79.640454545454546</v>
      </c>
    </row>
    <row r="47" spans="1:5" ht="14.25" customHeight="1" x14ac:dyDescent="0.2">
      <c r="A47" s="441" t="s">
        <v>536</v>
      </c>
      <c r="B47" s="458">
        <f>B36</f>
        <v>0.36800000000000005</v>
      </c>
      <c r="C47" s="459">
        <f>C36</f>
        <v>586.18000000000006</v>
      </c>
      <c r="D47" s="606">
        <f>D36</f>
        <v>439.64</v>
      </c>
      <c r="E47" s="607">
        <f>E36</f>
        <v>293.07</v>
      </c>
    </row>
    <row r="48" spans="1:5" ht="14.25" customHeight="1" x14ac:dyDescent="0.2">
      <c r="A48" s="441" t="s">
        <v>527</v>
      </c>
      <c r="B48" s="458"/>
      <c r="C48" s="459">
        <f>C44</f>
        <v>476.34</v>
      </c>
      <c r="D48" s="606">
        <f>D44</f>
        <v>314.45</v>
      </c>
      <c r="E48" s="607">
        <f>E44</f>
        <v>332.37</v>
      </c>
    </row>
    <row r="49" spans="1:5" ht="14.25" customHeight="1" x14ac:dyDescent="0.2">
      <c r="A49" s="429" t="s">
        <v>512</v>
      </c>
      <c r="B49" s="430"/>
      <c r="C49" s="444">
        <f>SUM(C46:C48)</f>
        <v>1221.800909090909</v>
      </c>
      <c r="D49" s="598">
        <f>SUM(D46:D48)</f>
        <v>873.55568181818171</v>
      </c>
      <c r="E49" s="599">
        <f>SUM(E46:E48)</f>
        <v>705.08045454545459</v>
      </c>
    </row>
    <row r="50" spans="1:5" ht="14.25" customHeight="1" x14ac:dyDescent="0.2">
      <c r="A50" s="754"/>
      <c r="B50" s="754"/>
      <c r="C50" s="754"/>
      <c r="D50" s="754"/>
      <c r="E50" s="754"/>
    </row>
    <row r="51" spans="1:5" s="461" customFormat="1" ht="14.25" customHeight="1" x14ac:dyDescent="0.2">
      <c r="A51" s="770" t="s">
        <v>537</v>
      </c>
      <c r="B51" s="770"/>
      <c r="C51" s="770"/>
      <c r="D51" s="770"/>
      <c r="E51" s="770"/>
    </row>
    <row r="52" spans="1:5" ht="14.25" customHeight="1" x14ac:dyDescent="0.2">
      <c r="A52" s="415" t="s">
        <v>538</v>
      </c>
      <c r="B52" s="416" t="s">
        <v>503</v>
      </c>
      <c r="C52" s="416" t="s">
        <v>504</v>
      </c>
      <c r="D52" s="594" t="s">
        <v>504</v>
      </c>
      <c r="E52" s="595" t="s">
        <v>504</v>
      </c>
    </row>
    <row r="53" spans="1:5" ht="14.25" customHeight="1" x14ac:dyDescent="0.2">
      <c r="A53" s="438" t="s">
        <v>539</v>
      </c>
      <c r="B53" s="462"/>
      <c r="C53" s="462"/>
      <c r="D53" s="608"/>
      <c r="E53" s="609"/>
    </row>
    <row r="54" spans="1:5" ht="14.25" customHeight="1" x14ac:dyDescent="0.2">
      <c r="A54" s="441" t="s">
        <v>540</v>
      </c>
      <c r="B54" s="458">
        <f>1/12*0.05</f>
        <v>4.1666666666666666E-3</v>
      </c>
      <c r="C54" s="465">
        <f>C19*$B54</f>
        <v>5.973136363636363</v>
      </c>
      <c r="D54" s="610">
        <f>D19*$B54</f>
        <v>4.479852272727272</v>
      </c>
      <c r="E54" s="611">
        <f>E19*$B54</f>
        <v>2.9865681818181815</v>
      </c>
    </row>
    <row r="55" spans="1:5" ht="14.25" customHeight="1" x14ac:dyDescent="0.2">
      <c r="A55" s="441" t="s">
        <v>541</v>
      </c>
      <c r="B55" s="458">
        <f>B35*B54</f>
        <v>3.3333333333333332E-4</v>
      </c>
      <c r="C55" s="465">
        <f>$B$55*C19</f>
        <v>0.47785090909090905</v>
      </c>
      <c r="D55" s="610">
        <f>$B$55*D19</f>
        <v>0.35838818181818177</v>
      </c>
      <c r="E55" s="611">
        <f>$B$55*E19</f>
        <v>0.23892545454545452</v>
      </c>
    </row>
    <row r="56" spans="1:5" ht="14.25" customHeight="1" x14ac:dyDescent="0.2">
      <c r="A56" s="441" t="s">
        <v>542</v>
      </c>
      <c r="B56" s="458">
        <v>0</v>
      </c>
      <c r="C56" s="465">
        <f>C35*$B56</f>
        <v>0</v>
      </c>
      <c r="D56" s="610">
        <f>D35*$B56</f>
        <v>0</v>
      </c>
      <c r="E56" s="611">
        <f>E35*$B56</f>
        <v>0</v>
      </c>
    </row>
    <row r="57" spans="1:5" ht="14.25" customHeight="1" x14ac:dyDescent="0.2">
      <c r="A57" s="441" t="s">
        <v>543</v>
      </c>
      <c r="B57" s="458">
        <f>1/12*1/30*7</f>
        <v>1.9444444444444441E-2</v>
      </c>
      <c r="C57" s="459">
        <f>C19*$B57</f>
        <v>27.874636363636359</v>
      </c>
      <c r="D57" s="606">
        <f>D19*$B57</f>
        <v>20.905977272727267</v>
      </c>
      <c r="E57" s="607">
        <f>E19*$B57</f>
        <v>13.937318181818179</v>
      </c>
    </row>
    <row r="58" spans="1:5" ht="14.25" customHeight="1" x14ac:dyDescent="0.2">
      <c r="A58" s="441" t="s">
        <v>544</v>
      </c>
      <c r="B58" s="458">
        <f>B36*B57</f>
        <v>7.1555555555555556E-3</v>
      </c>
      <c r="C58" s="459">
        <f>$B58*C19</f>
        <v>10.257866181818182</v>
      </c>
      <c r="D58" s="606">
        <f>$B58*D19</f>
        <v>7.693399636363635</v>
      </c>
      <c r="E58" s="607">
        <f>$B58*E19</f>
        <v>5.1289330909090909</v>
      </c>
    </row>
    <row r="59" spans="1:5" ht="14.25" customHeight="1" x14ac:dyDescent="0.2">
      <c r="A59" s="441" t="s">
        <v>545</v>
      </c>
      <c r="B59" s="458">
        <f>B35*40/100*90/100*(1+1/12+1/12+1/3*1/12)</f>
        <v>3.4399999999999993E-2</v>
      </c>
      <c r="C59" s="459">
        <f>C19*$B59</f>
        <v>49.314213818181805</v>
      </c>
      <c r="D59" s="606">
        <f>D19*$B59</f>
        <v>36.985660363636349</v>
      </c>
      <c r="E59" s="607">
        <f>E19*$B59</f>
        <v>24.657106909090903</v>
      </c>
    </row>
    <row r="60" spans="1:5" ht="14.25" customHeight="1" x14ac:dyDescent="0.2">
      <c r="A60" s="429" t="s">
        <v>512</v>
      </c>
      <c r="B60" s="443">
        <f>SUM(B54:B59)</f>
        <v>6.5499999999999989E-2</v>
      </c>
      <c r="C60" s="431">
        <f>SUM(C54:C59)</f>
        <v>93.897703636363616</v>
      </c>
      <c r="D60" s="612">
        <f>SUM(D54:D59)</f>
        <v>70.423277727272705</v>
      </c>
      <c r="E60" s="613">
        <f>SUM(E54:E59)</f>
        <v>46.948851818181808</v>
      </c>
    </row>
    <row r="61" spans="1:5" ht="14.25" customHeight="1" x14ac:dyDescent="0.2">
      <c r="A61" s="754"/>
      <c r="B61" s="754"/>
      <c r="C61" s="754"/>
      <c r="D61" s="754"/>
      <c r="E61" s="754"/>
    </row>
    <row r="62" spans="1:5" ht="14.25" customHeight="1" x14ac:dyDescent="0.2">
      <c r="A62" s="770" t="s">
        <v>546</v>
      </c>
      <c r="B62" s="770"/>
      <c r="C62" s="770"/>
      <c r="D62" s="770"/>
      <c r="E62" s="770"/>
    </row>
    <row r="63" spans="1:5" ht="14.25" customHeight="1" x14ac:dyDescent="0.2">
      <c r="A63" s="438" t="s">
        <v>45</v>
      </c>
      <c r="B63" s="439" t="s">
        <v>503</v>
      </c>
      <c r="C63" s="439" t="s">
        <v>504</v>
      </c>
      <c r="D63" s="439" t="s">
        <v>504</v>
      </c>
      <c r="E63" s="440" t="s">
        <v>504</v>
      </c>
    </row>
    <row r="64" spans="1:5" ht="14.25" customHeight="1" x14ac:dyDescent="0.2">
      <c r="A64" s="441" t="s">
        <v>46</v>
      </c>
      <c r="B64" s="442">
        <f>1/12</f>
        <v>8.3333333333333329E-2</v>
      </c>
      <c r="C64" s="604">
        <f t="shared" ref="C64:E67" si="1">$B64*(C$19+C$49+C$60)</f>
        <v>229.1042783333333</v>
      </c>
      <c r="D64" s="604">
        <f t="shared" si="1"/>
        <v>168.26195874999996</v>
      </c>
      <c r="E64" s="605">
        <f t="shared" si="1"/>
        <v>122.40047249999999</v>
      </c>
    </row>
    <row r="65" spans="1:5" ht="14.25" customHeight="1" x14ac:dyDescent="0.2">
      <c r="A65" s="441" t="s">
        <v>547</v>
      </c>
      <c r="B65" s="442">
        <f>MC!E54/30/12</f>
        <v>1.3538888888888885E-2</v>
      </c>
      <c r="C65" s="604">
        <f t="shared" si="1"/>
        <v>37.221808419888873</v>
      </c>
      <c r="D65" s="604">
        <f t="shared" si="1"/>
        <v>27.336959564916654</v>
      </c>
      <c r="E65" s="605">
        <f t="shared" si="1"/>
        <v>19.885996765499993</v>
      </c>
    </row>
    <row r="66" spans="1:5" ht="14.25" customHeight="1" x14ac:dyDescent="0.2">
      <c r="A66" s="441" t="s">
        <v>548</v>
      </c>
      <c r="B66" s="467">
        <f>(5/30)/12*MC!F56*MC!C57</f>
        <v>1.0764583333333333E-4</v>
      </c>
      <c r="C66" s="604">
        <f t="shared" si="1"/>
        <v>0.29594545153708329</v>
      </c>
      <c r="D66" s="604">
        <f t="shared" si="1"/>
        <v>0.21735238521531247</v>
      </c>
      <c r="E66" s="605">
        <f t="shared" si="1"/>
        <v>0.15811081035187499</v>
      </c>
    </row>
    <row r="67" spans="1:5" ht="14.25" customHeight="1" x14ac:dyDescent="0.2">
      <c r="A67" s="441" t="s">
        <v>549</v>
      </c>
      <c r="B67" s="467">
        <f>MC!C59/30/12</f>
        <v>2.6830555555555553E-3</v>
      </c>
      <c r="C67" s="604">
        <f t="shared" si="1"/>
        <v>7.3763940814055546</v>
      </c>
      <c r="D67" s="604">
        <f t="shared" si="1"/>
        <v>5.4174741985541655</v>
      </c>
      <c r="E67" s="605">
        <f t="shared" si="1"/>
        <v>3.9408872129249994</v>
      </c>
    </row>
    <row r="68" spans="1:5" ht="14.25" customHeight="1" x14ac:dyDescent="0.2">
      <c r="A68" s="441" t="s">
        <v>511</v>
      </c>
      <c r="B68" s="442"/>
      <c r="C68" s="449"/>
      <c r="D68" s="604"/>
      <c r="E68" s="605"/>
    </row>
    <row r="69" spans="1:5" ht="14.25" customHeight="1" x14ac:dyDescent="0.2">
      <c r="A69" s="468" t="s">
        <v>550</v>
      </c>
      <c r="B69" s="469">
        <f>SUM(B64:B68)</f>
        <v>9.9662923611111107E-2</v>
      </c>
      <c r="C69" s="470">
        <f>SUM(C64:C68)</f>
        <v>273.99842628616483</v>
      </c>
      <c r="D69" s="614">
        <f>SUM(D64:D68)</f>
        <v>201.2337448986861</v>
      </c>
      <c r="E69" s="615">
        <f>SUM(E64:E68)</f>
        <v>146.38546728877685</v>
      </c>
    </row>
    <row r="70" spans="1:5" ht="14.25" customHeight="1" x14ac:dyDescent="0.2">
      <c r="A70" s="438" t="s">
        <v>551</v>
      </c>
      <c r="B70" s="439" t="s">
        <v>503</v>
      </c>
      <c r="C70" s="439" t="s">
        <v>504</v>
      </c>
      <c r="D70" s="439" t="s">
        <v>504</v>
      </c>
      <c r="E70" s="440" t="s">
        <v>504</v>
      </c>
    </row>
    <row r="71" spans="1:5" ht="14.25" customHeight="1" x14ac:dyDescent="0.2">
      <c r="A71" s="441" t="s">
        <v>552</v>
      </c>
      <c r="B71" s="442"/>
      <c r="C71" s="449"/>
      <c r="D71" s="604"/>
      <c r="E71" s="605"/>
    </row>
    <row r="72" spans="1:5" ht="14.25" customHeight="1" x14ac:dyDescent="0.2">
      <c r="A72" s="468" t="s">
        <v>550</v>
      </c>
      <c r="B72" s="469"/>
      <c r="C72" s="470">
        <f>C71</f>
        <v>0</v>
      </c>
      <c r="D72" s="614"/>
      <c r="E72" s="615"/>
    </row>
    <row r="73" spans="1:5" ht="14.25" customHeight="1" x14ac:dyDescent="0.2">
      <c r="A73" s="438" t="s">
        <v>67</v>
      </c>
      <c r="B73" s="439" t="s">
        <v>503</v>
      </c>
      <c r="C73" s="439" t="s">
        <v>504</v>
      </c>
      <c r="D73" s="439" t="s">
        <v>504</v>
      </c>
      <c r="E73" s="440" t="s">
        <v>504</v>
      </c>
    </row>
    <row r="74" spans="1:5" ht="14.25" customHeight="1" x14ac:dyDescent="0.2">
      <c r="A74" s="441" t="s">
        <v>68</v>
      </c>
      <c r="B74" s="442">
        <f>120/30*MC!C62*MC!C63</f>
        <v>6.18624E-3</v>
      </c>
      <c r="C74" s="449">
        <f>(((C19*2)+ (C19*1/3))+(C36)+(C44-C38-C39))*$B$74</f>
        <v>24.426098694981818</v>
      </c>
      <c r="D74" s="604">
        <f>(((D19*2)+ (D19*1/3))+(D36)+(D44-D38-D39))*$B$74</f>
        <v>18.346391371636361</v>
      </c>
      <c r="E74" s="605">
        <f>(((E19*2)+ (E19*1/3))+(E36)+(E44-E38-E39))*$B$74</f>
        <v>12.266498461090908</v>
      </c>
    </row>
    <row r="75" spans="1:5" ht="14.25" customHeight="1" x14ac:dyDescent="0.2">
      <c r="A75" s="468" t="s">
        <v>512</v>
      </c>
      <c r="B75" s="469"/>
      <c r="C75" s="470"/>
      <c r="D75" s="614"/>
      <c r="E75" s="615"/>
    </row>
    <row r="76" spans="1:5" ht="14.25" customHeight="1" x14ac:dyDescent="0.2">
      <c r="A76" s="415" t="s">
        <v>553</v>
      </c>
      <c r="B76" s="416" t="s">
        <v>503</v>
      </c>
      <c r="C76" s="416" t="s">
        <v>504</v>
      </c>
      <c r="D76" s="594" t="s">
        <v>504</v>
      </c>
      <c r="E76" s="595" t="s">
        <v>504</v>
      </c>
    </row>
    <row r="77" spans="1:5" ht="14.25" customHeight="1" x14ac:dyDescent="0.2">
      <c r="A77" s="441" t="s">
        <v>45</v>
      </c>
      <c r="B77" s="458">
        <f>B69</f>
        <v>9.9662923611111107E-2</v>
      </c>
      <c r="C77" s="459">
        <f>C69</f>
        <v>273.99842628616483</v>
      </c>
      <c r="D77" s="606">
        <f>D69</f>
        <v>201.2337448986861</v>
      </c>
      <c r="E77" s="607">
        <f>E69</f>
        <v>146.38546728877685</v>
      </c>
    </row>
    <row r="78" spans="1:5" ht="14.25" customHeight="1" x14ac:dyDescent="0.2">
      <c r="A78" s="441" t="s">
        <v>551</v>
      </c>
      <c r="B78" s="458">
        <f>B72</f>
        <v>0</v>
      </c>
      <c r="C78" s="459">
        <f>C72</f>
        <v>0</v>
      </c>
      <c r="D78" s="606">
        <f>D72</f>
        <v>0</v>
      </c>
      <c r="E78" s="607">
        <f>E72</f>
        <v>0</v>
      </c>
    </row>
    <row r="79" spans="1:5" ht="14.25" customHeight="1" x14ac:dyDescent="0.2">
      <c r="A79" s="441" t="s">
        <v>67</v>
      </c>
      <c r="B79" s="458">
        <f>B74</f>
        <v>6.18624E-3</v>
      </c>
      <c r="C79" s="459">
        <f>C74</f>
        <v>24.426098694981818</v>
      </c>
      <c r="D79" s="606">
        <f>D74</f>
        <v>18.346391371636361</v>
      </c>
      <c r="E79" s="607">
        <f>E74</f>
        <v>12.266498461090908</v>
      </c>
    </row>
    <row r="80" spans="1:5" ht="14.25" customHeight="1" x14ac:dyDescent="0.2">
      <c r="A80" s="429" t="s">
        <v>512</v>
      </c>
      <c r="B80" s="430"/>
      <c r="C80" s="444">
        <f>SUM(C77:C79)</f>
        <v>298.42452498114665</v>
      </c>
      <c r="D80" s="598">
        <f>SUM(D77:D79)</f>
        <v>219.58013627032247</v>
      </c>
      <c r="E80" s="599">
        <f>SUM(E77:E79)</f>
        <v>158.65196574986777</v>
      </c>
    </row>
    <row r="81" spans="1:5" ht="14.25" customHeight="1" x14ac:dyDescent="0.2">
      <c r="A81" s="755"/>
      <c r="B81" s="755"/>
      <c r="C81" s="755"/>
      <c r="D81" s="755"/>
      <c r="E81" s="755"/>
    </row>
    <row r="82" spans="1:5" ht="14.25" customHeight="1" x14ac:dyDescent="0.2">
      <c r="A82" s="772" t="s">
        <v>554</v>
      </c>
      <c r="B82" s="772"/>
      <c r="C82" s="772"/>
      <c r="D82" s="772"/>
      <c r="E82" s="772"/>
    </row>
    <row r="83" spans="1:5" ht="14.25" customHeight="1" x14ac:dyDescent="0.2">
      <c r="A83" s="415" t="s">
        <v>555</v>
      </c>
      <c r="B83" s="416" t="s">
        <v>528</v>
      </c>
      <c r="C83" s="416" t="s">
        <v>504</v>
      </c>
      <c r="D83" s="594" t="s">
        <v>504</v>
      </c>
      <c r="E83" s="595" t="s">
        <v>504</v>
      </c>
    </row>
    <row r="84" spans="1:5" ht="14.25" customHeight="1" x14ac:dyDescent="0.2">
      <c r="A84" s="441" t="s">
        <v>557</v>
      </c>
      <c r="B84" s="616">
        <f>Insumos!K126</f>
        <v>0</v>
      </c>
      <c r="C84" s="596">
        <f>Insumos!$J119</f>
        <v>34.030416666666667</v>
      </c>
      <c r="D84" s="596">
        <f>Insumos!$J119</f>
        <v>34.030416666666667</v>
      </c>
      <c r="E84" s="597">
        <f>Insumos!$J119</f>
        <v>34.030416666666667</v>
      </c>
    </row>
    <row r="85" spans="1:5" ht="14.25" customHeight="1" x14ac:dyDescent="0.2">
      <c r="A85" s="478" t="s">
        <v>558</v>
      </c>
      <c r="B85" s="616">
        <f>Insumos!K71</f>
        <v>0</v>
      </c>
      <c r="C85" s="596">
        <f>Insumos!$G70</f>
        <v>247.1166666666667</v>
      </c>
      <c r="D85" s="596">
        <f>Insumos!$G70</f>
        <v>247.1166666666667</v>
      </c>
      <c r="E85" s="597">
        <f>Insumos!$G70</f>
        <v>247.1166666666667</v>
      </c>
    </row>
    <row r="86" spans="1:5" ht="14.25" customHeight="1" x14ac:dyDescent="0.2">
      <c r="A86" s="478" t="s">
        <v>559</v>
      </c>
      <c r="B86" s="617">
        <v>0</v>
      </c>
      <c r="C86" s="618" t="s">
        <v>88</v>
      </c>
      <c r="D86" s="618" t="s">
        <v>88</v>
      </c>
      <c r="E86" s="657" t="s">
        <v>88</v>
      </c>
    </row>
    <row r="87" spans="1:5" ht="14.25" customHeight="1" x14ac:dyDescent="0.2">
      <c r="A87" s="478" t="s">
        <v>560</v>
      </c>
      <c r="B87" s="619">
        <f>Insumos!K144</f>
        <v>0</v>
      </c>
      <c r="C87" s="596">
        <f>Insumos!$I123</f>
        <v>142.21333333333334</v>
      </c>
      <c r="D87" s="596">
        <f>Insumos!$H123</f>
        <v>122.52333333333333</v>
      </c>
      <c r="E87" s="597">
        <f>Insumos!$H123</f>
        <v>122.52333333333333</v>
      </c>
    </row>
    <row r="88" spans="1:5" ht="14.25" customHeight="1" x14ac:dyDescent="0.2">
      <c r="A88" s="468" t="s">
        <v>512</v>
      </c>
      <c r="B88" s="485"/>
      <c r="C88" s="470">
        <f>SUM(C84:C87)</f>
        <v>423.36041666666677</v>
      </c>
      <c r="D88" s="614">
        <f>SUM(D84:D87)</f>
        <v>403.67041666666671</v>
      </c>
      <c r="E88" s="615">
        <f>SUM(E84:E87)</f>
        <v>403.67041666666671</v>
      </c>
    </row>
    <row r="89" spans="1:5" ht="14.25" customHeight="1" x14ac:dyDescent="0.2">
      <c r="A89" s="755"/>
      <c r="B89" s="755"/>
      <c r="C89" s="755"/>
      <c r="D89" s="755"/>
      <c r="E89" s="755"/>
    </row>
    <row r="90" spans="1:5" ht="14.25" customHeight="1" x14ac:dyDescent="0.2">
      <c r="A90" s="772" t="s">
        <v>564</v>
      </c>
      <c r="B90" s="772"/>
      <c r="C90" s="772"/>
      <c r="D90" s="772"/>
      <c r="E90" s="772"/>
    </row>
    <row r="91" spans="1:5" ht="14.25" customHeight="1" x14ac:dyDescent="0.2">
      <c r="A91" s="415" t="s">
        <v>565</v>
      </c>
      <c r="B91" s="416" t="s">
        <v>503</v>
      </c>
      <c r="C91" s="416" t="s">
        <v>504</v>
      </c>
      <c r="D91" s="594" t="s">
        <v>504</v>
      </c>
      <c r="E91" s="595" t="s">
        <v>504</v>
      </c>
    </row>
    <row r="92" spans="1:5" ht="14.25" customHeight="1" x14ac:dyDescent="0.2">
      <c r="A92" s="418" t="s">
        <v>73</v>
      </c>
      <c r="B92" s="442">
        <v>0.03</v>
      </c>
      <c r="C92" s="449">
        <f>($C$19+$C$49+$C$60+$C$80+$C$88)*$B$92</f>
        <v>104.13108844943439</v>
      </c>
      <c r="D92" s="604">
        <f>(D$19+D$49+D$60+D$80+D$88)*$B$92</f>
        <v>79.271821738109665</v>
      </c>
      <c r="E92" s="605">
        <f>(E$19+E$49+E$60+E$80+E$88)*$B$92</f>
        <v>60.933841572496036</v>
      </c>
    </row>
    <row r="93" spans="1:5" ht="14.25" customHeight="1" x14ac:dyDescent="0.2">
      <c r="A93" s="418" t="s">
        <v>74</v>
      </c>
      <c r="B93" s="442">
        <v>6.7900000000000002E-2</v>
      </c>
      <c r="C93" s="449">
        <f>($C$19+$C$49+$C$60+$C$80+$C$88+C92)*B93</f>
        <v>242.75386442960311</v>
      </c>
      <c r="D93" s="604">
        <f>(D$19+D$49+D$60+D$80+D$88+D$92)*$B$93</f>
        <v>184.80111322993923</v>
      </c>
      <c r="E93" s="605">
        <f>(E$19+E$49+E$60+E$80+E$88+E$92)*$B$93</f>
        <v>142.05100260185517</v>
      </c>
    </row>
    <row r="94" spans="1:5" ht="14.25" customHeight="1" x14ac:dyDescent="0.2">
      <c r="A94" s="489" t="s">
        <v>566</v>
      </c>
      <c r="B94" s="490">
        <f>B95+B96</f>
        <v>0.1125</v>
      </c>
      <c r="C94" s="491">
        <f>((C19+C49+C60+C80+C88+C92+C93)/(1-($B$94)))*$B$94</f>
        <v>483.96184663016419</v>
      </c>
      <c r="D94" s="620">
        <f>((D19+D49+D60+D80+D88+D92+D93)/(1-($B$94)))*$B$94</f>
        <v>368.42539346683583</v>
      </c>
      <c r="E94" s="621">
        <f>((E19+E49+E60+E80+E88+E92+E93)/(1-($B$94)))*$B$94</f>
        <v>283.19740942701372</v>
      </c>
    </row>
    <row r="95" spans="1:5" ht="14.25" customHeight="1" x14ac:dyDescent="0.2">
      <c r="A95" s="418" t="s">
        <v>567</v>
      </c>
      <c r="B95" s="442">
        <f>0.0165+0.076</f>
        <v>9.2499999999999999E-2</v>
      </c>
      <c r="C95" s="498">
        <f>((C$19+C$49+C$60+C$80+C$88+C$92+C$93)/(1-($B$94)))*$B$95</f>
        <v>397.92418500702388</v>
      </c>
      <c r="D95" s="622">
        <f>((D$19+D$49+D$60+D$80+D$88+D$92+D$93)/(1-($B$94)))*$B$95</f>
        <v>302.92754573939834</v>
      </c>
      <c r="E95" s="623">
        <f>((E$19+E$49+E$60+E$80+E$88+E$92+E$93)/(1-($B$94)))*$B$95</f>
        <v>232.85120330665572</v>
      </c>
    </row>
    <row r="96" spans="1:5" ht="14.25" customHeight="1" x14ac:dyDescent="0.2">
      <c r="A96" s="418" t="s">
        <v>568</v>
      </c>
      <c r="B96" s="442">
        <v>0.02</v>
      </c>
      <c r="C96" s="501">
        <f>((C$19+C$49+C$60+C$80+C$88+C$92+C$93)/(1-($B$94)))*$B$96</f>
        <v>86.037661623140309</v>
      </c>
      <c r="D96" s="622">
        <f>((D$19+D$49+D$60+D$80+D$88+D$92+D$93)/(1-($B$94)))*$B$96</f>
        <v>65.497847727437488</v>
      </c>
      <c r="E96" s="623">
        <f>((E$19+E$49+E$60+E$80+E$88+E$92+E$93)/(1-($B$94)))*$B$96</f>
        <v>50.346206120357991</v>
      </c>
    </row>
    <row r="97" spans="1:6" ht="14.25" customHeight="1" x14ac:dyDescent="0.2">
      <c r="A97" s="489" t="s">
        <v>569</v>
      </c>
      <c r="B97" s="490">
        <f>B98+B99</f>
        <v>0.11749999999999999</v>
      </c>
      <c r="C97" s="491">
        <f>((C19+C49+C60+C80+C88+C92+C93)/(1-($B$97)))*$B$97</f>
        <v>508.33512187751262</v>
      </c>
      <c r="D97" s="620">
        <f>((D19+D49+D60+D80+D88+D92+D93)/(1-($B$97)))*$B$97</f>
        <v>386.98002455109571</v>
      </c>
      <c r="E97" s="621">
        <f>((E19+E49+E60+E80+E88+E92+E93)/(1-($B$97)))*$B$97</f>
        <v>297.45979076422554</v>
      </c>
    </row>
    <row r="98" spans="1:6" ht="14.25" customHeight="1" x14ac:dyDescent="0.2">
      <c r="A98" s="418" t="s">
        <v>567</v>
      </c>
      <c r="B98" s="442">
        <f>0.0165+0.076</f>
        <v>9.2499999999999999E-2</v>
      </c>
      <c r="C98" s="493">
        <f>((C19+C49+C60+C80+C88+C92+C93)/(1-($B$97)))*$B$98</f>
        <v>400.17871296740356</v>
      </c>
      <c r="D98" s="624">
        <f>((D19+D49+D60+D80+D88+D92+D93)/(1-($B$97)))*$B$98</f>
        <v>304.64384911469239</v>
      </c>
      <c r="E98" s="625">
        <f>((E19+E49+E60+E80+E88+E92+E93)/(1-($B$97)))*$B$98</f>
        <v>234.17047358034779</v>
      </c>
    </row>
    <row r="99" spans="1:6" ht="14.25" customHeight="1" x14ac:dyDescent="0.2">
      <c r="A99" s="418" t="s">
        <v>568</v>
      </c>
      <c r="B99" s="442">
        <v>2.5000000000000001E-2</v>
      </c>
      <c r="C99" s="495">
        <f>((C$19+C$49+C$60+C$80+C$88+C$92+C$93)/(1-($B$97)))*$B$99</f>
        <v>108.15640891010908</v>
      </c>
      <c r="D99" s="624">
        <f>((D$19+D$49+D$60+D$80+D$88+D$92+D$93)/(1-($B$97)))*$B$99</f>
        <v>82.336175436403352</v>
      </c>
      <c r="E99" s="625">
        <f>((E$19+E$49+E$60+E$80+E$88+E$92+E$93)/(1-($B$97)))*$B$99</f>
        <v>63.289317183877785</v>
      </c>
    </row>
    <row r="100" spans="1:6" ht="14.25" customHeight="1" x14ac:dyDescent="0.2">
      <c r="A100" s="489" t="s">
        <v>570</v>
      </c>
      <c r="B100" s="490">
        <f>B101+B102</f>
        <v>0.1225</v>
      </c>
      <c r="C100" s="491">
        <f>((C19+C49+C60+C80+C88+C92+C93)/(1-($B$100)))*$B$100</f>
        <v>532.98615524733816</v>
      </c>
      <c r="D100" s="620">
        <f>((D19+D49+D60+D80+D88+D92+D93)/(1-($B$100)))*$B$100</f>
        <v>405.74610442264066</v>
      </c>
      <c r="E100" s="621">
        <f>((E19+E49+E60+E80+E88+E92+E93)/(1-($B$100)))*$B$100</f>
        <v>311.88470636169063</v>
      </c>
    </row>
    <row r="101" spans="1:6" ht="14.25" customHeight="1" x14ac:dyDescent="0.2">
      <c r="A101" s="418" t="s">
        <v>567</v>
      </c>
      <c r="B101" s="442">
        <f>0.0165+0.076</f>
        <v>9.2499999999999999E-2</v>
      </c>
      <c r="C101" s="493">
        <f>((C19+C49+C60+C80+C88+C92+C93)/(1-($B$100)))*$B$101</f>
        <v>402.45893355411249</v>
      </c>
      <c r="D101" s="624">
        <f>((D19+D49+D60+D80+D88+D92+D93)/(1-($B$100)))*$B$101</f>
        <v>306.37971150281032</v>
      </c>
      <c r="E101" s="625">
        <f>((E19+E49+E60+E80+E88+E92+E93)/(1-($B$100)))*$B$101</f>
        <v>235.50477827311332</v>
      </c>
    </row>
    <row r="102" spans="1:6" ht="14.25" customHeight="1" x14ac:dyDescent="0.2">
      <c r="A102" s="418" t="s">
        <v>568</v>
      </c>
      <c r="B102" s="442">
        <v>0.03</v>
      </c>
      <c r="C102" s="495">
        <f>((C19+C49+C60+C80+C88+C92+C93)/(1-($B$100)))*$B$102</f>
        <v>130.52722169322567</v>
      </c>
      <c r="D102" s="624">
        <f>((D19+D49+D60+D80+D88+D92+D93)/(1-($B$100)))*$B$102</f>
        <v>99.366392919830361</v>
      </c>
      <c r="E102" s="625">
        <f>((E19+E49+E60+E80+E88+E92+E93)/(1-($B$100)))*$B$102</f>
        <v>76.379928088577287</v>
      </c>
      <c r="F102" s="497"/>
    </row>
    <row r="103" spans="1:6" ht="14.25" customHeight="1" x14ac:dyDescent="0.2">
      <c r="A103" s="489" t="s">
        <v>571</v>
      </c>
      <c r="B103" s="490">
        <f>B104+B105</f>
        <v>0.13250000000000001</v>
      </c>
      <c r="C103" s="491">
        <f>((C19+C49+C60+C80+C88+C92+C93)/(1-($B$103)))*$B$103</f>
        <v>583.14070729084472</v>
      </c>
      <c r="D103" s="620">
        <f>((D19+D49+D60+D80+D88+D92+D93)/(1-($B$103)))*$B$103</f>
        <v>443.92723522757075</v>
      </c>
      <c r="E103" s="621">
        <f>((E19+E49+E60+E80+E88+E92+E93)/(1-($B$103)))*$B$103</f>
        <v>341.23338190004887</v>
      </c>
    </row>
    <row r="104" spans="1:6" ht="14.25" customHeight="1" x14ac:dyDescent="0.2">
      <c r="A104" s="418" t="s">
        <v>567</v>
      </c>
      <c r="B104" s="442">
        <f>0.0165+0.076</f>
        <v>9.2499999999999999E-2</v>
      </c>
      <c r="C104" s="493">
        <f>((C19+C49+C60+C80+C88+C92+C93)/(1-($B$103)))*$B$104</f>
        <v>407.09822961813683</v>
      </c>
      <c r="D104" s="624">
        <f>((D19+D49+D60+D80+D88+D92+D93)/(1-($B$103)))*$B$104</f>
        <v>309.91146610226639</v>
      </c>
      <c r="E104" s="625">
        <f>((E19+E49+E60+E80+E88+E92+E93)/(1-($B$103)))*$B$104</f>
        <v>238.21953076041146</v>
      </c>
    </row>
    <row r="105" spans="1:6" ht="14.25" customHeight="1" x14ac:dyDescent="0.2">
      <c r="A105" s="418" t="s">
        <v>568</v>
      </c>
      <c r="B105" s="442">
        <v>0.04</v>
      </c>
      <c r="C105" s="495">
        <f>((C19+C49+C60+C80+C88+C92+C93)/(1-($B$103)))*$B$105</f>
        <v>176.04247767270783</v>
      </c>
      <c r="D105" s="624">
        <f>((D19+D49+D60+D80+D88+D92+D93)/(1-($B$103)))*$B$105</f>
        <v>134.01576912530439</v>
      </c>
      <c r="E105" s="625">
        <f>((E19+E49+E60+E80+E88+E92+E93)/(1-($B$103)))*$B$105</f>
        <v>103.0138511396374</v>
      </c>
    </row>
    <row r="106" spans="1:6" ht="14.25" customHeight="1" x14ac:dyDescent="0.2">
      <c r="A106" s="489" t="s">
        <v>572</v>
      </c>
      <c r="B106" s="490">
        <f>B107+B108</f>
        <v>0.14250000000000002</v>
      </c>
      <c r="C106" s="491">
        <f>((C19+C49+C60+C80+C88+C92+C93)/(1-($B$106)))*$B$106</f>
        <v>634.4650448047538</v>
      </c>
      <c r="D106" s="620">
        <f>((D19+D49+D60+D80+D88+D92+D93)/(1-($B$106)))*$B$106</f>
        <v>482.99888803378201</v>
      </c>
      <c r="E106" s="621">
        <f>((E19+E49+E60+E80+E88+E92+E93)/(1-($B$106)))*$B$106</f>
        <v>371.26657465212975</v>
      </c>
    </row>
    <row r="107" spans="1:6" ht="14.25" customHeight="1" x14ac:dyDescent="0.2">
      <c r="A107" s="418" t="s">
        <v>567</v>
      </c>
      <c r="B107" s="442">
        <f>0.0165+0.076</f>
        <v>9.2499999999999999E-2</v>
      </c>
      <c r="C107" s="498">
        <f>((C19+C49+C60+C80+C88+C92+C93)/(1-($B$106)))*$B$107</f>
        <v>411.84573083817344</v>
      </c>
      <c r="D107" s="622">
        <f>((D19+D49+D60+D80+D88+D92+D93)/(1-($B$106)))*$B$107</f>
        <v>313.52559398684093</v>
      </c>
      <c r="E107" s="623">
        <f>((E19+E49+E60+E80+E88+E92+E93)/(1-($B$106)))*$B$107</f>
        <v>240.99760108997893</v>
      </c>
    </row>
    <row r="108" spans="1:6" ht="14.25" customHeight="1" x14ac:dyDescent="0.2">
      <c r="A108" s="418" t="s">
        <v>568</v>
      </c>
      <c r="B108" s="500">
        <v>0.05</v>
      </c>
      <c r="C108" s="501">
        <f>((C19+C49+C60+C80+C88+C92+C93)/(1-($B$106)))*$B$108</f>
        <v>222.61931396658025</v>
      </c>
      <c r="D108" s="626">
        <f>((D19+D49+D60+D80+D88+D92+D93)/(1-($B$106)))*$B$108</f>
        <v>169.47329404694105</v>
      </c>
      <c r="E108" s="627">
        <f>((E19+E49+E60+E80+E88+E92+E93)/(1-($B$106)))*$B$108</f>
        <v>130.26897356215076</v>
      </c>
    </row>
    <row r="109" spans="1:6" ht="14.25" customHeight="1" x14ac:dyDescent="0.2">
      <c r="A109" s="756" t="s">
        <v>573</v>
      </c>
      <c r="B109" s="503">
        <v>0.02</v>
      </c>
      <c r="C109" s="504">
        <f>C92+C93+C94</f>
        <v>830.84679950920167</v>
      </c>
      <c r="D109" s="628">
        <f>D92+D93+D94</f>
        <v>632.4983284348848</v>
      </c>
      <c r="E109" s="629">
        <f>E92+E93+E94</f>
        <v>486.18225360136495</v>
      </c>
    </row>
    <row r="110" spans="1:6" ht="14.25" customHeight="1" x14ac:dyDescent="0.2">
      <c r="A110" s="756"/>
      <c r="B110" s="506">
        <v>2.5000000000000001E-2</v>
      </c>
      <c r="C110" s="507">
        <f>C92+C93+C97</f>
        <v>855.22007475655005</v>
      </c>
      <c r="D110" s="630">
        <f>D92+D93+D97</f>
        <v>651.05295951914468</v>
      </c>
      <c r="E110" s="631">
        <f>E92+E93+E97</f>
        <v>500.44463493857677</v>
      </c>
    </row>
    <row r="111" spans="1:6" ht="14.25" customHeight="1" x14ac:dyDescent="0.2">
      <c r="A111" s="756"/>
      <c r="B111" s="506">
        <v>0.03</v>
      </c>
      <c r="C111" s="507">
        <f>C92+C93+C100</f>
        <v>879.8711081263757</v>
      </c>
      <c r="D111" s="630">
        <f>D92+D93+D100</f>
        <v>669.81903939068957</v>
      </c>
      <c r="E111" s="631">
        <f>E92+E93+E100</f>
        <v>514.86955053604186</v>
      </c>
      <c r="F111" s="497"/>
    </row>
    <row r="112" spans="1:6" ht="14.25" customHeight="1" x14ac:dyDescent="0.2">
      <c r="A112" s="756"/>
      <c r="B112" s="506">
        <v>0.04</v>
      </c>
      <c r="C112" s="507">
        <f>C92+C93+C103</f>
        <v>930.02566016988226</v>
      </c>
      <c r="D112" s="630">
        <f>D92+D93+D103</f>
        <v>708.0001701956196</v>
      </c>
      <c r="E112" s="631">
        <f>E92+E93+E103</f>
        <v>544.21822607440004</v>
      </c>
    </row>
    <row r="113" spans="1:5" ht="14.25" customHeight="1" x14ac:dyDescent="0.2">
      <c r="A113" s="756"/>
      <c r="B113" s="509">
        <v>0.05</v>
      </c>
      <c r="C113" s="510">
        <f>C92+C93+C106</f>
        <v>981.34999768379134</v>
      </c>
      <c r="D113" s="632">
        <f>D92+D93+D106</f>
        <v>747.07182300183092</v>
      </c>
      <c r="E113" s="633">
        <f>E92+E93+E106</f>
        <v>574.25141882648097</v>
      </c>
    </row>
    <row r="114" spans="1:5" ht="7.5" customHeight="1" x14ac:dyDescent="0.2">
      <c r="A114" s="757"/>
      <c r="B114" s="757"/>
      <c r="C114" s="757"/>
      <c r="D114" s="757"/>
      <c r="E114" s="757"/>
    </row>
    <row r="115" spans="1:5" ht="7.5" customHeight="1" x14ac:dyDescent="0.2">
      <c r="A115" s="758"/>
      <c r="B115" s="758"/>
      <c r="C115" s="758"/>
      <c r="D115" s="758"/>
      <c r="E115" s="758"/>
    </row>
    <row r="116" spans="1:5" ht="54.75" customHeight="1" x14ac:dyDescent="0.2">
      <c r="A116" s="759" t="s">
        <v>575</v>
      </c>
      <c r="B116" s="759"/>
      <c r="C116" s="521" t="str">
        <f>C10</f>
        <v>Servente 40h
COVID</v>
      </c>
      <c r="D116" s="634" t="str">
        <f>D10</f>
        <v>Servente 30h
COVID</v>
      </c>
      <c r="E116" s="635" t="str">
        <f>E10</f>
        <v>Servente 20h
COVID</v>
      </c>
    </row>
    <row r="117" spans="1:5" ht="15.75" customHeight="1" x14ac:dyDescent="0.2">
      <c r="A117" s="760" t="s">
        <v>576</v>
      </c>
      <c r="B117" s="760"/>
      <c r="C117" s="524" t="s">
        <v>504</v>
      </c>
      <c r="D117" s="636" t="s">
        <v>504</v>
      </c>
      <c r="E117" s="637" t="s">
        <v>504</v>
      </c>
    </row>
    <row r="118" spans="1:5" ht="14.25" customHeight="1" x14ac:dyDescent="0.2">
      <c r="A118" s="761" t="s">
        <v>577</v>
      </c>
      <c r="B118" s="761"/>
      <c r="C118" s="526">
        <f>C19</f>
        <v>1433.5527272727272</v>
      </c>
      <c r="D118" s="638">
        <f>D19</f>
        <v>1075.1645454545453</v>
      </c>
      <c r="E118" s="639">
        <f>E19</f>
        <v>716.77636363636361</v>
      </c>
    </row>
    <row r="119" spans="1:5" ht="14.25" customHeight="1" x14ac:dyDescent="0.2">
      <c r="A119" s="762" t="s">
        <v>578</v>
      </c>
      <c r="B119" s="762"/>
      <c r="C119" s="528">
        <f>C49</f>
        <v>1221.800909090909</v>
      </c>
      <c r="D119" s="640">
        <f>D49</f>
        <v>873.55568181818171</v>
      </c>
      <c r="E119" s="641">
        <f>E49</f>
        <v>705.08045454545459</v>
      </c>
    </row>
    <row r="120" spans="1:5" ht="14.25" customHeight="1" x14ac:dyDescent="0.2">
      <c r="A120" s="762" t="s">
        <v>579</v>
      </c>
      <c r="B120" s="762"/>
      <c r="C120" s="528">
        <f>C60</f>
        <v>93.897703636363616</v>
      </c>
      <c r="D120" s="640">
        <f>D60</f>
        <v>70.423277727272705</v>
      </c>
      <c r="E120" s="641">
        <f>E60</f>
        <v>46.948851818181808</v>
      </c>
    </row>
    <row r="121" spans="1:5" ht="14.25" customHeight="1" x14ac:dyDescent="0.2">
      <c r="A121" s="762" t="s">
        <v>580</v>
      </c>
      <c r="B121" s="762"/>
      <c r="C121" s="528">
        <f>C80</f>
        <v>298.42452498114665</v>
      </c>
      <c r="D121" s="640">
        <f>D80</f>
        <v>219.58013627032247</v>
      </c>
      <c r="E121" s="641">
        <f>E80</f>
        <v>158.65196574986777</v>
      </c>
    </row>
    <row r="122" spans="1:5" ht="15.75" customHeight="1" x14ac:dyDescent="0.2">
      <c r="A122" s="762" t="s">
        <v>581</v>
      </c>
      <c r="B122" s="762"/>
      <c r="C122" s="528">
        <f>C88</f>
        <v>423.36041666666677</v>
      </c>
      <c r="D122" s="640">
        <f>D88</f>
        <v>403.67041666666671</v>
      </c>
      <c r="E122" s="641">
        <f>E88</f>
        <v>403.67041666666671</v>
      </c>
    </row>
    <row r="123" spans="1:5" ht="15.75" customHeight="1" x14ac:dyDescent="0.2">
      <c r="A123" s="763" t="s">
        <v>582</v>
      </c>
      <c r="B123" s="763"/>
      <c r="C123" s="530">
        <f>SUM(C118:C122)</f>
        <v>3471.0362816478132</v>
      </c>
      <c r="D123" s="642">
        <f>SUM(D118:D122)</f>
        <v>2642.3940579369892</v>
      </c>
      <c r="E123" s="643">
        <f>SUM(E118:E122)</f>
        <v>2031.1280524165345</v>
      </c>
    </row>
    <row r="124" spans="1:5" ht="15.75" customHeight="1" x14ac:dyDescent="0.2">
      <c r="A124" s="764" t="s">
        <v>583</v>
      </c>
      <c r="B124" s="764"/>
      <c r="C124" s="533">
        <f t="shared" ref="C124:E128" si="2">C109</f>
        <v>830.84679950920167</v>
      </c>
      <c r="D124" s="642">
        <f t="shared" si="2"/>
        <v>632.4983284348848</v>
      </c>
      <c r="E124" s="643">
        <f t="shared" si="2"/>
        <v>486.18225360136495</v>
      </c>
    </row>
    <row r="125" spans="1:5" ht="15.75" customHeight="1" x14ac:dyDescent="0.2">
      <c r="A125" s="762" t="s">
        <v>584</v>
      </c>
      <c r="B125" s="762"/>
      <c r="C125" s="535">
        <f t="shared" si="2"/>
        <v>855.22007475655005</v>
      </c>
      <c r="D125" s="642">
        <f t="shared" si="2"/>
        <v>651.05295951914468</v>
      </c>
      <c r="E125" s="643">
        <f t="shared" si="2"/>
        <v>500.44463493857677</v>
      </c>
    </row>
    <row r="126" spans="1:5" ht="15.75" customHeight="1" x14ac:dyDescent="0.2">
      <c r="A126" s="762" t="s">
        <v>585</v>
      </c>
      <c r="B126" s="762"/>
      <c r="C126" s="535">
        <f t="shared" si="2"/>
        <v>879.8711081263757</v>
      </c>
      <c r="D126" s="642">
        <f t="shared" si="2"/>
        <v>669.81903939068957</v>
      </c>
      <c r="E126" s="643">
        <f t="shared" si="2"/>
        <v>514.86955053604186</v>
      </c>
    </row>
    <row r="127" spans="1:5" ht="15.75" customHeight="1" x14ac:dyDescent="0.2">
      <c r="A127" s="762" t="s">
        <v>586</v>
      </c>
      <c r="B127" s="762"/>
      <c r="C127" s="535">
        <f t="shared" si="2"/>
        <v>930.02566016988226</v>
      </c>
      <c r="D127" s="642">
        <f t="shared" si="2"/>
        <v>708.0001701956196</v>
      </c>
      <c r="E127" s="643">
        <f t="shared" si="2"/>
        <v>544.21822607440004</v>
      </c>
    </row>
    <row r="128" spans="1:5" ht="15.75" customHeight="1" x14ac:dyDescent="0.2">
      <c r="A128" s="764" t="s">
        <v>587</v>
      </c>
      <c r="B128" s="764"/>
      <c r="C128" s="535">
        <f t="shared" si="2"/>
        <v>981.34999768379134</v>
      </c>
      <c r="D128" s="644">
        <f t="shared" si="2"/>
        <v>747.07182300183092</v>
      </c>
      <c r="E128" s="645">
        <f t="shared" si="2"/>
        <v>574.25141882648097</v>
      </c>
    </row>
    <row r="129" spans="1:5" ht="15.75" customHeight="1" x14ac:dyDescent="0.2">
      <c r="A129" s="537" t="s">
        <v>588</v>
      </c>
      <c r="B129" s="538"/>
      <c r="C129" s="539">
        <f>C123+C124</f>
        <v>4301.8830811570151</v>
      </c>
      <c r="D129" s="539">
        <f>D123+D124</f>
        <v>3274.8923863718737</v>
      </c>
      <c r="E129" s="540">
        <f>E123+E124</f>
        <v>2517.3103060178996</v>
      </c>
    </row>
    <row r="130" spans="1:5" ht="15.75" customHeight="1" x14ac:dyDescent="0.2">
      <c r="A130" s="541" t="s">
        <v>589</v>
      </c>
      <c r="B130" s="542"/>
      <c r="C130" s="543">
        <f>C123+C125</f>
        <v>4326.256356404363</v>
      </c>
      <c r="D130" s="543">
        <f>D123+D125</f>
        <v>3293.4470174561338</v>
      </c>
      <c r="E130" s="544">
        <f>E123+E125</f>
        <v>2531.5726873551112</v>
      </c>
    </row>
    <row r="131" spans="1:5" ht="15.75" customHeight="1" x14ac:dyDescent="0.2">
      <c r="A131" s="541" t="s">
        <v>590</v>
      </c>
      <c r="B131" s="542"/>
      <c r="C131" s="543">
        <f>C123+C126</f>
        <v>4350.9073897741891</v>
      </c>
      <c r="D131" s="543">
        <f>D123+D126</f>
        <v>3312.213097327679</v>
      </c>
      <c r="E131" s="544">
        <f>E123+E126</f>
        <v>2545.9976029525765</v>
      </c>
    </row>
    <row r="132" spans="1:5" ht="15.75" customHeight="1" x14ac:dyDescent="0.2">
      <c r="A132" s="541" t="s">
        <v>591</v>
      </c>
      <c r="B132" s="542"/>
      <c r="C132" s="543">
        <f>C123+C127</f>
        <v>4401.0619418176957</v>
      </c>
      <c r="D132" s="543">
        <f>D123+D127</f>
        <v>3350.394228132609</v>
      </c>
      <c r="E132" s="544">
        <f>E123+E127</f>
        <v>2575.3462784909343</v>
      </c>
    </row>
    <row r="133" spans="1:5" ht="15.75" customHeight="1" x14ac:dyDescent="0.2">
      <c r="A133" s="541" t="s">
        <v>592</v>
      </c>
      <c r="B133" s="542"/>
      <c r="C133" s="543">
        <f>C123+C128</f>
        <v>4452.3862793316048</v>
      </c>
      <c r="D133" s="646">
        <f>D123+D128</f>
        <v>3389.4658809388202</v>
      </c>
      <c r="E133" s="647">
        <f>E123+E128</f>
        <v>2605.3794712430154</v>
      </c>
    </row>
    <row r="134" spans="1:5" ht="15.75" customHeight="1" x14ac:dyDescent="0.2">
      <c r="A134" s="545" t="s">
        <v>593</v>
      </c>
      <c r="B134" s="546"/>
      <c r="C134" s="547">
        <f>C129/200</f>
        <v>21.509415405785077</v>
      </c>
      <c r="D134" s="547"/>
      <c r="E134" s="648"/>
    </row>
    <row r="135" spans="1:5" ht="15.75" customHeight="1" x14ac:dyDescent="0.2">
      <c r="A135" s="550" t="s">
        <v>594</v>
      </c>
      <c r="B135" s="551"/>
      <c r="C135" s="552">
        <f>C130/200</f>
        <v>21.631281782021816</v>
      </c>
      <c r="D135" s="552"/>
      <c r="E135" s="649"/>
    </row>
    <row r="136" spans="1:5" ht="15.75" customHeight="1" x14ac:dyDescent="0.2">
      <c r="A136" s="550" t="s">
        <v>595</v>
      </c>
      <c r="B136" s="551"/>
      <c r="C136" s="552">
        <f>C131/200</f>
        <v>21.754536948870946</v>
      </c>
      <c r="D136" s="552"/>
      <c r="E136" s="649"/>
    </row>
    <row r="137" spans="1:5" ht="15.75" customHeight="1" x14ac:dyDescent="0.2">
      <c r="A137" s="550" t="s">
        <v>596</v>
      </c>
      <c r="B137" s="551"/>
      <c r="C137" s="552">
        <f>C132/200</f>
        <v>22.005309709088479</v>
      </c>
      <c r="D137" s="552"/>
      <c r="E137" s="649"/>
    </row>
    <row r="138" spans="1:5" ht="15.75" customHeight="1" x14ac:dyDescent="0.2">
      <c r="A138" s="555" t="s">
        <v>597</v>
      </c>
      <c r="B138" s="556"/>
      <c r="C138" s="557">
        <f>C133/200</f>
        <v>22.261931396658024</v>
      </c>
      <c r="D138" s="557"/>
      <c r="E138" s="650"/>
    </row>
    <row r="139" spans="1:5" x14ac:dyDescent="0.2">
      <c r="A139" s="560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MC</vt:lpstr>
      <vt:lpstr>Insumos</vt:lpstr>
      <vt:lpstr>Resumo Proposta</vt:lpstr>
      <vt:lpstr>Prod. GEXCAX</vt:lpstr>
      <vt:lpstr>GEXCAX Limp.Ord.</vt:lpstr>
      <vt:lpstr>GEXCAX Covid</vt:lpstr>
      <vt:lpstr>Prod. GEXIJU</vt:lpstr>
      <vt:lpstr>GEXIJU Limp.Ord. </vt:lpstr>
      <vt:lpstr>GEXIJU Covid </vt:lpstr>
      <vt:lpstr>Prod. GEXPSF</vt:lpstr>
      <vt:lpstr>GEXPSF Limp. Ord.</vt:lpstr>
      <vt:lpstr>GEX PSF Covid</vt:lpstr>
      <vt:lpstr>'Prod. GEXIJU'!_FiltrarBancodeDados</vt:lpstr>
      <vt:lpstr>'GEXCAX Covid'!Print_Area</vt:lpstr>
      <vt:lpstr>'GEXCAX Limp.Ord.'!Print_Area</vt:lpstr>
      <vt:lpstr>'GEXIJU Covid '!Print_Area</vt:lpstr>
      <vt:lpstr>'GEXIJU Limp.Ord. '!Print_Area</vt:lpstr>
      <vt:lpstr>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92</cp:revision>
  <dcterms:created xsi:type="dcterms:W3CDTF">2020-03-17T09:48:25Z</dcterms:created>
  <dcterms:modified xsi:type="dcterms:W3CDTF">2022-06-30T16:08:04Z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ntentTypeId">
    <vt:lpwstr>0x0101002802779F605D534DA1B3FC3D1B1B4DA1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